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6.xml" ContentType="application/vnd.openxmlformats-officedocument.drawing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drawings/drawing7.xml" ContentType="application/vnd.openxmlformats-officedocument.drawing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drawings/drawing8.xml" ContentType="application/vnd.openxmlformats-officedocument.drawing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drawings/drawing9.xml" ContentType="application/vnd.openxmlformats-officedocument.drawing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drawings/drawing10.xml" ContentType="application/vnd.openxmlformats-officedocument.drawing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comments31.xml" ContentType="application/vnd.openxmlformats-officedocument.spreadsheetml.comments+xml"/>
  <Override PartName="/xl/comments32.xml" ContentType="application/vnd.openxmlformats-officedocument.spreadsheetml.comments+xml"/>
  <Override PartName="/xl/comments33.xml" ContentType="application/vnd.openxmlformats-officedocument.spreadsheetml.comments+xml"/>
  <Override PartName="/xl/comments3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AvnerP\HERZLIYA NEW WEBSITE\PDF\MINHAL CASPI\TAKTZIV\"/>
    </mc:Choice>
  </mc:AlternateContent>
  <bookViews>
    <workbookView xWindow="0" yWindow="0" windowWidth="28800" windowHeight="12480" tabRatio="586"/>
  </bookViews>
  <sheets>
    <sheet name="תקציב 2019" sheetId="45" r:id="rId1"/>
    <sheet name="תוכן ענינים" sheetId="46" r:id="rId2"/>
    <sheet name="מבוא" sheetId="39" r:id="rId3"/>
    <sheet name="תקציב 2018" sheetId="40" r:id="rId4"/>
    <sheet name="תקציב 2019 " sheetId="41" r:id="rId5"/>
    <sheet name="תקציב 2019 פרקים" sheetId="61" r:id="rId6"/>
    <sheet name="תקציב 2019  אגפים " sheetId="42" r:id="rId7"/>
    <sheet name="תקציב 2019  מקורות " sheetId="100" r:id="rId8"/>
    <sheet name="תקציב 2019 קרנות הרשות" sheetId="38" r:id="rId9"/>
    <sheet name="תקציב 2019 מקורות אחרים" sheetId="43" r:id="rId10"/>
    <sheet name="תרשים אגפים" sheetId="65" r:id="rId11"/>
    <sheet name="ריכוז אגפים" sheetId="12" r:id="rId12"/>
    <sheet name="תרשים פרקים" sheetId="98" r:id="rId13"/>
    <sheet name="ריכוז פרקים" sheetId="97" r:id="rId14"/>
    <sheet name="פרוט מקורות אחרים" sheetId="44" r:id="rId15"/>
    <sheet name="תרשים מקורות מימון" sheetId="66" r:id="rId16"/>
    <sheet name="הנדסה 2019" sheetId="67" r:id="rId17"/>
    <sheet name="הנדסה 2019 (2)" sheetId="163" r:id="rId18"/>
    <sheet name="תקציב הנדסה 2019" sheetId="116" r:id="rId19"/>
    <sheet name="הנדסה 2019 פרקים" sheetId="162" state="hidden" r:id="rId20"/>
    <sheet name="תקציב הנדסה 2019 תאור" sheetId="168" r:id="rId21"/>
    <sheet name="החברה לפיתוח 2019" sheetId="68" r:id="rId22"/>
    <sheet name="החב. לפיתוח 2019" sheetId="99" r:id="rId23"/>
    <sheet name="תקציב החברה לפיתוח 2019" sheetId="117" r:id="rId24"/>
    <sheet name=" החברה לפיתוח 2019 פרקים" sheetId="167" state="hidden" r:id="rId25"/>
    <sheet name="תקציב החברה לפיתוח 2019 תאור" sheetId="174" r:id="rId26"/>
    <sheet name="אגף ת.ב.ל 2019" sheetId="69" r:id="rId27"/>
    <sheet name="אגף ת.ב.ל 2019 (2)" sheetId="160" r:id="rId28"/>
    <sheet name="תקציב אגף ת.ב.ל 2019" sheetId="119" r:id="rId29"/>
    <sheet name="תבל 2019 פרקים" sheetId="157" state="hidden" r:id="rId30"/>
    <sheet name="תקציב אגף ת.ב.ל 2019 תאור" sheetId="170" r:id="rId31"/>
    <sheet name="אגף בטחון פיקוח סד&quot;צ 2019" sheetId="71" r:id="rId32"/>
    <sheet name="תקציב אגף בטחון פיקוח סד&quot;צ 2019" sheetId="120" r:id="rId33"/>
    <sheet name="ביטחון פיקוח וסדצ 2019 פרקים" sheetId="156" state="hidden" r:id="rId34"/>
    <sheet name="אגף חינוך 2019" sheetId="72" r:id="rId35"/>
    <sheet name="תקציב אגף חינוך 2019" sheetId="121" r:id="rId36"/>
    <sheet name="חינוך 2019 פרקים" sheetId="155" state="hidden" r:id="rId37"/>
    <sheet name="אגף תנוס 2019" sheetId="74" r:id="rId38"/>
    <sheet name="תקציב אגף תנוס 2019" sheetId="122" r:id="rId39"/>
    <sheet name="תנוס 2019 פרקים" sheetId="154" state="hidden" r:id="rId40"/>
    <sheet name="אגף שאיפה 2019" sheetId="73" r:id="rId41"/>
    <sheet name="אגף שאיפה 2019 (2)" sheetId="161" r:id="rId42"/>
    <sheet name="תקציב אגף שאיפה  2019" sheetId="123" r:id="rId43"/>
    <sheet name="שאיפה 2019 פרקים" sheetId="153" state="hidden" r:id="rId44"/>
    <sheet name="תקציב אגף שאיפה  2019 תאור" sheetId="173" r:id="rId45"/>
    <sheet name="רשות החופים 2019" sheetId="75" r:id="rId46"/>
    <sheet name="תקציב רשות החופים 2019" sheetId="124" r:id="rId47"/>
    <sheet name="רשות החופים 2019 פרקים" sheetId="152" state="hidden" r:id="rId48"/>
    <sheet name="החברה לתירות 2019" sheetId="77" r:id="rId49"/>
    <sheet name="תקציב החברה לתירות 2019" sheetId="146" r:id="rId50"/>
    <sheet name="החברה לתיירות 2019 פרקים" sheetId="151" state="hidden" r:id="rId51"/>
    <sheet name="אגף תקשוב ומע. מידע 2019" sheetId="78" r:id="rId52"/>
    <sheet name="אגף תקשוב ומע. מידע 2019 (2)" sheetId="165" r:id="rId53"/>
    <sheet name="תקציב אגף תקשוב 2019" sheetId="125" r:id="rId54"/>
    <sheet name="מחשוב 2019 פרקים" sheetId="150" state="hidden" r:id="rId55"/>
    <sheet name="אגף נכסים וביטוח 2019" sheetId="158" r:id="rId56"/>
    <sheet name="תקציב אגף נכסים וביטוח 2019" sheetId="126" r:id="rId57"/>
    <sheet name="נכסים 2019 פרקים" sheetId="149" state="hidden" r:id="rId58"/>
    <sheet name="מינהל כללי 2019" sheetId="81" r:id="rId59"/>
    <sheet name="תקציב מינהל כללי 2019" sheetId="127" r:id="rId60"/>
    <sheet name="מינהל כללי 2019 פרקים" sheetId="148" state="hidden" r:id="rId61"/>
    <sheet name="תקציב 2018 - ביצוע" sheetId="63" r:id="rId62"/>
    <sheet name="ריכוז אגפים 2018" sheetId="142" r:id="rId63"/>
    <sheet name="הנדסה  2018" sheetId="141" r:id="rId64"/>
    <sheet name="החברה לפיתוח 2018" sheetId="140" r:id="rId65"/>
    <sheet name="תבל  2018" sheetId="139" r:id="rId66"/>
    <sheet name="ביטחון פיקוח וסדר ציבורי 2018" sheetId="138" r:id="rId67"/>
    <sheet name="חינוך 2018" sheetId="137" r:id="rId68"/>
    <sheet name=" תנוס  2018" sheetId="136" r:id="rId69"/>
    <sheet name="שאיפה 2018" sheetId="135" r:id="rId70"/>
    <sheet name="רשות החופים  2018" sheetId="134" r:id="rId71"/>
    <sheet name="איכות הסביבה 2018" sheetId="133" r:id="rId72"/>
    <sheet name="החברה לתיירות 2018" sheetId="132" r:id="rId73"/>
    <sheet name=" מחשוב  2018" sheetId="131" r:id="rId74"/>
    <sheet name="נכסים 2018" sheetId="130" r:id="rId75"/>
    <sheet name="שיפוצי בתים עמידר 2018" sheetId="129" r:id="rId76"/>
    <sheet name="כללי  2018" sheetId="128" r:id="rId77"/>
    <sheet name="ריכוז תקציב מעבר לתוכנית 2018" sheetId="145" r:id="rId78"/>
    <sheet name="פרויקטים החב. לפיתוח " sheetId="176" r:id="rId79"/>
  </sheets>
  <externalReferences>
    <externalReference r:id="rId80"/>
    <externalReference r:id="rId81"/>
    <externalReference r:id="rId82"/>
    <externalReference r:id="rId83"/>
    <externalReference r:id="rId84"/>
    <externalReference r:id="rId85"/>
  </externalReferences>
  <definedNames>
    <definedName name="_xlnm._FilterDatabase" localSheetId="63" hidden="1">'הנדסה  2018'!$A$6:$AJD$6</definedName>
    <definedName name="_xlnm._FilterDatabase" localSheetId="36" hidden="1">'חינוך 2019 פרקים'!$A$4:$AB$31</definedName>
    <definedName name="_xlnm._FilterDatabase" localSheetId="35" hidden="1">'תקציב אגף חינוך 2019'!$A$4:$AB$29</definedName>
    <definedName name="Print_Area_0" localSheetId="63">'הנדסה  2018'!$A$2:$AO$102</definedName>
    <definedName name="Print_Area_0_0" localSheetId="63">'הנדסה  2018'!$A$2:$AO$102</definedName>
    <definedName name="Print_Titles_0" localSheetId="63">'הנדסה  2018'!$3:$6</definedName>
    <definedName name="Print_Titles_0_0" localSheetId="63">'הנדסה  2018'!$3:$6</definedName>
    <definedName name="_xlnm.Print_Area" localSheetId="14">'פרוט מקורות אחרים'!$A$1:$O$16</definedName>
    <definedName name="_xlnm.Print_Area" localSheetId="13">'ריכוז פרקים'!$A$2:$X$20</definedName>
    <definedName name="_xlnm.Print_Area" localSheetId="8">'תקציב 2019 קרנות הרשות'!$A$1:$H$22</definedName>
    <definedName name="_xlnm.Print_Titles" localSheetId="24">' החברה לפיתוח 2019 פרקים'!$1:$4</definedName>
    <definedName name="_xlnm.Print_Titles" localSheetId="68">' תנוס  2018'!$4:$7</definedName>
    <definedName name="_xlnm.Print_Titles" localSheetId="71">'איכות הסביבה 2018'!$4:$7</definedName>
    <definedName name="_xlnm.Print_Titles" localSheetId="33">'ביטחון פיקוח וסדצ 2019 פרקים'!$1:$4</definedName>
    <definedName name="_xlnm.Print_Titles" localSheetId="66">'ביטחון פיקוח וסדר ציבורי 2018'!$4:$7</definedName>
    <definedName name="_xlnm.Print_Titles" localSheetId="64">'החברה לפיתוח 2018'!$1:$4</definedName>
    <definedName name="_xlnm.Print_Titles" localSheetId="72">'החברה לתיירות 2018'!$4:$7</definedName>
    <definedName name="_xlnm.Print_Titles" localSheetId="50">'החברה לתיירות 2019 פרקים'!$1:$4</definedName>
    <definedName name="_xlnm.Print_Titles" localSheetId="63">'הנדסה  2018'!$1:$6</definedName>
    <definedName name="_xlnm.Print_Titles" localSheetId="19">'הנדסה 2019 פרקים'!$1:$4</definedName>
    <definedName name="_xlnm.Print_Titles" localSheetId="67">'חינוך 2018'!$6:$7</definedName>
    <definedName name="_xlnm.Print_Titles" localSheetId="36">'חינוך 2019 פרקים'!$1:$4</definedName>
    <definedName name="_xlnm.Print_Titles" localSheetId="76">'כללי  2018'!$2:$5</definedName>
    <definedName name="_xlnm.Print_Titles" localSheetId="54">'מחשוב 2019 פרקים'!$1:$4</definedName>
    <definedName name="_xlnm.Print_Titles" localSheetId="60">'מינהל כללי 2019 פרקים'!$1:$4</definedName>
    <definedName name="_xlnm.Print_Titles" localSheetId="74">'נכסים 2018'!$4:$7</definedName>
    <definedName name="_xlnm.Print_Titles" localSheetId="57">'נכסים 2019 פרקים'!$1:$4</definedName>
    <definedName name="_xlnm.Print_Titles" localSheetId="78">'פרויקטים החב. לפיתוח '!$3:$7</definedName>
    <definedName name="_xlnm.Print_Titles" localSheetId="11">'ריכוז אגפים'!$2:$5</definedName>
    <definedName name="_xlnm.Print_Titles" localSheetId="62">'ריכוז אגפים 2018'!$2:$5</definedName>
    <definedName name="_xlnm.Print_Titles" localSheetId="13">'ריכוז פרקים'!$2:$5</definedName>
    <definedName name="_xlnm.Print_Titles" localSheetId="77">'ריכוז תקציב מעבר לתוכנית 2018'!$1:$5</definedName>
    <definedName name="_xlnm.Print_Titles" localSheetId="70">'רשות החופים  2018'!$1:$7</definedName>
    <definedName name="_xlnm.Print_Titles" localSheetId="47">'רשות החופים 2019 פרקים'!$1:$4</definedName>
    <definedName name="_xlnm.Print_Titles" localSheetId="69">'שאיפה 2018'!$1:$7</definedName>
    <definedName name="_xlnm.Print_Titles" localSheetId="43">'שאיפה 2019 פרקים'!$1:$4</definedName>
    <definedName name="_xlnm.Print_Titles" localSheetId="75">'שיפוצי בתים עמידר 2018'!$4:$7</definedName>
    <definedName name="_xlnm.Print_Titles" localSheetId="65">'תבל  2018'!$1:$5</definedName>
    <definedName name="_xlnm.Print_Titles" localSheetId="29">'תבל 2019 פרקים'!$1:$4</definedName>
    <definedName name="_xlnm.Print_Titles" localSheetId="39">'תנוס 2019 פרקים'!$1:$4</definedName>
    <definedName name="_xlnm.Print_Titles" localSheetId="32">'תקציב אגף בטחון פיקוח סד"צ 2019'!$1:$4</definedName>
    <definedName name="_xlnm.Print_Titles" localSheetId="35">'תקציב אגף חינוך 2019'!$1:$4</definedName>
    <definedName name="_xlnm.Print_Titles" localSheetId="56">'תקציב אגף נכסים וביטוח 2019'!$1:$4</definedName>
    <definedName name="_xlnm.Print_Titles" localSheetId="42">'תקציב אגף שאיפה  2019'!$2:$5</definedName>
    <definedName name="_xlnm.Print_Titles" localSheetId="44">'תקציב אגף שאיפה  2019 תאור'!$1:$4</definedName>
    <definedName name="_xlnm.Print_Titles" localSheetId="28">'תקציב אגף ת.ב.ל 2019'!$1:$4</definedName>
    <definedName name="_xlnm.Print_Titles" localSheetId="30">'תקציב אגף ת.ב.ל 2019 תאור'!$1:$4</definedName>
    <definedName name="_xlnm.Print_Titles" localSheetId="38">'תקציב אגף תנוס 2019'!$1:$4</definedName>
    <definedName name="_xlnm.Print_Titles" localSheetId="53">'תקציב אגף תקשוב 2019'!$1:$4</definedName>
    <definedName name="_xlnm.Print_Titles" localSheetId="23">'תקציב החברה לפיתוח 2019'!$2:$5</definedName>
    <definedName name="_xlnm.Print_Titles" localSheetId="25">'תקציב החברה לפיתוח 2019 תאור'!$2:$5</definedName>
    <definedName name="_xlnm.Print_Titles" localSheetId="49">'תקציב החברה לתירות 2019'!$1:$4</definedName>
    <definedName name="_xlnm.Print_Titles" localSheetId="18">'תקציב הנדסה 2019'!$1:$4</definedName>
    <definedName name="_xlnm.Print_Titles" localSheetId="20">'תקציב הנדסה 2019 תאור'!$1:$4</definedName>
    <definedName name="_xlnm.Print_Titles" localSheetId="59">'תקציב מינהל כללי 2019'!$1:$4</definedName>
    <definedName name="_xlnm.Print_Titles" localSheetId="46">'תקציב רשות החופים 2019'!$1:$4</definedName>
  </definedNames>
  <calcPr calcId="162913"/>
</workbook>
</file>

<file path=xl/calcChain.xml><?xml version="1.0" encoding="utf-8"?>
<calcChain xmlns="http://schemas.openxmlformats.org/spreadsheetml/2006/main">
  <c r="C83" i="145" l="1"/>
  <c r="C84" i="145"/>
  <c r="C85" i="145"/>
  <c r="C86" i="145"/>
  <c r="C87" i="145" s="1"/>
  <c r="C88" i="145" s="1"/>
  <c r="C49" i="145"/>
  <c r="C50" i="145"/>
  <c r="C51" i="145"/>
  <c r="C52" i="145" s="1"/>
  <c r="C53" i="145" s="1"/>
  <c r="C54" i="145" s="1"/>
  <c r="C55" i="145" s="1"/>
  <c r="C56" i="145" s="1"/>
  <c r="C57" i="145" s="1"/>
  <c r="C58" i="145" s="1"/>
  <c r="C59" i="145" s="1"/>
  <c r="C60" i="145" s="1"/>
  <c r="C61" i="145" s="1"/>
  <c r="C62" i="145" s="1"/>
  <c r="C63" i="145" s="1"/>
  <c r="C64" i="145" s="1"/>
  <c r="C65" i="145" s="1"/>
  <c r="C66" i="145" s="1"/>
  <c r="C67" i="145" s="1"/>
  <c r="C68" i="145" s="1"/>
  <c r="C69" i="145" s="1"/>
  <c r="C70" i="145" s="1"/>
  <c r="C71" i="145" s="1"/>
  <c r="C72" i="145" s="1"/>
  <c r="C73" i="145" s="1"/>
  <c r="C74" i="145" s="1"/>
  <c r="C75" i="145" s="1"/>
  <c r="C76" i="145" s="1"/>
  <c r="C26" i="145"/>
  <c r="C27" i="145"/>
  <c r="C28" i="145"/>
  <c r="C29" i="145"/>
  <c r="C30" i="145" s="1"/>
  <c r="C31" i="145" s="1"/>
  <c r="C32" i="145" s="1"/>
  <c r="C33" i="145" s="1"/>
  <c r="C34" i="145" s="1"/>
  <c r="C35" i="145" s="1"/>
  <c r="C36" i="145" s="1"/>
  <c r="C37" i="145" s="1"/>
  <c r="C38" i="145" s="1"/>
  <c r="C39" i="145" s="1"/>
  <c r="C40" i="145" s="1"/>
  <c r="C41" i="145" s="1"/>
  <c r="C42" i="145" s="1"/>
  <c r="C43" i="145" s="1"/>
  <c r="C10" i="145"/>
  <c r="C11" i="145"/>
  <c r="C12" i="145"/>
  <c r="C13" i="145" s="1"/>
  <c r="C14" i="145" s="1"/>
  <c r="C15" i="145" s="1"/>
  <c r="C16" i="145" s="1"/>
  <c r="C17" i="145" s="1"/>
  <c r="C18" i="145" s="1"/>
  <c r="C19" i="145" s="1"/>
  <c r="C20" i="145" s="1"/>
  <c r="C9" i="145"/>
  <c r="A8" i="127" l="1"/>
  <c r="A9" i="127" s="1"/>
  <c r="A10" i="127" s="1"/>
  <c r="A11" i="127" s="1"/>
  <c r="A12" i="127" s="1"/>
  <c r="A13" i="127" s="1"/>
  <c r="A14" i="127" s="1"/>
  <c r="A15" i="127" s="1"/>
  <c r="A9" i="124"/>
  <c r="A10" i="124" s="1"/>
  <c r="A11" i="124" s="1"/>
  <c r="A12" i="124" s="1"/>
  <c r="A13" i="124" s="1"/>
  <c r="A14" i="124" s="1"/>
  <c r="A15" i="124" s="1"/>
  <c r="A16" i="124" s="1"/>
  <c r="A17" i="124" s="1"/>
  <c r="A18" i="124" s="1"/>
  <c r="A19" i="124" s="1"/>
  <c r="A20" i="124" s="1"/>
  <c r="A21" i="124" s="1"/>
  <c r="A22" i="124" s="1"/>
  <c r="A23" i="124" s="1"/>
  <c r="A24" i="124" s="1"/>
  <c r="A8" i="119"/>
  <c r="A9" i="119"/>
  <c r="A10" i="119"/>
  <c r="A11" i="119"/>
  <c r="A12" i="119" s="1"/>
  <c r="A13" i="119" s="1"/>
  <c r="A14" i="119" s="1"/>
  <c r="A15" i="119" s="1"/>
  <c r="A16" i="119" s="1"/>
  <c r="A17" i="119" s="1"/>
  <c r="A18" i="119" s="1"/>
  <c r="A19" i="119" s="1"/>
  <c r="A20" i="119" s="1"/>
  <c r="A21" i="119" s="1"/>
  <c r="A22" i="119" s="1"/>
  <c r="A23" i="119" s="1"/>
  <c r="A24" i="119" s="1"/>
  <c r="A25" i="119" s="1"/>
  <c r="A26" i="119" s="1"/>
  <c r="A27" i="119" s="1"/>
  <c r="A28" i="119" s="1"/>
  <c r="A29" i="119" s="1"/>
  <c r="A30" i="119" s="1"/>
  <c r="A31" i="119" s="1"/>
  <c r="A32" i="119" s="1"/>
  <c r="A33" i="119" s="1"/>
  <c r="A34" i="119" s="1"/>
  <c r="A35" i="119" s="1"/>
  <c r="A36" i="119" s="1"/>
  <c r="A37" i="119" s="1"/>
  <c r="A38" i="119" s="1"/>
  <c r="A39" i="119" s="1"/>
  <c r="A40" i="119" s="1"/>
  <c r="A41" i="119" s="1"/>
  <c r="A42" i="119" s="1"/>
  <c r="A43" i="119" s="1"/>
  <c r="A44" i="119" s="1"/>
  <c r="A45" i="119" s="1"/>
  <c r="A46" i="119" s="1"/>
  <c r="A47" i="119" s="1"/>
  <c r="A48" i="119" s="1"/>
  <c r="A49" i="119" s="1"/>
  <c r="A50" i="119" s="1"/>
  <c r="A51" i="119" s="1"/>
  <c r="A52" i="119" s="1"/>
  <c r="A53" i="119" s="1"/>
  <c r="A54" i="119" s="1"/>
  <c r="A55" i="119" s="1"/>
  <c r="A56" i="119" s="1"/>
  <c r="A57" i="119" s="1"/>
  <c r="A58" i="119" s="1"/>
  <c r="A59" i="119" s="1"/>
  <c r="A60" i="119" s="1"/>
  <c r="A61" i="119" s="1"/>
  <c r="A62" i="119" s="1"/>
  <c r="A63" i="119" s="1"/>
  <c r="A64" i="119" s="1"/>
  <c r="A65" i="119" s="1"/>
  <c r="A66" i="119" s="1"/>
  <c r="A67" i="119" s="1"/>
  <c r="A68" i="119" s="1"/>
  <c r="A69" i="119" s="1"/>
  <c r="A117" i="174"/>
  <c r="A98" i="174"/>
  <c r="A99" i="174" s="1"/>
  <c r="A100" i="174" s="1"/>
  <c r="A101" i="174" s="1"/>
  <c r="A102" i="174" s="1"/>
  <c r="A103" i="174" s="1"/>
  <c r="A104" i="174" s="1"/>
  <c r="A105" i="174" s="1"/>
  <c r="A106" i="174" s="1"/>
  <c r="A107" i="174" s="1"/>
  <c r="A108" i="174" s="1"/>
  <c r="A109" i="174" s="1"/>
  <c r="A110" i="174" s="1"/>
  <c r="A111" i="174" s="1"/>
  <c r="A112" i="174" s="1"/>
  <c r="A113" i="174" s="1"/>
  <c r="A114" i="174" s="1"/>
  <c r="A96" i="174"/>
  <c r="A10" i="174"/>
  <c r="A11" i="174"/>
  <c r="A12" i="174"/>
  <c r="A13" i="174"/>
  <c r="A14" i="174" s="1"/>
  <c r="A15" i="174" s="1"/>
  <c r="A16" i="174" s="1"/>
  <c r="A17" i="174" s="1"/>
  <c r="A18" i="174" s="1"/>
  <c r="A19" i="174" s="1"/>
  <c r="A20" i="174" s="1"/>
  <c r="A21" i="174" s="1"/>
  <c r="A22" i="174" s="1"/>
  <c r="A23" i="174" s="1"/>
  <c r="A24" i="174" s="1"/>
  <c r="A25" i="174" s="1"/>
  <c r="A26" i="174" s="1"/>
  <c r="A27" i="174" s="1"/>
  <c r="A28" i="174" s="1"/>
  <c r="A29" i="174" s="1"/>
  <c r="A30" i="174" s="1"/>
  <c r="A31" i="174" s="1"/>
  <c r="A32" i="174" s="1"/>
  <c r="A33" i="174" s="1"/>
  <c r="A34" i="174" s="1"/>
  <c r="A35" i="174" s="1"/>
  <c r="A36" i="174" s="1"/>
  <c r="A37" i="174" s="1"/>
  <c r="A38" i="174" s="1"/>
  <c r="A39" i="174" s="1"/>
  <c r="A40" i="174" s="1"/>
  <c r="A41" i="174" s="1"/>
  <c r="A42" i="174" s="1"/>
  <c r="A43" i="174" s="1"/>
  <c r="A44" i="174" s="1"/>
  <c r="A45" i="174" s="1"/>
  <c r="A46" i="174" s="1"/>
  <c r="A47" i="174" s="1"/>
  <c r="A48" i="174" s="1"/>
  <c r="A49" i="174" s="1"/>
  <c r="A50" i="174" s="1"/>
  <c r="A51" i="174" s="1"/>
  <c r="A52" i="174" s="1"/>
  <c r="A53" i="174" s="1"/>
  <c r="A54" i="174" s="1"/>
  <c r="A55" i="174" s="1"/>
  <c r="A56" i="174" s="1"/>
  <c r="A57" i="174" s="1"/>
  <c r="A58" i="174" s="1"/>
  <c r="A59" i="174" s="1"/>
  <c r="A60" i="174" s="1"/>
  <c r="A61" i="174" s="1"/>
  <c r="A62" i="174" s="1"/>
  <c r="A63" i="174" s="1"/>
  <c r="A64" i="174" s="1"/>
  <c r="A65" i="174" s="1"/>
  <c r="A66" i="174" s="1"/>
  <c r="A67" i="174" s="1"/>
  <c r="A68" i="174" s="1"/>
  <c r="A69" i="174" s="1"/>
  <c r="A70" i="174" s="1"/>
  <c r="A71" i="174" s="1"/>
  <c r="A72" i="174" s="1"/>
  <c r="A73" i="174" s="1"/>
  <c r="A74" i="174" s="1"/>
  <c r="A75" i="174" s="1"/>
  <c r="A76" i="174" s="1"/>
  <c r="A77" i="174" s="1"/>
  <c r="A78" i="174" s="1"/>
  <c r="A79" i="174" s="1"/>
  <c r="A80" i="174" s="1"/>
  <c r="A81" i="174" s="1"/>
  <c r="A82" i="174" s="1"/>
  <c r="A83" i="174" s="1"/>
  <c r="A84" i="174" s="1"/>
  <c r="A85" i="174" s="1"/>
  <c r="A86" i="174" s="1"/>
  <c r="A87" i="174" s="1"/>
  <c r="A88" i="174" s="1"/>
  <c r="A89" i="174" s="1"/>
  <c r="A90" i="174" s="1"/>
  <c r="A91" i="174" s="1"/>
  <c r="A92" i="174" s="1"/>
  <c r="A117" i="117"/>
  <c r="A98" i="117"/>
  <c r="A99" i="117" s="1"/>
  <c r="A100" i="117" s="1"/>
  <c r="A101" i="117" s="1"/>
  <c r="A102" i="117" s="1"/>
  <c r="A103" i="117" s="1"/>
  <c r="A104" i="117" s="1"/>
  <c r="A105" i="117" s="1"/>
  <c r="A106" i="117" s="1"/>
  <c r="A107" i="117" s="1"/>
  <c r="A108" i="117" s="1"/>
  <c r="A109" i="117" s="1"/>
  <c r="A110" i="117" s="1"/>
  <c r="A111" i="117" s="1"/>
  <c r="A112" i="117" s="1"/>
  <c r="A113" i="117" s="1"/>
  <c r="A114" i="117" s="1"/>
  <c r="A96" i="117"/>
  <c r="A9" i="117"/>
  <c r="A10" i="117"/>
  <c r="A11" i="117"/>
  <c r="A12" i="117"/>
  <c r="A13" i="117" s="1"/>
  <c r="A14" i="117" s="1"/>
  <c r="A15" i="117" s="1"/>
  <c r="A16" i="117" s="1"/>
  <c r="A17" i="117" s="1"/>
  <c r="A18" i="117" s="1"/>
  <c r="A19" i="117" s="1"/>
  <c r="A20" i="117" s="1"/>
  <c r="A21" i="117" s="1"/>
  <c r="A22" i="117" s="1"/>
  <c r="A23" i="117" s="1"/>
  <c r="A24" i="117" s="1"/>
  <c r="A25" i="117" s="1"/>
  <c r="A26" i="117" s="1"/>
  <c r="A27" i="117" s="1"/>
  <c r="A28" i="117" s="1"/>
  <c r="A29" i="117" s="1"/>
  <c r="A30" i="117" s="1"/>
  <c r="A31" i="117" s="1"/>
  <c r="A32" i="117" s="1"/>
  <c r="A33" i="117" s="1"/>
  <c r="A34" i="117" s="1"/>
  <c r="A35" i="117" s="1"/>
  <c r="A36" i="117" s="1"/>
  <c r="A37" i="117" s="1"/>
  <c r="A38" i="117" s="1"/>
  <c r="A39" i="117" s="1"/>
  <c r="A40" i="117" s="1"/>
  <c r="A41" i="117" s="1"/>
  <c r="A42" i="117" s="1"/>
  <c r="A43" i="117" s="1"/>
  <c r="A44" i="117" s="1"/>
  <c r="A45" i="117" s="1"/>
  <c r="A46" i="117" s="1"/>
  <c r="A47" i="117" s="1"/>
  <c r="A48" i="117" s="1"/>
  <c r="A49" i="117" s="1"/>
  <c r="A50" i="117" s="1"/>
  <c r="A51" i="117" s="1"/>
  <c r="A52" i="117" s="1"/>
  <c r="A53" i="117" s="1"/>
  <c r="A54" i="117" s="1"/>
  <c r="A55" i="117" s="1"/>
  <c r="A56" i="117" s="1"/>
  <c r="A57" i="117" s="1"/>
  <c r="A58" i="117" s="1"/>
  <c r="A59" i="117" s="1"/>
  <c r="A60" i="117" s="1"/>
  <c r="A61" i="117" s="1"/>
  <c r="A62" i="117" s="1"/>
  <c r="A63" i="117" s="1"/>
  <c r="A64" i="117" s="1"/>
  <c r="A65" i="117" s="1"/>
  <c r="A66" i="117" s="1"/>
  <c r="A67" i="117" s="1"/>
  <c r="A68" i="117" s="1"/>
  <c r="A69" i="117" s="1"/>
  <c r="A70" i="117" s="1"/>
  <c r="A71" i="117" s="1"/>
  <c r="A72" i="117" s="1"/>
  <c r="A73" i="117" s="1"/>
  <c r="A74" i="117" s="1"/>
  <c r="A75" i="117" s="1"/>
  <c r="A76" i="117" s="1"/>
  <c r="A77" i="117" s="1"/>
  <c r="A78" i="117" s="1"/>
  <c r="A79" i="117" s="1"/>
  <c r="A80" i="117" s="1"/>
  <c r="A81" i="117" s="1"/>
  <c r="A82" i="117" s="1"/>
  <c r="A83" i="117" s="1"/>
  <c r="A84" i="117" s="1"/>
  <c r="A85" i="117" s="1"/>
  <c r="A86" i="117" s="1"/>
  <c r="A87" i="117" s="1"/>
  <c r="A88" i="117" s="1"/>
  <c r="A89" i="117" s="1"/>
  <c r="A90" i="117" s="1"/>
  <c r="A91" i="117" s="1"/>
  <c r="A92" i="117" s="1"/>
  <c r="A85" i="168" l="1"/>
  <c r="A86" i="168"/>
  <c r="A87" i="168"/>
  <c r="A88" i="168"/>
  <c r="A89" i="168" s="1"/>
  <c r="A90" i="168" s="1"/>
  <c r="A91" i="168" s="1"/>
  <c r="A92" i="168" s="1"/>
  <c r="A93" i="168" s="1"/>
  <c r="A94" i="168" s="1"/>
  <c r="A95" i="168" s="1"/>
  <c r="A96" i="168" s="1"/>
  <c r="A97" i="168" s="1"/>
  <c r="A98" i="168" s="1"/>
  <c r="A99" i="168" s="1"/>
  <c r="A100" i="168" s="1"/>
  <c r="A101" i="168" s="1"/>
  <c r="A102" i="168" s="1"/>
  <c r="A103" i="168" s="1"/>
  <c r="A83" i="168"/>
  <c r="A84" i="168" s="1"/>
  <c r="A9" i="168"/>
  <c r="A10" i="168"/>
  <c r="A11" i="168"/>
  <c r="A12" i="168"/>
  <c r="A13" i="168" s="1"/>
  <c r="A14" i="168" s="1"/>
  <c r="A15" i="168" s="1"/>
  <c r="A16" i="168" s="1"/>
  <c r="A17" i="168" s="1"/>
  <c r="A18" i="168" s="1"/>
  <c r="A19" i="168" s="1"/>
  <c r="A20" i="168" s="1"/>
  <c r="A21" i="168" s="1"/>
  <c r="A22" i="168" s="1"/>
  <c r="A23" i="168" s="1"/>
  <c r="A24" i="168" s="1"/>
  <c r="A25" i="168" s="1"/>
  <c r="A26" i="168" s="1"/>
  <c r="A27" i="168" s="1"/>
  <c r="A28" i="168" s="1"/>
  <c r="A29" i="168" s="1"/>
  <c r="A30" i="168" s="1"/>
  <c r="A31" i="168" s="1"/>
  <c r="A32" i="168" s="1"/>
  <c r="A33" i="168" s="1"/>
  <c r="A34" i="168" s="1"/>
  <c r="A35" i="168" s="1"/>
  <c r="A36" i="168" s="1"/>
  <c r="A37" i="168" s="1"/>
  <c r="A38" i="168" s="1"/>
  <c r="A39" i="168" s="1"/>
  <c r="A40" i="168" s="1"/>
  <c r="A41" i="168" s="1"/>
  <c r="A42" i="168" s="1"/>
  <c r="A43" i="168" s="1"/>
  <c r="A44" i="168" s="1"/>
  <c r="A45" i="168" s="1"/>
  <c r="A46" i="168" s="1"/>
  <c r="A47" i="168" s="1"/>
  <c r="A48" i="168" s="1"/>
  <c r="A49" i="168" s="1"/>
  <c r="A50" i="168" s="1"/>
  <c r="A51" i="168" s="1"/>
  <c r="A52" i="168" s="1"/>
  <c r="A53" i="168" s="1"/>
  <c r="A54" i="168" s="1"/>
  <c r="A55" i="168" s="1"/>
  <c r="A56" i="168" s="1"/>
  <c r="A57" i="168" s="1"/>
  <c r="A58" i="168" s="1"/>
  <c r="A59" i="168" s="1"/>
  <c r="A60" i="168" s="1"/>
  <c r="A61" i="168" s="1"/>
  <c r="A62" i="168" s="1"/>
  <c r="A63" i="168" s="1"/>
  <c r="A64" i="168" s="1"/>
  <c r="A65" i="168" s="1"/>
  <c r="A66" i="168" s="1"/>
  <c r="A67" i="168" s="1"/>
  <c r="A68" i="168" s="1"/>
  <c r="A69" i="168" s="1"/>
  <c r="A70" i="168" s="1"/>
  <c r="A71" i="168" s="1"/>
  <c r="A72" i="168" s="1"/>
  <c r="A73" i="168" s="1"/>
  <c r="A74" i="168" s="1"/>
  <c r="A75" i="168" s="1"/>
  <c r="A76" i="168" s="1"/>
  <c r="A77" i="168" s="1"/>
  <c r="A78" i="168" s="1"/>
  <c r="A79" i="168" s="1"/>
  <c r="A80" i="168" s="1"/>
  <c r="A81" i="168" s="1"/>
  <c r="A82" i="168" s="1"/>
  <c r="A76" i="116"/>
  <c r="A77" i="116" s="1"/>
  <c r="A78" i="116" s="1"/>
  <c r="A79" i="116" s="1"/>
  <c r="A80" i="116" s="1"/>
  <c r="A81" i="116" s="1"/>
  <c r="A82" i="116" s="1"/>
  <c r="A83" i="116" s="1"/>
  <c r="A84" i="116" s="1"/>
  <c r="A85" i="116" s="1"/>
  <c r="A86" i="116" s="1"/>
  <c r="A87" i="116" s="1"/>
  <c r="A88" i="116" s="1"/>
  <c r="A89" i="116" s="1"/>
  <c r="A90" i="116" s="1"/>
  <c r="A91" i="116" s="1"/>
  <c r="A92" i="116" s="1"/>
  <c r="A93" i="116" s="1"/>
  <c r="A94" i="116" s="1"/>
  <c r="A95" i="116" s="1"/>
  <c r="A96" i="116" s="1"/>
  <c r="A97" i="116" s="1"/>
  <c r="A98" i="116" s="1"/>
  <c r="A99" i="116" s="1"/>
  <c r="A100" i="116" s="1"/>
  <c r="A101" i="116" s="1"/>
  <c r="A102" i="116" s="1"/>
  <c r="A103" i="116" s="1"/>
  <c r="A66" i="116"/>
  <c r="A67" i="116"/>
  <c r="A68" i="116"/>
  <c r="A69" i="116"/>
  <c r="A70" i="116" s="1"/>
  <c r="A71" i="116" s="1"/>
  <c r="A72" i="116" s="1"/>
  <c r="A73" i="116" s="1"/>
  <c r="A74" i="116" s="1"/>
  <c r="A75" i="116" s="1"/>
  <c r="A56" i="116"/>
  <c r="A57" i="116"/>
  <c r="A58" i="116"/>
  <c r="A59" i="116"/>
  <c r="A60" i="116" s="1"/>
  <c r="A61" i="116" s="1"/>
  <c r="A62" i="116" s="1"/>
  <c r="A63" i="116" s="1"/>
  <c r="A64" i="116" s="1"/>
  <c r="A65" i="116" s="1"/>
  <c r="A46" i="116"/>
  <c r="A47" i="116"/>
  <c r="A48" i="116"/>
  <c r="A49" i="116"/>
  <c r="A50" i="116" s="1"/>
  <c r="A51" i="116" s="1"/>
  <c r="A52" i="116" s="1"/>
  <c r="A53" i="116" s="1"/>
  <c r="A54" i="116" s="1"/>
  <c r="A55" i="116" s="1"/>
  <c r="A29" i="116"/>
  <c r="A30" i="116" s="1"/>
  <c r="A31" i="116" s="1"/>
  <c r="A32" i="116" s="1"/>
  <c r="A33" i="116" s="1"/>
  <c r="A34" i="116" s="1"/>
  <c r="A35" i="116" s="1"/>
  <c r="A36" i="116" s="1"/>
  <c r="A37" i="116" s="1"/>
  <c r="A38" i="116" s="1"/>
  <c r="A39" i="116" s="1"/>
  <c r="A40" i="116" s="1"/>
  <c r="A41" i="116" s="1"/>
  <c r="A42" i="116" s="1"/>
  <c r="A43" i="116" s="1"/>
  <c r="A44" i="116" s="1"/>
  <c r="A45" i="116" s="1"/>
  <c r="A23" i="116"/>
  <c r="A24" i="116"/>
  <c r="A25" i="116"/>
  <c r="A26" i="116"/>
  <c r="A27" i="116" s="1"/>
  <c r="A28" i="116" s="1"/>
  <c r="A18" i="116"/>
  <c r="A19" i="116"/>
  <c r="A20" i="116"/>
  <c r="A21" i="116"/>
  <c r="A22" i="116" s="1"/>
  <c r="A14" i="116"/>
  <c r="A15" i="116"/>
  <c r="A16" i="116"/>
  <c r="A17" i="116"/>
  <c r="A8" i="116"/>
  <c r="A9" i="116"/>
  <c r="A10" i="116"/>
  <c r="A11" i="116"/>
  <c r="A12" i="116" s="1"/>
  <c r="A13" i="116" s="1"/>
  <c r="M14" i="127"/>
  <c r="C20" i="38"/>
  <c r="G21" i="42"/>
  <c r="G20" i="42"/>
  <c r="G16" i="42"/>
  <c r="G14" i="42"/>
  <c r="C36" i="176" l="1"/>
  <c r="C86" i="176"/>
  <c r="C46" i="176"/>
  <c r="C97" i="176"/>
  <c r="C54" i="176"/>
  <c r="C107" i="176"/>
  <c r="C33" i="176"/>
  <c r="C29" i="176"/>
  <c r="C105" i="176"/>
  <c r="C67" i="176"/>
  <c r="C47" i="176"/>
  <c r="C53" i="176"/>
  <c r="C28" i="176"/>
  <c r="C13" i="176"/>
  <c r="C73" i="176"/>
  <c r="C18" i="176"/>
  <c r="X117" i="174"/>
  <c r="I117" i="174"/>
  <c r="Z115" i="174"/>
  <c r="X115" i="174"/>
  <c r="W115" i="174"/>
  <c r="R115" i="174"/>
  <c r="R117" i="174" s="1"/>
  <c r="I115" i="174"/>
  <c r="H115" i="174"/>
  <c r="H117" i="174" s="1"/>
  <c r="E115" i="174"/>
  <c r="E117" i="174" s="1"/>
  <c r="S114" i="174"/>
  <c r="L114" i="174"/>
  <c r="P114" i="174" s="1"/>
  <c r="K114" i="174"/>
  <c r="F114" i="174"/>
  <c r="Q113" i="174"/>
  <c r="Q115" i="174" s="1"/>
  <c r="Q117" i="174" s="1"/>
  <c r="L113" i="174"/>
  <c r="K113" i="174"/>
  <c r="F113" i="174"/>
  <c r="S112" i="174"/>
  <c r="P112" i="174"/>
  <c r="L112" i="174"/>
  <c r="K112" i="174"/>
  <c r="F112" i="174"/>
  <c r="S111" i="174"/>
  <c r="K111" i="174"/>
  <c r="L111" i="174" s="1"/>
  <c r="F111" i="174"/>
  <c r="S110" i="174"/>
  <c r="P110" i="174"/>
  <c r="L110" i="174"/>
  <c r="K110" i="174"/>
  <c r="D110" i="174"/>
  <c r="S109" i="174"/>
  <c r="J109" i="174"/>
  <c r="H109" i="174"/>
  <c r="F109" i="174"/>
  <c r="D109" i="174"/>
  <c r="S108" i="174"/>
  <c r="P108" i="174"/>
  <c r="N108" i="174"/>
  <c r="L108" i="174"/>
  <c r="K108" i="174"/>
  <c r="F108" i="174"/>
  <c r="S107" i="174"/>
  <c r="M107" i="174" s="1"/>
  <c r="O107" i="174" s="1"/>
  <c r="L107" i="174"/>
  <c r="P107" i="174" s="1"/>
  <c r="T107" i="174" s="1"/>
  <c r="U107" i="174" s="1"/>
  <c r="K107" i="174"/>
  <c r="F107" i="174"/>
  <c r="T106" i="174"/>
  <c r="U106" i="174" s="1"/>
  <c r="S106" i="174"/>
  <c r="L106" i="174"/>
  <c r="P106" i="174" s="1"/>
  <c r="M106" i="174" s="1"/>
  <c r="K106" i="174"/>
  <c r="D106" i="174"/>
  <c r="S105" i="174"/>
  <c r="K105" i="174"/>
  <c r="L105" i="174" s="1"/>
  <c r="F105" i="174"/>
  <c r="S104" i="174"/>
  <c r="P104" i="174"/>
  <c r="M104" i="174"/>
  <c r="O104" i="174" s="1"/>
  <c r="K104" i="174"/>
  <c r="L104" i="174" s="1"/>
  <c r="F104" i="174"/>
  <c r="S103" i="174"/>
  <c r="P103" i="174"/>
  <c r="M103" i="174"/>
  <c r="K103" i="174"/>
  <c r="L103" i="174" s="1"/>
  <c r="F103" i="174"/>
  <c r="D103" i="174"/>
  <c r="S102" i="174"/>
  <c r="K102" i="174"/>
  <c r="H102" i="174"/>
  <c r="F102" i="174"/>
  <c r="S101" i="174"/>
  <c r="K101" i="174"/>
  <c r="L101" i="174" s="1"/>
  <c r="F101" i="174"/>
  <c r="S100" i="174"/>
  <c r="L100" i="174"/>
  <c r="K100" i="174"/>
  <c r="F100" i="174"/>
  <c r="S99" i="174"/>
  <c r="P99" i="174"/>
  <c r="L99" i="174"/>
  <c r="K99" i="174"/>
  <c r="G99" i="174"/>
  <c r="F99" i="174"/>
  <c r="S98" i="174"/>
  <c r="K98" i="174"/>
  <c r="L98" i="174" s="1"/>
  <c r="F98" i="174"/>
  <c r="Z97" i="174"/>
  <c r="S97" i="174"/>
  <c r="P97" i="174"/>
  <c r="N97" i="174"/>
  <c r="M97" i="174"/>
  <c r="T97" i="174" s="1"/>
  <c r="L97" i="174"/>
  <c r="K97" i="174"/>
  <c r="F97" i="174"/>
  <c r="A97" i="174"/>
  <c r="Z96" i="174"/>
  <c r="S96" i="174"/>
  <c r="Q96" i="174"/>
  <c r="N96" i="174"/>
  <c r="K96" i="174"/>
  <c r="G96" i="174"/>
  <c r="G115" i="174" s="1"/>
  <c r="F96" i="174"/>
  <c r="AA93" i="174"/>
  <c r="Y93" i="174"/>
  <c r="X93" i="174"/>
  <c r="R93" i="174"/>
  <c r="J93" i="174"/>
  <c r="I93" i="174"/>
  <c r="H93" i="174"/>
  <c r="E93" i="174"/>
  <c r="N92" i="174"/>
  <c r="F92" i="174"/>
  <c r="D92" i="174"/>
  <c r="V91" i="174"/>
  <c r="U91" i="174"/>
  <c r="O91" i="174"/>
  <c r="F91" i="174"/>
  <c r="V90" i="174"/>
  <c r="U90" i="174"/>
  <c r="O90" i="174"/>
  <c r="F90" i="174"/>
  <c r="S89" i="174"/>
  <c r="N89" i="174"/>
  <c r="K89" i="174"/>
  <c r="L89" i="174" s="1"/>
  <c r="P89" i="174" s="1"/>
  <c r="F89" i="174"/>
  <c r="S88" i="174"/>
  <c r="L88" i="174"/>
  <c r="P88" i="174" s="1"/>
  <c r="K88" i="174"/>
  <c r="F88" i="174"/>
  <c r="S87" i="174"/>
  <c r="L87" i="174"/>
  <c r="K87" i="174"/>
  <c r="F87" i="174"/>
  <c r="S86" i="174"/>
  <c r="L86" i="174"/>
  <c r="P86" i="174" s="1"/>
  <c r="K86" i="174"/>
  <c r="F86" i="174"/>
  <c r="S85" i="174"/>
  <c r="K85" i="174"/>
  <c r="L85" i="174" s="1"/>
  <c r="P85" i="174" s="1"/>
  <c r="F85" i="174"/>
  <c r="S84" i="174"/>
  <c r="L84" i="174"/>
  <c r="P84" i="174" s="1"/>
  <c r="K84" i="174"/>
  <c r="F84" i="174"/>
  <c r="S83" i="174"/>
  <c r="N83" i="174"/>
  <c r="L83" i="174"/>
  <c r="P83" i="174" s="1"/>
  <c r="M83" i="174" s="1"/>
  <c r="K83" i="174"/>
  <c r="F83" i="174"/>
  <c r="D83" i="174"/>
  <c r="S82" i="174"/>
  <c r="L82" i="174"/>
  <c r="P82" i="174" s="1"/>
  <c r="K82" i="174"/>
  <c r="F82" i="174"/>
  <c r="S81" i="174"/>
  <c r="N81" i="174"/>
  <c r="L81" i="174"/>
  <c r="K81" i="174"/>
  <c r="F81" i="174"/>
  <c r="S80" i="174"/>
  <c r="P80" i="174"/>
  <c r="K80" i="174"/>
  <c r="L80" i="174" s="1"/>
  <c r="F80" i="174"/>
  <c r="S79" i="174"/>
  <c r="P79" i="174"/>
  <c r="N79" i="174"/>
  <c r="L79" i="174"/>
  <c r="K79" i="174"/>
  <c r="F79" i="174"/>
  <c r="S78" i="174"/>
  <c r="P78" i="174"/>
  <c r="K78" i="174"/>
  <c r="L78" i="174" s="1"/>
  <c r="F78" i="174"/>
  <c r="S77" i="174"/>
  <c r="P77" i="174"/>
  <c r="M77" i="174"/>
  <c r="K77" i="174"/>
  <c r="L77" i="174" s="1"/>
  <c r="F77" i="174"/>
  <c r="S76" i="174"/>
  <c r="K76" i="174"/>
  <c r="L76" i="174" s="1"/>
  <c r="F76" i="174"/>
  <c r="S75" i="174"/>
  <c r="N75" i="174"/>
  <c r="K75" i="174"/>
  <c r="L75" i="174" s="1"/>
  <c r="P75" i="174" s="1"/>
  <c r="F75" i="174"/>
  <c r="S74" i="174"/>
  <c r="K74" i="174"/>
  <c r="L74" i="174" s="1"/>
  <c r="F74" i="174"/>
  <c r="Q73" i="174"/>
  <c r="S73" i="174" s="1"/>
  <c r="L73" i="174"/>
  <c r="P73" i="174" s="1"/>
  <c r="M73" i="174" s="1"/>
  <c r="K73" i="174"/>
  <c r="F73" i="174"/>
  <c r="S72" i="174"/>
  <c r="P72" i="174"/>
  <c r="N72" i="174"/>
  <c r="K72" i="174"/>
  <c r="L72" i="174" s="1"/>
  <c r="F72" i="174"/>
  <c r="S71" i="174"/>
  <c r="K71" i="174"/>
  <c r="L71" i="174" s="1"/>
  <c r="F71" i="174"/>
  <c r="S70" i="174"/>
  <c r="Q70" i="174"/>
  <c r="N70" i="174"/>
  <c r="K70" i="174"/>
  <c r="L70" i="174" s="1"/>
  <c r="G70" i="174"/>
  <c r="P70" i="174" s="1"/>
  <c r="F70" i="174"/>
  <c r="S69" i="174"/>
  <c r="L69" i="174"/>
  <c r="P69" i="174" s="1"/>
  <c r="K69" i="174"/>
  <c r="F69" i="174"/>
  <c r="S68" i="174"/>
  <c r="P68" i="174"/>
  <c r="K68" i="174"/>
  <c r="L68" i="174" s="1"/>
  <c r="F68" i="174"/>
  <c r="S67" i="174"/>
  <c r="L67" i="174"/>
  <c r="P67" i="174" s="1"/>
  <c r="M67" i="174" s="1"/>
  <c r="O67" i="174" s="1"/>
  <c r="K67" i="174"/>
  <c r="F67" i="174"/>
  <c r="S66" i="174"/>
  <c r="L66" i="174"/>
  <c r="K66" i="174"/>
  <c r="F66" i="174"/>
  <c r="S65" i="174"/>
  <c r="L65" i="174"/>
  <c r="P65" i="174" s="1"/>
  <c r="K65" i="174"/>
  <c r="F65" i="174"/>
  <c r="D65" i="174"/>
  <c r="S64" i="174"/>
  <c r="K64" i="174"/>
  <c r="L64" i="174" s="1"/>
  <c r="F64" i="174"/>
  <c r="S63" i="174"/>
  <c r="K63" i="174"/>
  <c r="L63" i="174" s="1"/>
  <c r="F63" i="174"/>
  <c r="S62" i="174"/>
  <c r="Q62" i="174"/>
  <c r="K62" i="174"/>
  <c r="L62" i="174" s="1"/>
  <c r="G62" i="174"/>
  <c r="P62" i="174" s="1"/>
  <c r="F62" i="174"/>
  <c r="S61" i="174"/>
  <c r="K61" i="174"/>
  <c r="L61" i="174" s="1"/>
  <c r="F61" i="174"/>
  <c r="S60" i="174"/>
  <c r="L60" i="174"/>
  <c r="K60" i="174"/>
  <c r="F60" i="174"/>
  <c r="S59" i="174"/>
  <c r="K59" i="174"/>
  <c r="L59" i="174" s="1"/>
  <c r="F59" i="174"/>
  <c r="S58" i="174"/>
  <c r="K58" i="174"/>
  <c r="L58" i="174" s="1"/>
  <c r="F58" i="174"/>
  <c r="S57" i="174"/>
  <c r="K57" i="174"/>
  <c r="L57" i="174" s="1"/>
  <c r="F57" i="174"/>
  <c r="T56" i="174"/>
  <c r="U56" i="174" s="1"/>
  <c r="V56" i="174" s="1"/>
  <c r="S56" i="174"/>
  <c r="N56" i="174"/>
  <c r="M56" i="174"/>
  <c r="K56" i="174"/>
  <c r="L56" i="174" s="1"/>
  <c r="P56" i="174" s="1"/>
  <c r="D56" i="174"/>
  <c r="Z55" i="174"/>
  <c r="Z93" i="174" s="1"/>
  <c r="S55" i="174"/>
  <c r="P55" i="174"/>
  <c r="K55" i="174"/>
  <c r="L55" i="174" s="1"/>
  <c r="F55" i="174"/>
  <c r="S54" i="174"/>
  <c r="K54" i="174"/>
  <c r="L54" i="174" s="1"/>
  <c r="F54" i="174"/>
  <c r="S53" i="174"/>
  <c r="L53" i="174"/>
  <c r="K53" i="174"/>
  <c r="F53" i="174"/>
  <c r="S52" i="174"/>
  <c r="K52" i="174"/>
  <c r="L52" i="174" s="1"/>
  <c r="F52" i="174"/>
  <c r="S51" i="174"/>
  <c r="P51" i="174"/>
  <c r="K51" i="174"/>
  <c r="L51" i="174" s="1"/>
  <c r="F51" i="174"/>
  <c r="S50" i="174"/>
  <c r="K50" i="174"/>
  <c r="L50" i="174" s="1"/>
  <c r="F50" i="174"/>
  <c r="S49" i="174"/>
  <c r="L49" i="174"/>
  <c r="K49" i="174"/>
  <c r="F49" i="174"/>
  <c r="S48" i="174"/>
  <c r="K48" i="174"/>
  <c r="L48" i="174" s="1"/>
  <c r="P48" i="174" s="1"/>
  <c r="D48" i="174"/>
  <c r="S47" i="174"/>
  <c r="P47" i="174"/>
  <c r="K47" i="174"/>
  <c r="L47" i="174" s="1"/>
  <c r="F47" i="174"/>
  <c r="S46" i="174"/>
  <c r="K46" i="174"/>
  <c r="L46" i="174" s="1"/>
  <c r="F46" i="174"/>
  <c r="S45" i="174"/>
  <c r="P45" i="174"/>
  <c r="O45" i="174"/>
  <c r="M45" i="174"/>
  <c r="T45" i="174" s="1"/>
  <c r="U45" i="174" s="1"/>
  <c r="V45" i="174" s="1"/>
  <c r="K45" i="174"/>
  <c r="L45" i="174" s="1"/>
  <c r="F45" i="174"/>
  <c r="S44" i="174"/>
  <c r="M44" i="174"/>
  <c r="O44" i="174" s="1"/>
  <c r="L44" i="174"/>
  <c r="P44" i="174" s="1"/>
  <c r="K44" i="174"/>
  <c r="F44" i="174"/>
  <c r="S43" i="174"/>
  <c r="N43" i="174"/>
  <c r="L43" i="174"/>
  <c r="K43" i="174"/>
  <c r="F43" i="174"/>
  <c r="T42" i="174"/>
  <c r="S42" i="174"/>
  <c r="N42" i="174"/>
  <c r="M42" i="174"/>
  <c r="L42" i="174"/>
  <c r="K42" i="174"/>
  <c r="G42" i="174"/>
  <c r="P42" i="174" s="1"/>
  <c r="F42" i="174"/>
  <c r="D42" i="174"/>
  <c r="S41" i="174"/>
  <c r="O41" i="174"/>
  <c r="N41" i="174"/>
  <c r="K41" i="174"/>
  <c r="L41" i="174" s="1"/>
  <c r="P41" i="174" s="1"/>
  <c r="M41" i="174" s="1"/>
  <c r="F41" i="174"/>
  <c r="D41" i="174"/>
  <c r="S40" i="174"/>
  <c r="N40" i="174"/>
  <c r="K40" i="174"/>
  <c r="L40" i="174" s="1"/>
  <c r="F40" i="174"/>
  <c r="S39" i="174"/>
  <c r="K39" i="174"/>
  <c r="L39" i="174" s="1"/>
  <c r="F39" i="174"/>
  <c r="S38" i="174"/>
  <c r="K38" i="174"/>
  <c r="L38" i="174" s="1"/>
  <c r="F38" i="174"/>
  <c r="S37" i="174"/>
  <c r="M37" i="174"/>
  <c r="T37" i="174" s="1"/>
  <c r="U37" i="174" s="1"/>
  <c r="V37" i="174" s="1"/>
  <c r="L37" i="174"/>
  <c r="P37" i="174" s="1"/>
  <c r="K37" i="174"/>
  <c r="D37" i="174"/>
  <c r="S36" i="174"/>
  <c r="L36" i="174"/>
  <c r="P36" i="174" s="1"/>
  <c r="M36" i="174" s="1"/>
  <c r="O36" i="174" s="1"/>
  <c r="K36" i="174"/>
  <c r="F36" i="174"/>
  <c r="S35" i="174"/>
  <c r="L35" i="174"/>
  <c r="K35" i="174"/>
  <c r="F35" i="174"/>
  <c r="S34" i="174"/>
  <c r="L34" i="174"/>
  <c r="P34" i="174" s="1"/>
  <c r="K34" i="174"/>
  <c r="F34" i="174"/>
  <c r="S33" i="174"/>
  <c r="P33" i="174"/>
  <c r="K33" i="174"/>
  <c r="L33" i="174" s="1"/>
  <c r="F33" i="174"/>
  <c r="S32" i="174"/>
  <c r="L32" i="174"/>
  <c r="P32" i="174" s="1"/>
  <c r="M32" i="174" s="1"/>
  <c r="O32" i="174" s="1"/>
  <c r="K32" i="174"/>
  <c r="F32" i="174"/>
  <c r="D32" i="174"/>
  <c r="Z31" i="174"/>
  <c r="S31" i="174"/>
  <c r="K31" i="174"/>
  <c r="L31" i="174" s="1"/>
  <c r="F31" i="174"/>
  <c r="S30" i="174"/>
  <c r="L30" i="174"/>
  <c r="P30" i="174" s="1"/>
  <c r="M30" i="174" s="1"/>
  <c r="K30" i="174"/>
  <c r="D30" i="174"/>
  <c r="S29" i="174"/>
  <c r="M29" i="174"/>
  <c r="O29" i="174" s="1"/>
  <c r="L29" i="174"/>
  <c r="P29" i="174" s="1"/>
  <c r="T29" i="174" s="1"/>
  <c r="U29" i="174" s="1"/>
  <c r="V29" i="174" s="1"/>
  <c r="K29" i="174"/>
  <c r="F29" i="174"/>
  <c r="S28" i="174"/>
  <c r="K28" i="174"/>
  <c r="L28" i="174" s="1"/>
  <c r="P28" i="174" s="1"/>
  <c r="D28" i="174"/>
  <c r="S27" i="174"/>
  <c r="K27" i="174"/>
  <c r="L27" i="174" s="1"/>
  <c r="F27" i="174"/>
  <c r="S26" i="174"/>
  <c r="L26" i="174"/>
  <c r="P26" i="174" s="1"/>
  <c r="K26" i="174"/>
  <c r="F26" i="174"/>
  <c r="S25" i="174"/>
  <c r="P25" i="174"/>
  <c r="K25" i="174"/>
  <c r="L25" i="174" s="1"/>
  <c r="F25" i="174"/>
  <c r="R24" i="174"/>
  <c r="S24" i="174" s="1"/>
  <c r="N24" i="174"/>
  <c r="K24" i="174"/>
  <c r="L24" i="174" s="1"/>
  <c r="G24" i="174"/>
  <c r="F24" i="174"/>
  <c r="S23" i="174"/>
  <c r="K23" i="174"/>
  <c r="L23" i="174" s="1"/>
  <c r="F23" i="174"/>
  <c r="S22" i="174"/>
  <c r="P22" i="174"/>
  <c r="K22" i="174"/>
  <c r="L22" i="174" s="1"/>
  <c r="F22" i="174"/>
  <c r="S21" i="174"/>
  <c r="K21" i="174"/>
  <c r="L21" i="174" s="1"/>
  <c r="P21" i="174" s="1"/>
  <c r="M21" i="174" s="1"/>
  <c r="F21" i="174"/>
  <c r="S20" i="174"/>
  <c r="L20" i="174"/>
  <c r="K20" i="174"/>
  <c r="F20" i="174"/>
  <c r="S19" i="174"/>
  <c r="K19" i="174"/>
  <c r="L19" i="174" s="1"/>
  <c r="F19" i="174"/>
  <c r="S18" i="174"/>
  <c r="P18" i="174"/>
  <c r="K18" i="174"/>
  <c r="L18" i="174" s="1"/>
  <c r="F18" i="174"/>
  <c r="S17" i="174"/>
  <c r="K17" i="174"/>
  <c r="L17" i="174" s="1"/>
  <c r="P17" i="174" s="1"/>
  <c r="M17" i="174" s="1"/>
  <c r="F17" i="174"/>
  <c r="S16" i="174"/>
  <c r="N16" i="174"/>
  <c r="K16" i="174"/>
  <c r="L16" i="174" s="1"/>
  <c r="P16" i="174" s="1"/>
  <c r="M16" i="174" s="1"/>
  <c r="F16" i="174"/>
  <c r="D16" i="174"/>
  <c r="S15" i="174"/>
  <c r="K15" i="174"/>
  <c r="L15" i="174" s="1"/>
  <c r="P15" i="174" s="1"/>
  <c r="M15" i="174" s="1"/>
  <c r="F15" i="174"/>
  <c r="D15" i="174"/>
  <c r="O15" i="174" s="1"/>
  <c r="Q14" i="174"/>
  <c r="S14" i="174" s="1"/>
  <c r="N14" i="174"/>
  <c r="L14" i="174"/>
  <c r="P14" i="174" s="1"/>
  <c r="K14" i="174"/>
  <c r="G14" i="174"/>
  <c r="D14" i="174"/>
  <c r="S13" i="174"/>
  <c r="L13" i="174"/>
  <c r="K13" i="174"/>
  <c r="F13" i="174"/>
  <c r="S12" i="174"/>
  <c r="P12" i="174"/>
  <c r="N12" i="174"/>
  <c r="M12" i="174"/>
  <c r="L12" i="174"/>
  <c r="K12" i="174"/>
  <c r="F12" i="174"/>
  <c r="S11" i="174"/>
  <c r="L11" i="174"/>
  <c r="K11" i="174"/>
  <c r="F11" i="174"/>
  <c r="S10" i="174"/>
  <c r="K10" i="174"/>
  <c r="L10" i="174" s="1"/>
  <c r="P10" i="174" s="1"/>
  <c r="F10" i="174"/>
  <c r="S9" i="174"/>
  <c r="K9" i="174"/>
  <c r="L9" i="174" s="1"/>
  <c r="P9" i="174" s="1"/>
  <c r="M9" i="174" s="1"/>
  <c r="F9" i="174"/>
  <c r="S8" i="174"/>
  <c r="L8" i="174"/>
  <c r="K8" i="174"/>
  <c r="F8" i="174"/>
  <c r="A8" i="174"/>
  <c r="A9" i="174" s="1"/>
  <c r="Q7" i="174"/>
  <c r="Q93" i="174" s="1"/>
  <c r="N7" i="174"/>
  <c r="K7" i="174"/>
  <c r="L7" i="174" s="1"/>
  <c r="G7" i="174"/>
  <c r="P7" i="174" s="1"/>
  <c r="F7" i="174"/>
  <c r="D7" i="174"/>
  <c r="A7" i="174"/>
  <c r="D10" i="44"/>
  <c r="G20" i="61"/>
  <c r="G13" i="61"/>
  <c r="G11" i="61"/>
  <c r="C111" i="176" l="1"/>
  <c r="M48" i="174"/>
  <c r="O48" i="174" s="1"/>
  <c r="P76" i="174"/>
  <c r="F115" i="174"/>
  <c r="Y107" i="174"/>
  <c r="V107" i="174" s="1"/>
  <c r="M10" i="174"/>
  <c r="O10" i="174" s="1"/>
  <c r="M14" i="174"/>
  <c r="T14" i="174"/>
  <c r="U14" i="174" s="1"/>
  <c r="V14" i="174" s="1"/>
  <c r="P19" i="174"/>
  <c r="P46" i="174"/>
  <c r="P74" i="174"/>
  <c r="Y106" i="174"/>
  <c r="V106" i="174" s="1"/>
  <c r="M28" i="174"/>
  <c r="O28" i="174" s="1"/>
  <c r="T28" i="174"/>
  <c r="U28" i="174" s="1"/>
  <c r="V28" i="174" s="1"/>
  <c r="P23" i="174"/>
  <c r="P24" i="174"/>
  <c r="P27" i="174"/>
  <c r="M62" i="174"/>
  <c r="O62" i="174" s="1"/>
  <c r="T62" i="174"/>
  <c r="U62" i="174" s="1"/>
  <c r="V62" i="174" s="1"/>
  <c r="M70" i="174"/>
  <c r="O70" i="174" s="1"/>
  <c r="T70" i="174"/>
  <c r="U70" i="174" s="1"/>
  <c r="V70" i="174" s="1"/>
  <c r="N93" i="174"/>
  <c r="P13" i="174"/>
  <c r="T17" i="174"/>
  <c r="U17" i="174" s="1"/>
  <c r="V17" i="174" s="1"/>
  <c r="T21" i="174"/>
  <c r="U21" i="174" s="1"/>
  <c r="V21" i="174" s="1"/>
  <c r="P35" i="174"/>
  <c r="M47" i="174"/>
  <c r="T47" i="174" s="1"/>
  <c r="U47" i="174" s="1"/>
  <c r="V47" i="174" s="1"/>
  <c r="P49" i="174"/>
  <c r="T51" i="174"/>
  <c r="U51" i="174" s="1"/>
  <c r="V51" i="174" s="1"/>
  <c r="M51" i="174"/>
  <c r="P53" i="174"/>
  <c r="M55" i="174"/>
  <c r="T55" i="174" s="1"/>
  <c r="U55" i="174" s="1"/>
  <c r="V55" i="174" s="1"/>
  <c r="P66" i="174"/>
  <c r="M68" i="174"/>
  <c r="O68" i="174" s="1"/>
  <c r="P87" i="174"/>
  <c r="M99" i="174"/>
  <c r="T99" i="174"/>
  <c r="U99" i="174" s="1"/>
  <c r="Y99" i="174" s="1"/>
  <c r="T104" i="174"/>
  <c r="U104" i="174" s="1"/>
  <c r="M110" i="174"/>
  <c r="T110" i="174"/>
  <c r="U110" i="174" s="1"/>
  <c r="T7" i="174"/>
  <c r="T9" i="174"/>
  <c r="U9" i="174" s="1"/>
  <c r="V9" i="174" s="1"/>
  <c r="P11" i="174"/>
  <c r="U12" i="174"/>
  <c r="V12" i="174" s="1"/>
  <c r="D93" i="174"/>
  <c r="F14" i="174"/>
  <c r="T15" i="174"/>
  <c r="U15" i="174" s="1"/>
  <c r="V15" i="174" s="1"/>
  <c r="T16" i="174"/>
  <c r="T18" i="174"/>
  <c r="U18" i="174" s="1"/>
  <c r="V18" i="174" s="1"/>
  <c r="M18" i="174"/>
  <c r="O18" i="174" s="1"/>
  <c r="M22" i="174"/>
  <c r="O22" i="174" s="1"/>
  <c r="T25" i="174"/>
  <c r="U25" i="174" s="1"/>
  <c r="V25" i="174" s="1"/>
  <c r="M25" i="174"/>
  <c r="O25" i="174" s="1"/>
  <c r="F28" i="174"/>
  <c r="F93" i="174" s="1"/>
  <c r="P31" i="174"/>
  <c r="M34" i="174"/>
  <c r="T34" i="174" s="1"/>
  <c r="U34" i="174" s="1"/>
  <c r="V34" i="174" s="1"/>
  <c r="O37" i="174"/>
  <c r="F37" i="174"/>
  <c r="P38" i="174"/>
  <c r="P58" i="174"/>
  <c r="P60" i="174"/>
  <c r="P63" i="174"/>
  <c r="M65" i="174"/>
  <c r="T65" i="174" s="1"/>
  <c r="U65" i="174" s="1"/>
  <c r="V65" i="174" s="1"/>
  <c r="O73" i="174"/>
  <c r="T79" i="174"/>
  <c r="U79" i="174" s="1"/>
  <c r="V79" i="174" s="1"/>
  <c r="M79" i="174"/>
  <c r="M86" i="174"/>
  <c r="T86" i="174" s="1"/>
  <c r="U86" i="174" s="1"/>
  <c r="V86" i="174" s="1"/>
  <c r="K115" i="174"/>
  <c r="L96" i="174"/>
  <c r="P98" i="174"/>
  <c r="P101" i="174"/>
  <c r="O110" i="174"/>
  <c r="F110" i="174"/>
  <c r="P111" i="174"/>
  <c r="M114" i="174"/>
  <c r="T114" i="174" s="1"/>
  <c r="U114" i="174" s="1"/>
  <c r="L93" i="174"/>
  <c r="O7" i="174"/>
  <c r="S7" i="174"/>
  <c r="S93" i="174" s="1"/>
  <c r="T12" i="174"/>
  <c r="O14" i="174"/>
  <c r="O17" i="174"/>
  <c r="P20" i="174"/>
  <c r="O21" i="174"/>
  <c r="O30" i="174"/>
  <c r="T30" i="174"/>
  <c r="U30" i="174" s="1"/>
  <c r="V30" i="174" s="1"/>
  <c r="O34" i="174"/>
  <c r="T41" i="174"/>
  <c r="U41" i="174" s="1"/>
  <c r="V41" i="174" s="1"/>
  <c r="U42" i="174"/>
  <c r="V42" i="174" s="1"/>
  <c r="P43" i="174"/>
  <c r="P50" i="174"/>
  <c r="P52" i="174"/>
  <c r="P54" i="174"/>
  <c r="M69" i="174"/>
  <c r="T69" i="174" s="1"/>
  <c r="U69" i="174" s="1"/>
  <c r="V69" i="174" s="1"/>
  <c r="P71" i="174"/>
  <c r="M72" i="174"/>
  <c r="O72" i="174" s="1"/>
  <c r="T72" i="174"/>
  <c r="U72" i="174" s="1"/>
  <c r="V72" i="174" s="1"/>
  <c r="T77" i="174"/>
  <c r="U77" i="174" s="1"/>
  <c r="V77" i="174" s="1"/>
  <c r="M80" i="174"/>
  <c r="T80" i="174" s="1"/>
  <c r="U80" i="174" s="1"/>
  <c r="V80" i="174" s="1"/>
  <c r="U83" i="174"/>
  <c r="V83" i="174" s="1"/>
  <c r="M85" i="174"/>
  <c r="T85" i="174" s="1"/>
  <c r="U85" i="174" s="1"/>
  <c r="V85" i="174" s="1"/>
  <c r="O86" i="174"/>
  <c r="M88" i="174"/>
  <c r="T88" i="174" s="1"/>
  <c r="U88" i="174" s="1"/>
  <c r="V88" i="174" s="1"/>
  <c r="N115" i="174"/>
  <c r="N117" i="174" s="1"/>
  <c r="D115" i="174"/>
  <c r="D117" i="174" s="1"/>
  <c r="T103" i="174"/>
  <c r="U103" i="174" s="1"/>
  <c r="K109" i="174"/>
  <c r="L109" i="174" s="1"/>
  <c r="J115" i="174"/>
  <c r="J117" i="174" s="1"/>
  <c r="M7" i="174"/>
  <c r="P8" i="174"/>
  <c r="O9" i="174"/>
  <c r="O12" i="174"/>
  <c r="O16" i="174"/>
  <c r="U16" i="174"/>
  <c r="V16" i="174" s="1"/>
  <c r="M26" i="174"/>
  <c r="O26" i="174" s="1"/>
  <c r="M33" i="174"/>
  <c r="O33" i="174" s="1"/>
  <c r="P39" i="174"/>
  <c r="P40" i="174"/>
  <c r="T44" i="174"/>
  <c r="U44" i="174" s="1"/>
  <c r="V44" i="174" s="1"/>
  <c r="F48" i="174"/>
  <c r="O51" i="174"/>
  <c r="O56" i="174"/>
  <c r="F56" i="174"/>
  <c r="P57" i="174"/>
  <c r="P59" i="174"/>
  <c r="P61" i="174"/>
  <c r="P64" i="174"/>
  <c r="T73" i="174"/>
  <c r="U73" i="174" s="1"/>
  <c r="V73" i="174" s="1"/>
  <c r="T75" i="174"/>
  <c r="U75" i="174" s="1"/>
  <c r="V75" i="174" s="1"/>
  <c r="M75" i="174"/>
  <c r="O75" i="174" s="1"/>
  <c r="M78" i="174"/>
  <c r="O78" i="174" s="1"/>
  <c r="G93" i="174"/>
  <c r="K93" i="174"/>
  <c r="P105" i="174"/>
  <c r="M108" i="174"/>
  <c r="O108" i="174" s="1"/>
  <c r="M112" i="174"/>
  <c r="T112" i="174" s="1"/>
  <c r="U112" i="174" s="1"/>
  <c r="P113" i="174"/>
  <c r="T32" i="174"/>
  <c r="U32" i="174" s="1"/>
  <c r="V32" i="174" s="1"/>
  <c r="T36" i="174"/>
  <c r="U36" i="174" s="1"/>
  <c r="V36" i="174" s="1"/>
  <c r="T67" i="174"/>
  <c r="U67" i="174" s="1"/>
  <c r="V67" i="174" s="1"/>
  <c r="O79" i="174"/>
  <c r="O80" i="174"/>
  <c r="P81" i="174"/>
  <c r="M82" i="174"/>
  <c r="T82" i="174" s="1"/>
  <c r="U82" i="174" s="1"/>
  <c r="V82" i="174" s="1"/>
  <c r="T83" i="174"/>
  <c r="M84" i="174"/>
  <c r="T84" i="174" s="1"/>
  <c r="U84" i="174" s="1"/>
  <c r="V84" i="174" s="1"/>
  <c r="M89" i="174"/>
  <c r="O89" i="174" s="1"/>
  <c r="U97" i="174"/>
  <c r="Y97" i="174" s="1"/>
  <c r="O99" i="174"/>
  <c r="Z117" i="174"/>
  <c r="F30" i="174"/>
  <c r="O42" i="174"/>
  <c r="O77" i="174"/>
  <c r="O82" i="174"/>
  <c r="O83" i="174"/>
  <c r="U92" i="174"/>
  <c r="W92" i="174" s="1"/>
  <c r="W93" i="174" s="1"/>
  <c r="O92" i="174"/>
  <c r="G117" i="174"/>
  <c r="P96" i="174"/>
  <c r="P100" i="174"/>
  <c r="O106" i="174"/>
  <c r="F106" i="174"/>
  <c r="O112" i="174"/>
  <c r="S113" i="174"/>
  <c r="S115" i="174" s="1"/>
  <c r="S117" i="174" s="1"/>
  <c r="W117" i="174"/>
  <c r="O97" i="174"/>
  <c r="L102" i="174"/>
  <c r="O103" i="174"/>
  <c r="Y48" i="173"/>
  <c r="X48" i="173"/>
  <c r="R48" i="173"/>
  <c r="Q48" i="173"/>
  <c r="J48" i="173"/>
  <c r="I48" i="173"/>
  <c r="H48" i="173"/>
  <c r="E48" i="173"/>
  <c r="S47" i="173"/>
  <c r="N47" i="173"/>
  <c r="K47" i="173"/>
  <c r="L47" i="173" s="1"/>
  <c r="P47" i="173" s="1"/>
  <c r="M47" i="173" s="1"/>
  <c r="F47" i="173"/>
  <c r="D47" i="173"/>
  <c r="S46" i="173"/>
  <c r="K46" i="173"/>
  <c r="L46" i="173" s="1"/>
  <c r="F46" i="173"/>
  <c r="S45" i="173"/>
  <c r="K45" i="173"/>
  <c r="L45" i="173" s="1"/>
  <c r="P45" i="173" s="1"/>
  <c r="F45" i="173"/>
  <c r="S44" i="173"/>
  <c r="L44" i="173"/>
  <c r="K44" i="173"/>
  <c r="F44" i="173"/>
  <c r="S43" i="173"/>
  <c r="K43" i="173"/>
  <c r="L43" i="173" s="1"/>
  <c r="F43" i="173"/>
  <c r="S42" i="173"/>
  <c r="K42" i="173"/>
  <c r="L42" i="173" s="1"/>
  <c r="F42" i="173"/>
  <c r="S41" i="173"/>
  <c r="K41" i="173"/>
  <c r="L41" i="173" s="1"/>
  <c r="P41" i="173" s="1"/>
  <c r="F41" i="173"/>
  <c r="S40" i="173"/>
  <c r="L40" i="173"/>
  <c r="K40" i="173"/>
  <c r="F40" i="173"/>
  <c r="S39" i="173"/>
  <c r="K39" i="173"/>
  <c r="L39" i="173" s="1"/>
  <c r="F39" i="173"/>
  <c r="S38" i="173"/>
  <c r="N38" i="173"/>
  <c r="L38" i="173"/>
  <c r="P38" i="173" s="1"/>
  <c r="K38" i="173"/>
  <c r="G38" i="173"/>
  <c r="D38" i="173"/>
  <c r="F38" i="173" s="1"/>
  <c r="S37" i="173"/>
  <c r="N37" i="173"/>
  <c r="K37" i="173"/>
  <c r="L37" i="173" s="1"/>
  <c r="F37" i="173"/>
  <c r="S36" i="173"/>
  <c r="L36" i="173"/>
  <c r="K36" i="173"/>
  <c r="F36" i="173"/>
  <c r="S35" i="173"/>
  <c r="K35" i="173"/>
  <c r="L35" i="173" s="1"/>
  <c r="F35" i="173"/>
  <c r="V34" i="173"/>
  <c r="S34" i="173"/>
  <c r="K34" i="173"/>
  <c r="L34" i="173" s="1"/>
  <c r="F34" i="173"/>
  <c r="S33" i="173"/>
  <c r="P33" i="173"/>
  <c r="K33" i="173"/>
  <c r="L33" i="173" s="1"/>
  <c r="F33" i="173"/>
  <c r="S32" i="173"/>
  <c r="K32" i="173"/>
  <c r="L32" i="173" s="1"/>
  <c r="P32" i="173" s="1"/>
  <c r="M32" i="173" s="1"/>
  <c r="D32" i="173"/>
  <c r="O32" i="173" s="1"/>
  <c r="S31" i="173"/>
  <c r="N31" i="173"/>
  <c r="K31" i="173"/>
  <c r="L31" i="173" s="1"/>
  <c r="P31" i="173" s="1"/>
  <c r="M31" i="173" s="1"/>
  <c r="F31" i="173"/>
  <c r="S30" i="173"/>
  <c r="K30" i="173"/>
  <c r="L30" i="173" s="1"/>
  <c r="P30" i="173" s="1"/>
  <c r="M30" i="173" s="1"/>
  <c r="F30" i="173"/>
  <c r="S29" i="173"/>
  <c r="L29" i="173"/>
  <c r="K29" i="173"/>
  <c r="F29" i="173"/>
  <c r="S28" i="173"/>
  <c r="P28" i="173"/>
  <c r="M28" i="173" s="1"/>
  <c r="N28" i="173"/>
  <c r="L28" i="173"/>
  <c r="K28" i="173"/>
  <c r="D28" i="173"/>
  <c r="S27" i="173"/>
  <c r="L27" i="173"/>
  <c r="K27" i="173"/>
  <c r="F27" i="173"/>
  <c r="S26" i="173"/>
  <c r="L26" i="173"/>
  <c r="K26" i="173"/>
  <c r="F26" i="173"/>
  <c r="S25" i="173"/>
  <c r="K25" i="173"/>
  <c r="L25" i="173" s="1"/>
  <c r="P25" i="173" s="1"/>
  <c r="F25" i="173"/>
  <c r="D25" i="173"/>
  <c r="S24" i="173"/>
  <c r="N24" i="173"/>
  <c r="K24" i="173"/>
  <c r="L24" i="173" s="1"/>
  <c r="F24" i="173"/>
  <c r="S23" i="173"/>
  <c r="N23" i="173"/>
  <c r="K23" i="173"/>
  <c r="L23" i="173" s="1"/>
  <c r="D23" i="173"/>
  <c r="F23" i="173" s="1"/>
  <c r="S22" i="173"/>
  <c r="P22" i="173"/>
  <c r="N22" i="173"/>
  <c r="L22" i="173"/>
  <c r="K22" i="173"/>
  <c r="D22" i="173"/>
  <c r="S21" i="173"/>
  <c r="L21" i="173"/>
  <c r="K21" i="173"/>
  <c r="F21" i="173"/>
  <c r="S20" i="173"/>
  <c r="K20" i="173"/>
  <c r="L20" i="173" s="1"/>
  <c r="F20" i="173"/>
  <c r="S19" i="173"/>
  <c r="P19" i="173"/>
  <c r="K19" i="173"/>
  <c r="L19" i="173" s="1"/>
  <c r="F19" i="173"/>
  <c r="D19" i="173"/>
  <c r="V18" i="173"/>
  <c r="S18" i="173"/>
  <c r="L18" i="173"/>
  <c r="P18" i="173" s="1"/>
  <c r="K18" i="173"/>
  <c r="G18" i="173"/>
  <c r="G48" i="173" s="1"/>
  <c r="D18" i="173"/>
  <c r="S17" i="173"/>
  <c r="L17" i="173"/>
  <c r="K17" i="173"/>
  <c r="F17" i="173"/>
  <c r="S16" i="173"/>
  <c r="K16" i="173"/>
  <c r="L16" i="173" s="1"/>
  <c r="F16" i="173"/>
  <c r="S15" i="173"/>
  <c r="N15" i="173"/>
  <c r="L15" i="173"/>
  <c r="P15" i="173" s="1"/>
  <c r="K15" i="173"/>
  <c r="D15" i="173"/>
  <c r="F15" i="173" s="1"/>
  <c r="S14" i="173"/>
  <c r="K14" i="173"/>
  <c r="L14" i="173" s="1"/>
  <c r="F14" i="173"/>
  <c r="S13" i="173"/>
  <c r="N13" i="173"/>
  <c r="L13" i="173"/>
  <c r="P13" i="173" s="1"/>
  <c r="K13" i="173"/>
  <c r="D13" i="173"/>
  <c r="S12" i="173"/>
  <c r="N12" i="173"/>
  <c r="K12" i="173"/>
  <c r="L12" i="173" s="1"/>
  <c r="P12" i="173" s="1"/>
  <c r="F12" i="173"/>
  <c r="D12" i="173"/>
  <c r="S11" i="173"/>
  <c r="P11" i="173"/>
  <c r="M11" i="173"/>
  <c r="O11" i="173" s="1"/>
  <c r="K11" i="173"/>
  <c r="L11" i="173" s="1"/>
  <c r="F11" i="173"/>
  <c r="S10" i="173"/>
  <c r="M10" i="173"/>
  <c r="L10" i="173"/>
  <c r="P10" i="173" s="1"/>
  <c r="T10" i="173" s="1"/>
  <c r="U10" i="173" s="1"/>
  <c r="W10" i="173" s="1"/>
  <c r="K10" i="173"/>
  <c r="D10" i="173"/>
  <c r="O10" i="173" s="1"/>
  <c r="S9" i="173"/>
  <c r="L9" i="173"/>
  <c r="P9" i="173" s="1"/>
  <c r="M9" i="173" s="1"/>
  <c r="K9" i="173"/>
  <c r="D9" i="173"/>
  <c r="O9" i="173" s="1"/>
  <c r="A9" i="173"/>
  <c r="A10" i="173" s="1"/>
  <c r="A11" i="173" s="1"/>
  <c r="A12" i="173" s="1"/>
  <c r="A13" i="173" s="1"/>
  <c r="A14" i="173" s="1"/>
  <c r="A15" i="173" s="1"/>
  <c r="A16" i="173" s="1"/>
  <c r="A17" i="173" s="1"/>
  <c r="A18" i="173" s="1"/>
  <c r="A19" i="173" s="1"/>
  <c r="A20" i="173" s="1"/>
  <c r="A21" i="173" s="1"/>
  <c r="A22" i="173" s="1"/>
  <c r="A23" i="173" s="1"/>
  <c r="A24" i="173" s="1"/>
  <c r="A25" i="173" s="1"/>
  <c r="A26" i="173" s="1"/>
  <c r="A27" i="173" s="1"/>
  <c r="A28" i="173" s="1"/>
  <c r="A29" i="173" s="1"/>
  <c r="A30" i="173" s="1"/>
  <c r="A31" i="173" s="1"/>
  <c r="A32" i="173" s="1"/>
  <c r="A33" i="173" s="1"/>
  <c r="A34" i="173" s="1"/>
  <c r="A35" i="173" s="1"/>
  <c r="A36" i="173" s="1"/>
  <c r="A37" i="173" s="1"/>
  <c r="A38" i="173" s="1"/>
  <c r="A39" i="173" s="1"/>
  <c r="A40" i="173" s="1"/>
  <c r="A41" i="173" s="1"/>
  <c r="A42" i="173" s="1"/>
  <c r="A43" i="173" s="1"/>
  <c r="A44" i="173" s="1"/>
  <c r="A45" i="173" s="1"/>
  <c r="A46" i="173" s="1"/>
  <c r="A47" i="173" s="1"/>
  <c r="A48" i="173" s="1"/>
  <c r="S8" i="173"/>
  <c r="K8" i="173"/>
  <c r="L8" i="173" s="1"/>
  <c r="F8" i="173"/>
  <c r="D8" i="173"/>
  <c r="A8" i="173"/>
  <c r="S7" i="173"/>
  <c r="K7" i="173"/>
  <c r="L7" i="173" s="1"/>
  <c r="F7" i="173"/>
  <c r="A7" i="173"/>
  <c r="S6" i="173"/>
  <c r="K6" i="173"/>
  <c r="L6" i="173" s="1"/>
  <c r="D6" i="173"/>
  <c r="D48" i="173" s="1"/>
  <c r="Z70" i="170"/>
  <c r="Y70" i="170"/>
  <c r="X70" i="170"/>
  <c r="S70" i="170"/>
  <c r="R70" i="170"/>
  <c r="Q70" i="170"/>
  <c r="H70" i="170"/>
  <c r="G70" i="170"/>
  <c r="V69" i="170"/>
  <c r="S69" i="170"/>
  <c r="N69" i="170"/>
  <c r="O69" i="170" s="1"/>
  <c r="K69" i="170"/>
  <c r="L69" i="170" s="1"/>
  <c r="P69" i="170" s="1"/>
  <c r="M69" i="170" s="1"/>
  <c r="F69" i="170"/>
  <c r="D69" i="170"/>
  <c r="S68" i="170"/>
  <c r="P68" i="170"/>
  <c r="K68" i="170"/>
  <c r="L68" i="170" s="1"/>
  <c r="F68" i="170"/>
  <c r="S67" i="170"/>
  <c r="N67" i="170"/>
  <c r="L67" i="170"/>
  <c r="P67" i="170" s="1"/>
  <c r="K67" i="170"/>
  <c r="D67" i="170"/>
  <c r="F67" i="170" s="1"/>
  <c r="S66" i="170"/>
  <c r="L66" i="170"/>
  <c r="K66" i="170"/>
  <c r="F66" i="170"/>
  <c r="S65" i="170"/>
  <c r="K65" i="170"/>
  <c r="L65" i="170" s="1"/>
  <c r="F65" i="170"/>
  <c r="S64" i="170"/>
  <c r="K64" i="170"/>
  <c r="L64" i="170" s="1"/>
  <c r="P64" i="170" s="1"/>
  <c r="M64" i="170" s="1"/>
  <c r="F64" i="170"/>
  <c r="S63" i="170"/>
  <c r="L63" i="170"/>
  <c r="K63" i="170"/>
  <c r="F63" i="170"/>
  <c r="S62" i="170"/>
  <c r="N62" i="170"/>
  <c r="J62" i="170"/>
  <c r="K62" i="170" s="1"/>
  <c r="L62" i="170" s="1"/>
  <c r="F62" i="170"/>
  <c r="S61" i="170"/>
  <c r="L61" i="170"/>
  <c r="K61" i="170"/>
  <c r="F61" i="170"/>
  <c r="S60" i="170"/>
  <c r="L60" i="170"/>
  <c r="K60" i="170"/>
  <c r="F60" i="170"/>
  <c r="S59" i="170"/>
  <c r="K59" i="170"/>
  <c r="L59" i="170" s="1"/>
  <c r="P59" i="170" s="1"/>
  <c r="I59" i="170"/>
  <c r="I70" i="170" s="1"/>
  <c r="F59" i="170"/>
  <c r="S58" i="170"/>
  <c r="N58" i="170"/>
  <c r="L58" i="170"/>
  <c r="P58" i="170" s="1"/>
  <c r="K58" i="170"/>
  <c r="F58" i="170"/>
  <c r="S57" i="170"/>
  <c r="P57" i="170"/>
  <c r="K57" i="170"/>
  <c r="L57" i="170" s="1"/>
  <c r="F57" i="170"/>
  <c r="S56" i="170"/>
  <c r="N56" i="170"/>
  <c r="L56" i="170"/>
  <c r="P56" i="170" s="1"/>
  <c r="K56" i="170"/>
  <c r="F56" i="170"/>
  <c r="D56" i="170"/>
  <c r="S55" i="170"/>
  <c r="P55" i="170"/>
  <c r="N55" i="170"/>
  <c r="L55" i="170"/>
  <c r="K55" i="170"/>
  <c r="D55" i="170"/>
  <c r="S54" i="170"/>
  <c r="N54" i="170"/>
  <c r="K54" i="170"/>
  <c r="L54" i="170" s="1"/>
  <c r="F54" i="170"/>
  <c r="D54" i="170"/>
  <c r="S53" i="170"/>
  <c r="N53" i="170"/>
  <c r="L53" i="170"/>
  <c r="P53" i="170" s="1"/>
  <c r="K53" i="170"/>
  <c r="F53" i="170"/>
  <c r="S52" i="170"/>
  <c r="P52" i="170"/>
  <c r="K52" i="170"/>
  <c r="L52" i="170" s="1"/>
  <c r="F52" i="170"/>
  <c r="S51" i="170"/>
  <c r="M51" i="170"/>
  <c r="O51" i="170" s="1"/>
  <c r="L51" i="170"/>
  <c r="P51" i="170" s="1"/>
  <c r="K51" i="170"/>
  <c r="E51" i="170"/>
  <c r="F51" i="170" s="1"/>
  <c r="D51" i="170"/>
  <c r="S50" i="170"/>
  <c r="P50" i="170"/>
  <c r="K50" i="170"/>
  <c r="L50" i="170" s="1"/>
  <c r="F50" i="170"/>
  <c r="S49" i="170"/>
  <c r="M49" i="170"/>
  <c r="O49" i="170" s="1"/>
  <c r="L49" i="170"/>
  <c r="P49" i="170" s="1"/>
  <c r="K49" i="170"/>
  <c r="F49" i="170"/>
  <c r="S48" i="170"/>
  <c r="N48" i="170"/>
  <c r="M48" i="170"/>
  <c r="L48" i="170"/>
  <c r="P48" i="170" s="1"/>
  <c r="T48" i="170" s="1"/>
  <c r="K48" i="170"/>
  <c r="D48" i="170"/>
  <c r="O48" i="170" s="1"/>
  <c r="S47" i="170"/>
  <c r="O47" i="170"/>
  <c r="M47" i="170"/>
  <c r="L47" i="170"/>
  <c r="P47" i="170" s="1"/>
  <c r="T47" i="170" s="1"/>
  <c r="U47" i="170" s="1"/>
  <c r="W47" i="170" s="1"/>
  <c r="K47" i="170"/>
  <c r="F47" i="170"/>
  <c r="S46" i="170"/>
  <c r="L46" i="170"/>
  <c r="K46" i="170"/>
  <c r="F46" i="170"/>
  <c r="S45" i="170"/>
  <c r="P45" i="170"/>
  <c r="N45" i="170"/>
  <c r="L45" i="170"/>
  <c r="K45" i="170"/>
  <c r="F45" i="170"/>
  <c r="S44" i="170"/>
  <c r="P44" i="170"/>
  <c r="L44" i="170"/>
  <c r="K44" i="170"/>
  <c r="F44" i="170"/>
  <c r="S43" i="170"/>
  <c r="P43" i="170"/>
  <c r="K43" i="170"/>
  <c r="L43" i="170" s="1"/>
  <c r="F43" i="170"/>
  <c r="D43" i="170"/>
  <c r="S42" i="170"/>
  <c r="P42" i="170"/>
  <c r="K42" i="170"/>
  <c r="L42" i="170" s="1"/>
  <c r="F42" i="170"/>
  <c r="S41" i="170"/>
  <c r="L41" i="170"/>
  <c r="P41" i="170" s="1"/>
  <c r="K41" i="170"/>
  <c r="F41" i="170"/>
  <c r="S40" i="170"/>
  <c r="L40" i="170"/>
  <c r="K40" i="170"/>
  <c r="F40" i="170"/>
  <c r="S39" i="170"/>
  <c r="K39" i="170"/>
  <c r="L39" i="170" s="1"/>
  <c r="S38" i="170"/>
  <c r="M38" i="170"/>
  <c r="O38" i="170" s="1"/>
  <c r="L38" i="170"/>
  <c r="P38" i="170" s="1"/>
  <c r="T38" i="170" s="1"/>
  <c r="U38" i="170" s="1"/>
  <c r="W38" i="170" s="1"/>
  <c r="K38" i="170"/>
  <c r="E38" i="170"/>
  <c r="F38" i="170" s="1"/>
  <c r="D38" i="170"/>
  <c r="S37" i="170"/>
  <c r="K37" i="170"/>
  <c r="L37" i="170" s="1"/>
  <c r="F37" i="170"/>
  <c r="L36" i="170"/>
  <c r="K36" i="170"/>
  <c r="F36" i="170"/>
  <c r="N35" i="170"/>
  <c r="M35" i="170"/>
  <c r="L35" i="170"/>
  <c r="P35" i="170" s="1"/>
  <c r="K35" i="170"/>
  <c r="F35" i="170"/>
  <c r="S34" i="170"/>
  <c r="L34" i="170"/>
  <c r="K34" i="170"/>
  <c r="F34" i="170"/>
  <c r="S33" i="170"/>
  <c r="K33" i="170"/>
  <c r="L33" i="170" s="1"/>
  <c r="P33" i="170" s="1"/>
  <c r="F33" i="170"/>
  <c r="T32" i="170"/>
  <c r="U32" i="170" s="1"/>
  <c r="W32" i="170" s="1"/>
  <c r="S32" i="170"/>
  <c r="L32" i="170"/>
  <c r="P32" i="170" s="1"/>
  <c r="M32" i="170" s="1"/>
  <c r="O32" i="170" s="1"/>
  <c r="K32" i="170"/>
  <c r="F32" i="170"/>
  <c r="E32" i="170"/>
  <c r="D32" i="170"/>
  <c r="S31" i="170"/>
  <c r="P31" i="170"/>
  <c r="K31" i="170"/>
  <c r="L31" i="170" s="1"/>
  <c r="F31" i="170"/>
  <c r="S30" i="170"/>
  <c r="J30" i="170"/>
  <c r="F30" i="170"/>
  <c r="S29" i="170"/>
  <c r="P29" i="170"/>
  <c r="K29" i="170"/>
  <c r="L29" i="170" s="1"/>
  <c r="F29" i="170"/>
  <c r="S28" i="170"/>
  <c r="L28" i="170"/>
  <c r="P28" i="170" s="1"/>
  <c r="M28" i="170" s="1"/>
  <c r="K28" i="170"/>
  <c r="D28" i="170"/>
  <c r="O28" i="170" s="1"/>
  <c r="S27" i="170"/>
  <c r="M27" i="170"/>
  <c r="O27" i="170" s="1"/>
  <c r="L27" i="170"/>
  <c r="P27" i="170" s="1"/>
  <c r="T27" i="170" s="1"/>
  <c r="U27" i="170" s="1"/>
  <c r="W27" i="170" s="1"/>
  <c r="K27" i="170"/>
  <c r="F27" i="170"/>
  <c r="S26" i="170"/>
  <c r="L26" i="170"/>
  <c r="K26" i="170"/>
  <c r="F26" i="170"/>
  <c r="S25" i="170"/>
  <c r="K25" i="170"/>
  <c r="L25" i="170" s="1"/>
  <c r="F25" i="170"/>
  <c r="D25" i="170"/>
  <c r="S24" i="170"/>
  <c r="K24" i="170"/>
  <c r="L24" i="170" s="1"/>
  <c r="F24" i="170"/>
  <c r="S23" i="170"/>
  <c r="N23" i="170"/>
  <c r="L23" i="170"/>
  <c r="P23" i="170" s="1"/>
  <c r="K23" i="170"/>
  <c r="F23" i="170"/>
  <c r="D23" i="170"/>
  <c r="S22" i="170"/>
  <c r="P22" i="170"/>
  <c r="N22" i="170"/>
  <c r="L22" i="170"/>
  <c r="K22" i="170"/>
  <c r="D22" i="170"/>
  <c r="S21" i="170"/>
  <c r="L21" i="170"/>
  <c r="K21" i="170"/>
  <c r="F21" i="170"/>
  <c r="S20" i="170"/>
  <c r="L20" i="170"/>
  <c r="K20" i="170"/>
  <c r="F20" i="170"/>
  <c r="S19" i="170"/>
  <c r="K19" i="170"/>
  <c r="L19" i="170" s="1"/>
  <c r="P19" i="170" s="1"/>
  <c r="F19" i="170"/>
  <c r="S18" i="170"/>
  <c r="N18" i="170"/>
  <c r="K18" i="170"/>
  <c r="L18" i="170" s="1"/>
  <c r="P18" i="170" s="1"/>
  <c r="M18" i="170" s="1"/>
  <c r="F18" i="170"/>
  <c r="D18" i="170"/>
  <c r="S17" i="170"/>
  <c r="K17" i="170"/>
  <c r="L17" i="170" s="1"/>
  <c r="P17" i="170" s="1"/>
  <c r="F17" i="170"/>
  <c r="S16" i="170"/>
  <c r="L16" i="170"/>
  <c r="P16" i="170" s="1"/>
  <c r="M16" i="170" s="1"/>
  <c r="O16" i="170" s="1"/>
  <c r="K16" i="170"/>
  <c r="F16" i="170"/>
  <c r="S15" i="170"/>
  <c r="M15" i="170"/>
  <c r="T15" i="170" s="1"/>
  <c r="U15" i="170" s="1"/>
  <c r="V15" i="170" s="1"/>
  <c r="L15" i="170"/>
  <c r="P15" i="170" s="1"/>
  <c r="K15" i="170"/>
  <c r="D15" i="170"/>
  <c r="S14" i="170"/>
  <c r="L14" i="170"/>
  <c r="K14" i="170"/>
  <c r="F14" i="170"/>
  <c r="S13" i="170"/>
  <c r="P13" i="170"/>
  <c r="N13" i="170"/>
  <c r="M13" i="170"/>
  <c r="L13" i="170"/>
  <c r="K13" i="170"/>
  <c r="D13" i="170"/>
  <c r="S12" i="170"/>
  <c r="N12" i="170"/>
  <c r="M12" i="170"/>
  <c r="L12" i="170"/>
  <c r="P12" i="170" s="1"/>
  <c r="T12" i="170" s="1"/>
  <c r="K12" i="170"/>
  <c r="D12" i="170"/>
  <c r="O12" i="170" s="1"/>
  <c r="S11" i="170"/>
  <c r="O11" i="170"/>
  <c r="N11" i="170"/>
  <c r="K11" i="170"/>
  <c r="L11" i="170" s="1"/>
  <c r="P11" i="170" s="1"/>
  <c r="M11" i="170" s="1"/>
  <c r="F11" i="170"/>
  <c r="D11" i="170"/>
  <c r="S10" i="170"/>
  <c r="P10" i="170"/>
  <c r="K10" i="170"/>
  <c r="L10" i="170" s="1"/>
  <c r="F10" i="170"/>
  <c r="D10" i="170"/>
  <c r="S9" i="170"/>
  <c r="P9" i="170"/>
  <c r="K9" i="170"/>
  <c r="L9" i="170" s="1"/>
  <c r="F9" i="170"/>
  <c r="S8" i="170"/>
  <c r="M8" i="170"/>
  <c r="O8" i="170" s="1"/>
  <c r="L8" i="170"/>
  <c r="P8" i="170" s="1"/>
  <c r="T8" i="170" s="1"/>
  <c r="U8" i="170" s="1"/>
  <c r="W8" i="170" s="1"/>
  <c r="K8" i="170"/>
  <c r="F8" i="170"/>
  <c r="A8" i="170"/>
  <c r="A9" i="170" s="1"/>
  <c r="A10" i="170" s="1"/>
  <c r="A11" i="170" s="1"/>
  <c r="A12" i="170" s="1"/>
  <c r="A13" i="170" s="1"/>
  <c r="A14" i="170" s="1"/>
  <c r="A15" i="170" s="1"/>
  <c r="A16" i="170" s="1"/>
  <c r="A17" i="170" s="1"/>
  <c r="A18" i="170" s="1"/>
  <c r="A19" i="170" s="1"/>
  <c r="A20" i="170" s="1"/>
  <c r="A21" i="170" s="1"/>
  <c r="A22" i="170" s="1"/>
  <c r="A23" i="170" s="1"/>
  <c r="A24" i="170" s="1"/>
  <c r="A25" i="170" s="1"/>
  <c r="A26" i="170" s="1"/>
  <c r="A27" i="170" s="1"/>
  <c r="A28" i="170" s="1"/>
  <c r="A29" i="170" s="1"/>
  <c r="A30" i="170" s="1"/>
  <c r="A31" i="170" s="1"/>
  <c r="A32" i="170" s="1"/>
  <c r="A33" i="170" s="1"/>
  <c r="A34" i="170" s="1"/>
  <c r="A35" i="170" s="1"/>
  <c r="A36" i="170" s="1"/>
  <c r="A37" i="170" s="1"/>
  <c r="A38" i="170" s="1"/>
  <c r="A39" i="170" s="1"/>
  <c r="A40" i="170" s="1"/>
  <c r="A41" i="170" s="1"/>
  <c r="A42" i="170" s="1"/>
  <c r="A43" i="170" s="1"/>
  <c r="A44" i="170" s="1"/>
  <c r="A45" i="170" s="1"/>
  <c r="A46" i="170" s="1"/>
  <c r="A47" i="170" s="1"/>
  <c r="A48" i="170" s="1"/>
  <c r="A49" i="170" s="1"/>
  <c r="A50" i="170" s="1"/>
  <c r="A51" i="170" s="1"/>
  <c r="A52" i="170" s="1"/>
  <c r="A53" i="170" s="1"/>
  <c r="A54" i="170" s="1"/>
  <c r="A55" i="170" s="1"/>
  <c r="A56" i="170" s="1"/>
  <c r="A57" i="170" s="1"/>
  <c r="A58" i="170" s="1"/>
  <c r="A59" i="170" s="1"/>
  <c r="A60" i="170" s="1"/>
  <c r="A61" i="170" s="1"/>
  <c r="A62" i="170" s="1"/>
  <c r="A63" i="170" s="1"/>
  <c r="A64" i="170" s="1"/>
  <c r="A65" i="170" s="1"/>
  <c r="A66" i="170" s="1"/>
  <c r="A67" i="170" s="1"/>
  <c r="A68" i="170" s="1"/>
  <c r="A69" i="170" s="1"/>
  <c r="A70" i="170" s="1"/>
  <c r="S7" i="170"/>
  <c r="N7" i="170"/>
  <c r="M7" i="170"/>
  <c r="L7" i="170"/>
  <c r="P7" i="170" s="1"/>
  <c r="T7" i="170" s="1"/>
  <c r="K7" i="170"/>
  <c r="D7" i="170"/>
  <c r="A7" i="170"/>
  <c r="S6" i="170"/>
  <c r="N6" i="170"/>
  <c r="K6" i="170"/>
  <c r="F6" i="170"/>
  <c r="Y104" i="168"/>
  <c r="X104" i="168"/>
  <c r="W104" i="168"/>
  <c r="R104" i="168"/>
  <c r="Q104" i="168"/>
  <c r="I104" i="168"/>
  <c r="H104" i="168"/>
  <c r="E104" i="168"/>
  <c r="U103" i="168"/>
  <c r="V103" i="168" s="1"/>
  <c r="T103" i="168"/>
  <c r="S103" i="168"/>
  <c r="P103" i="168"/>
  <c r="O103" i="168"/>
  <c r="F103" i="168"/>
  <c r="S102" i="168"/>
  <c r="T102" i="168" s="1"/>
  <c r="U102" i="168" s="1"/>
  <c r="V102" i="168" s="1"/>
  <c r="P102" i="168"/>
  <c r="O102" i="168"/>
  <c r="F102" i="168"/>
  <c r="T101" i="168"/>
  <c r="U101" i="168" s="1"/>
  <c r="V101" i="168" s="1"/>
  <c r="S101" i="168"/>
  <c r="P101" i="168"/>
  <c r="O101" i="168"/>
  <c r="F101" i="168"/>
  <c r="S100" i="168"/>
  <c r="T100" i="168" s="1"/>
  <c r="U100" i="168" s="1"/>
  <c r="V100" i="168" s="1"/>
  <c r="P100" i="168"/>
  <c r="O100" i="168"/>
  <c r="F100" i="168"/>
  <c r="U99" i="168"/>
  <c r="V99" i="168" s="1"/>
  <c r="T99" i="168"/>
  <c r="S99" i="168"/>
  <c r="P99" i="168"/>
  <c r="O99" i="168"/>
  <c r="F99" i="168"/>
  <c r="S98" i="168"/>
  <c r="T98" i="168" s="1"/>
  <c r="U98" i="168" s="1"/>
  <c r="V98" i="168" s="1"/>
  <c r="P98" i="168"/>
  <c r="O98" i="168"/>
  <c r="F98" i="168"/>
  <c r="S97" i="168"/>
  <c r="T97" i="168" s="1"/>
  <c r="U97" i="168" s="1"/>
  <c r="V97" i="168" s="1"/>
  <c r="P97" i="168"/>
  <c r="O97" i="168"/>
  <c r="F97" i="168"/>
  <c r="S96" i="168"/>
  <c r="T96" i="168" s="1"/>
  <c r="U96" i="168" s="1"/>
  <c r="V96" i="168" s="1"/>
  <c r="P96" i="168"/>
  <c r="O96" i="168"/>
  <c r="N96" i="168"/>
  <c r="F96" i="168"/>
  <c r="S95" i="168"/>
  <c r="P95" i="168"/>
  <c r="T95" i="168" s="1"/>
  <c r="U95" i="168" s="1"/>
  <c r="V95" i="168" s="1"/>
  <c r="O95" i="168"/>
  <c r="N95" i="168"/>
  <c r="F95" i="168"/>
  <c r="S94" i="168"/>
  <c r="P94" i="168"/>
  <c r="K94" i="168"/>
  <c r="L94" i="168" s="1"/>
  <c r="F94" i="168"/>
  <c r="S93" i="168"/>
  <c r="K93" i="168"/>
  <c r="L93" i="168" s="1"/>
  <c r="F93" i="168"/>
  <c r="S92" i="168"/>
  <c r="N92" i="168"/>
  <c r="K92" i="168"/>
  <c r="L92" i="168" s="1"/>
  <c r="F92" i="168"/>
  <c r="S91" i="168"/>
  <c r="N91" i="168"/>
  <c r="M91" i="168"/>
  <c r="O91" i="168" s="1"/>
  <c r="K91" i="168"/>
  <c r="L91" i="168" s="1"/>
  <c r="P91" i="168" s="1"/>
  <c r="F91" i="168"/>
  <c r="S90" i="168"/>
  <c r="N90" i="168"/>
  <c r="K90" i="168"/>
  <c r="L90" i="168" s="1"/>
  <c r="P90" i="168" s="1"/>
  <c r="F90" i="168"/>
  <c r="S89" i="168"/>
  <c r="L89" i="168"/>
  <c r="P89" i="168" s="1"/>
  <c r="K89" i="168"/>
  <c r="F89" i="168"/>
  <c r="S88" i="168"/>
  <c r="L88" i="168"/>
  <c r="P88" i="168" s="1"/>
  <c r="K88" i="168"/>
  <c r="D88" i="168"/>
  <c r="S87" i="168"/>
  <c r="P87" i="168"/>
  <c r="T87" i="168" s="1"/>
  <c r="U87" i="168" s="1"/>
  <c r="V87" i="168" s="1"/>
  <c r="M87" i="168"/>
  <c r="L87" i="168"/>
  <c r="K87" i="168"/>
  <c r="F87" i="168"/>
  <c r="S86" i="168"/>
  <c r="N86" i="168"/>
  <c r="K86" i="168"/>
  <c r="L86" i="168" s="1"/>
  <c r="P86" i="168" s="1"/>
  <c r="F86" i="168"/>
  <c r="S85" i="168"/>
  <c r="L85" i="168"/>
  <c r="K85" i="168"/>
  <c r="F85" i="168"/>
  <c r="S84" i="168"/>
  <c r="K84" i="168"/>
  <c r="L84" i="168" s="1"/>
  <c r="F84" i="168"/>
  <c r="U83" i="168"/>
  <c r="V83" i="168" s="1"/>
  <c r="P83" i="168"/>
  <c r="M83" i="168" s="1"/>
  <c r="L83" i="168"/>
  <c r="O83" i="168" s="1"/>
  <c r="K83" i="168"/>
  <c r="F83" i="168"/>
  <c r="S82" i="168"/>
  <c r="N82" i="168"/>
  <c r="K82" i="168"/>
  <c r="L82" i="168" s="1"/>
  <c r="F82" i="168"/>
  <c r="S81" i="168"/>
  <c r="K81" i="168"/>
  <c r="L81" i="168" s="1"/>
  <c r="P81" i="168" s="1"/>
  <c r="M81" i="168" s="1"/>
  <c r="F81" i="168"/>
  <c r="S80" i="168"/>
  <c r="L80" i="168"/>
  <c r="P80" i="168" s="1"/>
  <c r="M80" i="168" s="1"/>
  <c r="K80" i="168"/>
  <c r="F80" i="168"/>
  <c r="S79" i="168"/>
  <c r="N79" i="168"/>
  <c r="L79" i="168"/>
  <c r="K79" i="168"/>
  <c r="F79" i="168"/>
  <c r="S78" i="168"/>
  <c r="K78" i="168"/>
  <c r="L78" i="168" s="1"/>
  <c r="F78" i="168"/>
  <c r="S77" i="168"/>
  <c r="L77" i="168"/>
  <c r="P77" i="168" s="1"/>
  <c r="K77" i="168"/>
  <c r="F77" i="168"/>
  <c r="S76" i="168"/>
  <c r="N76" i="168"/>
  <c r="L76" i="168"/>
  <c r="K76" i="168"/>
  <c r="F76" i="168"/>
  <c r="S75" i="168"/>
  <c r="K75" i="168"/>
  <c r="L75" i="168" s="1"/>
  <c r="J75" i="168"/>
  <c r="G75" i="168"/>
  <c r="D75" i="168"/>
  <c r="F75" i="168" s="1"/>
  <c r="S74" i="168"/>
  <c r="P74" i="168"/>
  <c r="N74" i="168"/>
  <c r="L74" i="168"/>
  <c r="K74" i="168"/>
  <c r="F74" i="168"/>
  <c r="S73" i="168"/>
  <c r="L73" i="168"/>
  <c r="K73" i="168"/>
  <c r="F73" i="168"/>
  <c r="S72" i="168"/>
  <c r="K72" i="168"/>
  <c r="L72" i="168" s="1"/>
  <c r="P72" i="168" s="1"/>
  <c r="F72" i="168"/>
  <c r="S71" i="168"/>
  <c r="P71" i="168"/>
  <c r="K71" i="168"/>
  <c r="L71" i="168" s="1"/>
  <c r="F71" i="168"/>
  <c r="S70" i="168"/>
  <c r="N70" i="168"/>
  <c r="M70" i="168"/>
  <c r="K70" i="168"/>
  <c r="L70" i="168" s="1"/>
  <c r="P70" i="168" s="1"/>
  <c r="T70" i="168" s="1"/>
  <c r="U70" i="168" s="1"/>
  <c r="V70" i="168" s="1"/>
  <c r="D70" i="168"/>
  <c r="S69" i="168"/>
  <c r="N69" i="168"/>
  <c r="K69" i="168"/>
  <c r="L69" i="168" s="1"/>
  <c r="F69" i="168"/>
  <c r="S68" i="168"/>
  <c r="N68" i="168"/>
  <c r="O68" i="168" s="1"/>
  <c r="L68" i="168"/>
  <c r="P68" i="168" s="1"/>
  <c r="M68" i="168" s="1"/>
  <c r="K68" i="168"/>
  <c r="F68" i="168"/>
  <c r="S67" i="168"/>
  <c r="N67" i="168"/>
  <c r="K67" i="168"/>
  <c r="L67" i="168" s="1"/>
  <c r="P67" i="168" s="1"/>
  <c r="F67" i="168"/>
  <c r="S66" i="168"/>
  <c r="K66" i="168"/>
  <c r="L66" i="168" s="1"/>
  <c r="P66" i="168" s="1"/>
  <c r="M66" i="168" s="1"/>
  <c r="O66" i="168" s="1"/>
  <c r="F66" i="168"/>
  <c r="S65" i="168"/>
  <c r="L65" i="168"/>
  <c r="P65" i="168" s="1"/>
  <c r="M65" i="168" s="1"/>
  <c r="O65" i="168" s="1"/>
  <c r="K65" i="168"/>
  <c r="F65" i="168"/>
  <c r="S64" i="168"/>
  <c r="P64" i="168"/>
  <c r="K64" i="168"/>
  <c r="L64" i="168" s="1"/>
  <c r="F64" i="168"/>
  <c r="S63" i="168"/>
  <c r="L63" i="168"/>
  <c r="K63" i="168"/>
  <c r="F63" i="168"/>
  <c r="T62" i="168"/>
  <c r="U62" i="168" s="1"/>
  <c r="V62" i="168" s="1"/>
  <c r="S62" i="168"/>
  <c r="L62" i="168"/>
  <c r="P62" i="168" s="1"/>
  <c r="M62" i="168" s="1"/>
  <c r="K62" i="168"/>
  <c r="D62" i="168"/>
  <c r="O62" i="168" s="1"/>
  <c r="S61" i="168"/>
  <c r="N61" i="168"/>
  <c r="K61" i="168"/>
  <c r="L61" i="168" s="1"/>
  <c r="P61" i="168" s="1"/>
  <c r="F61" i="168"/>
  <c r="S60" i="168"/>
  <c r="L60" i="168"/>
  <c r="P60" i="168" s="1"/>
  <c r="M60" i="168" s="1"/>
  <c r="K60" i="168"/>
  <c r="F60" i="168"/>
  <c r="Q59" i="168"/>
  <c r="S59" i="168" s="1"/>
  <c r="M59" i="168" s="1"/>
  <c r="T59" i="168" s="1"/>
  <c r="U59" i="168" s="1"/>
  <c r="V59" i="168" s="1"/>
  <c r="L59" i="168"/>
  <c r="P59" i="168" s="1"/>
  <c r="K59" i="168"/>
  <c r="D59" i="168"/>
  <c r="S58" i="168"/>
  <c r="L58" i="168"/>
  <c r="P58" i="168" s="1"/>
  <c r="M58" i="168" s="1"/>
  <c r="K58" i="168"/>
  <c r="F58" i="168"/>
  <c r="S57" i="168"/>
  <c r="L57" i="168"/>
  <c r="K57" i="168"/>
  <c r="F57" i="168"/>
  <c r="S56" i="168"/>
  <c r="K56" i="168"/>
  <c r="L56" i="168" s="1"/>
  <c r="P56" i="168" s="1"/>
  <c r="F56" i="168"/>
  <c r="S55" i="168"/>
  <c r="P55" i="168"/>
  <c r="K55" i="168"/>
  <c r="L55" i="168" s="1"/>
  <c r="F55" i="168"/>
  <c r="S54" i="168"/>
  <c r="L54" i="168"/>
  <c r="P54" i="168" s="1"/>
  <c r="K54" i="168"/>
  <c r="F54" i="168"/>
  <c r="S53" i="168"/>
  <c r="P53" i="168"/>
  <c r="N53" i="168"/>
  <c r="M53" i="168"/>
  <c r="T53" i="168" s="1"/>
  <c r="L53" i="168"/>
  <c r="K53" i="168"/>
  <c r="D53" i="168"/>
  <c r="S52" i="168"/>
  <c r="L52" i="168"/>
  <c r="P52" i="168" s="1"/>
  <c r="K52" i="168"/>
  <c r="F52" i="168"/>
  <c r="S51" i="168"/>
  <c r="P51" i="168"/>
  <c r="N51" i="168"/>
  <c r="M51" i="168"/>
  <c r="T51" i="168" s="1"/>
  <c r="L51" i="168"/>
  <c r="K51" i="168"/>
  <c r="F51" i="168"/>
  <c r="S50" i="168"/>
  <c r="K50" i="168"/>
  <c r="L50" i="168" s="1"/>
  <c r="F50" i="168"/>
  <c r="S49" i="168"/>
  <c r="K49" i="168"/>
  <c r="L49" i="168" s="1"/>
  <c r="F49" i="168"/>
  <c r="T48" i="168"/>
  <c r="U48" i="168" s="1"/>
  <c r="V48" i="168" s="1"/>
  <c r="S48" i="168"/>
  <c r="P48" i="168"/>
  <c r="M48" i="168"/>
  <c r="O48" i="168" s="1"/>
  <c r="K48" i="168"/>
  <c r="L48" i="168" s="1"/>
  <c r="F48" i="168"/>
  <c r="S47" i="168"/>
  <c r="N47" i="168"/>
  <c r="K47" i="168"/>
  <c r="L47" i="168" s="1"/>
  <c r="G47" i="168"/>
  <c r="P47" i="168" s="1"/>
  <c r="F47" i="168"/>
  <c r="Z46" i="168"/>
  <c r="S46" i="168"/>
  <c r="N46" i="168"/>
  <c r="K46" i="168"/>
  <c r="L46" i="168" s="1"/>
  <c r="F46" i="168"/>
  <c r="S45" i="168"/>
  <c r="P45" i="168"/>
  <c r="K45" i="168"/>
  <c r="L45" i="168" s="1"/>
  <c r="F45" i="168"/>
  <c r="S44" i="168"/>
  <c r="N44" i="168"/>
  <c r="J44" i="168"/>
  <c r="J104" i="168" s="1"/>
  <c r="F44" i="168"/>
  <c r="S43" i="168"/>
  <c r="N43" i="168"/>
  <c r="L43" i="168"/>
  <c r="K43" i="168"/>
  <c r="F43" i="168"/>
  <c r="S42" i="168"/>
  <c r="N42" i="168"/>
  <c r="K42" i="168"/>
  <c r="L42" i="168" s="1"/>
  <c r="P42" i="168" s="1"/>
  <c r="F42" i="168"/>
  <c r="S41" i="168"/>
  <c r="N41" i="168"/>
  <c r="K41" i="168"/>
  <c r="L41" i="168" s="1"/>
  <c r="P41" i="168" s="1"/>
  <c r="D41" i="168"/>
  <c r="S40" i="168"/>
  <c r="K40" i="168"/>
  <c r="L40" i="168" s="1"/>
  <c r="P40" i="168" s="1"/>
  <c r="D40" i="168"/>
  <c r="S39" i="168"/>
  <c r="L39" i="168"/>
  <c r="K39" i="168"/>
  <c r="F39" i="168"/>
  <c r="S38" i="168"/>
  <c r="N38" i="168"/>
  <c r="K38" i="168"/>
  <c r="L38" i="168" s="1"/>
  <c r="P38" i="168" s="1"/>
  <c r="F38" i="168"/>
  <c r="S37" i="168"/>
  <c r="L37" i="168"/>
  <c r="P37" i="168" s="1"/>
  <c r="K37" i="168"/>
  <c r="F37" i="168"/>
  <c r="S36" i="168"/>
  <c r="N36" i="168"/>
  <c r="K36" i="168"/>
  <c r="L36" i="168" s="1"/>
  <c r="P36" i="168" s="1"/>
  <c r="F36" i="168"/>
  <c r="S35" i="168"/>
  <c r="N35" i="168"/>
  <c r="L35" i="168"/>
  <c r="K35" i="168"/>
  <c r="F35" i="168"/>
  <c r="D35" i="168"/>
  <c r="S34" i="168"/>
  <c r="K34" i="168"/>
  <c r="L34" i="168" s="1"/>
  <c r="P34" i="168" s="1"/>
  <c r="G34" i="168"/>
  <c r="D34" i="168"/>
  <c r="F34" i="168" s="1"/>
  <c r="S33" i="168"/>
  <c r="P33" i="168"/>
  <c r="N33" i="168"/>
  <c r="M33" i="168"/>
  <c r="T33" i="168" s="1"/>
  <c r="L33" i="168"/>
  <c r="K33" i="168"/>
  <c r="F33" i="168"/>
  <c r="S32" i="168"/>
  <c r="K32" i="168"/>
  <c r="L32" i="168" s="1"/>
  <c r="F32" i="168"/>
  <c r="S31" i="168"/>
  <c r="N31" i="168"/>
  <c r="K31" i="168"/>
  <c r="L31" i="168" s="1"/>
  <c r="F31" i="168"/>
  <c r="S30" i="168"/>
  <c r="N30" i="168"/>
  <c r="L30" i="168"/>
  <c r="K30" i="168"/>
  <c r="F30" i="168"/>
  <c r="S29" i="168"/>
  <c r="N29" i="168"/>
  <c r="K29" i="168"/>
  <c r="L29" i="168" s="1"/>
  <c r="G29" i="168"/>
  <c r="F29" i="168"/>
  <c r="S28" i="168"/>
  <c r="P28" i="168"/>
  <c r="N28" i="168"/>
  <c r="L28" i="168"/>
  <c r="K28" i="168"/>
  <c r="F28" i="168"/>
  <c r="S27" i="168"/>
  <c r="N27" i="168"/>
  <c r="M27" i="168"/>
  <c r="L27" i="168"/>
  <c r="P27" i="168" s="1"/>
  <c r="T27" i="168" s="1"/>
  <c r="K27" i="168"/>
  <c r="D27" i="168"/>
  <c r="S26" i="168"/>
  <c r="L26" i="168"/>
  <c r="K26" i="168"/>
  <c r="G26" i="168"/>
  <c r="P26" i="168" s="1"/>
  <c r="D26" i="168"/>
  <c r="F26" i="168" s="1"/>
  <c r="S25" i="168"/>
  <c r="P25" i="168"/>
  <c r="K25" i="168"/>
  <c r="L25" i="168" s="1"/>
  <c r="F25" i="168"/>
  <c r="S24" i="168"/>
  <c r="L24" i="168"/>
  <c r="P24" i="168" s="1"/>
  <c r="K24" i="168"/>
  <c r="F24" i="168"/>
  <c r="S23" i="168"/>
  <c r="N23" i="168"/>
  <c r="L23" i="168"/>
  <c r="K23" i="168"/>
  <c r="F23" i="168"/>
  <c r="S22" i="168"/>
  <c r="K22" i="168"/>
  <c r="L22" i="168" s="1"/>
  <c r="F22" i="168"/>
  <c r="S21" i="168"/>
  <c r="P21" i="168"/>
  <c r="N21" i="168"/>
  <c r="L21" i="168"/>
  <c r="K21" i="168"/>
  <c r="G21" i="168"/>
  <c r="F21" i="168"/>
  <c r="S20" i="168"/>
  <c r="N20" i="168"/>
  <c r="L20" i="168"/>
  <c r="K20" i="168"/>
  <c r="F20" i="168"/>
  <c r="S19" i="168"/>
  <c r="P19" i="168"/>
  <c r="N19" i="168"/>
  <c r="M19" i="168"/>
  <c r="T19" i="168" s="1"/>
  <c r="L19" i="168"/>
  <c r="K19" i="168"/>
  <c r="D19" i="168"/>
  <c r="O19" i="168" s="1"/>
  <c r="S18" i="168"/>
  <c r="N18" i="168"/>
  <c r="K18" i="168"/>
  <c r="L18" i="168" s="1"/>
  <c r="F18" i="168"/>
  <c r="S17" i="168"/>
  <c r="L17" i="168"/>
  <c r="K17" i="168"/>
  <c r="F17" i="168"/>
  <c r="S16" i="168"/>
  <c r="P16" i="168"/>
  <c r="K16" i="168"/>
  <c r="L16" i="168" s="1"/>
  <c r="F16" i="168"/>
  <c r="S15" i="168"/>
  <c r="P15" i="168"/>
  <c r="N15" i="168"/>
  <c r="M15" i="168"/>
  <c r="L15" i="168"/>
  <c r="K15" i="168"/>
  <c r="F15" i="168"/>
  <c r="S14" i="168"/>
  <c r="P14" i="168"/>
  <c r="K14" i="168"/>
  <c r="L14" i="168" s="1"/>
  <c r="F14" i="168"/>
  <c r="S13" i="168"/>
  <c r="K13" i="168"/>
  <c r="L13" i="168" s="1"/>
  <c r="P13" i="168" s="1"/>
  <c r="F13" i="168"/>
  <c r="D13" i="168"/>
  <c r="Z12" i="168"/>
  <c r="Z104" i="168" s="1"/>
  <c r="S12" i="168"/>
  <c r="N12" i="168"/>
  <c r="K12" i="168"/>
  <c r="L12" i="168" s="1"/>
  <c r="P12" i="168" s="1"/>
  <c r="F12" i="168"/>
  <c r="S11" i="168"/>
  <c r="K11" i="168"/>
  <c r="L11" i="168" s="1"/>
  <c r="F11" i="168"/>
  <c r="S10" i="168"/>
  <c r="N10" i="168"/>
  <c r="K10" i="168"/>
  <c r="L10" i="168" s="1"/>
  <c r="G10" i="168"/>
  <c r="F10" i="168"/>
  <c r="S9" i="168"/>
  <c r="L9" i="168"/>
  <c r="K9" i="168"/>
  <c r="F9" i="168"/>
  <c r="D9" i="168"/>
  <c r="S8" i="168"/>
  <c r="N8" i="168"/>
  <c r="K8" i="168"/>
  <c r="F8" i="168"/>
  <c r="S7" i="168"/>
  <c r="L7" i="168"/>
  <c r="P7" i="168" s="1"/>
  <c r="K7" i="168"/>
  <c r="F7" i="168"/>
  <c r="D7" i="168"/>
  <c r="S6" i="168"/>
  <c r="P6" i="168"/>
  <c r="N6" i="168"/>
  <c r="L6" i="168"/>
  <c r="K6" i="168"/>
  <c r="D6" i="168"/>
  <c r="A6" i="168"/>
  <c r="A7" i="168" s="1"/>
  <c r="A8" i="168" s="1"/>
  <c r="G17" i="61"/>
  <c r="E21" i="148"/>
  <c r="F21" i="148"/>
  <c r="G21" i="148"/>
  <c r="H21" i="148"/>
  <c r="I21" i="148"/>
  <c r="J21" i="148"/>
  <c r="K21" i="148"/>
  <c r="L21" i="148"/>
  <c r="N21" i="148"/>
  <c r="P21" i="148"/>
  <c r="Q21" i="148"/>
  <c r="R21" i="148"/>
  <c r="S21" i="148"/>
  <c r="W21" i="148"/>
  <c r="D21" i="148"/>
  <c r="E18" i="148"/>
  <c r="F18" i="148"/>
  <c r="G18" i="148"/>
  <c r="H18" i="148"/>
  <c r="I18" i="148"/>
  <c r="J18" i="148"/>
  <c r="K18" i="148"/>
  <c r="L18" i="148"/>
  <c r="M18" i="148"/>
  <c r="N18" i="148"/>
  <c r="O18" i="148"/>
  <c r="P18" i="148"/>
  <c r="Q18" i="148"/>
  <c r="R18" i="148"/>
  <c r="S18" i="148"/>
  <c r="T18" i="148"/>
  <c r="U18" i="148"/>
  <c r="V18" i="148"/>
  <c r="W18" i="148"/>
  <c r="E16" i="148"/>
  <c r="F16" i="148"/>
  <c r="G16" i="148"/>
  <c r="H16" i="148"/>
  <c r="I16" i="148"/>
  <c r="J16" i="148"/>
  <c r="K16" i="148"/>
  <c r="L16" i="148"/>
  <c r="M16" i="148"/>
  <c r="N16" i="148"/>
  <c r="O16" i="148"/>
  <c r="P16" i="148"/>
  <c r="Q16" i="148"/>
  <c r="R16" i="148"/>
  <c r="S16" i="148"/>
  <c r="T16" i="148"/>
  <c r="U16" i="148"/>
  <c r="V16" i="148"/>
  <c r="W16" i="148"/>
  <c r="D18" i="148"/>
  <c r="D16" i="148"/>
  <c r="Y112" i="174" l="1"/>
  <c r="V112" i="174"/>
  <c r="Y114" i="174"/>
  <c r="V114" i="174" s="1"/>
  <c r="M57" i="174"/>
  <c r="O57" i="174" s="1"/>
  <c r="M71" i="174"/>
  <c r="O71" i="174" s="1"/>
  <c r="T71" i="174"/>
  <c r="U71" i="174" s="1"/>
  <c r="V71" i="174" s="1"/>
  <c r="M111" i="174"/>
  <c r="O111" i="174" s="1"/>
  <c r="K117" i="174"/>
  <c r="L118" i="174" s="1"/>
  <c r="M31" i="174"/>
  <c r="O31" i="174" s="1"/>
  <c r="M13" i="174"/>
  <c r="O13" i="174" s="1"/>
  <c r="M27" i="174"/>
  <c r="O27" i="174" s="1"/>
  <c r="T27" i="174"/>
  <c r="U27" i="174" s="1"/>
  <c r="V27" i="174" s="1"/>
  <c r="M23" i="174"/>
  <c r="O23" i="174" s="1"/>
  <c r="M19" i="174"/>
  <c r="O19" i="174" s="1"/>
  <c r="F117" i="174"/>
  <c r="T108" i="174"/>
  <c r="U108" i="174" s="1"/>
  <c r="M61" i="174"/>
  <c r="O61" i="174" s="1"/>
  <c r="T33" i="174"/>
  <c r="U33" i="174" s="1"/>
  <c r="V33" i="174" s="1"/>
  <c r="P93" i="174"/>
  <c r="M8" i="174"/>
  <c r="O8" i="174" s="1"/>
  <c r="O93" i="174" s="1"/>
  <c r="M50" i="174"/>
  <c r="O50" i="174" s="1"/>
  <c r="T50" i="174"/>
  <c r="U50" i="174" s="1"/>
  <c r="V50" i="174" s="1"/>
  <c r="M98" i="174"/>
  <c r="O98" i="174" s="1"/>
  <c r="T98" i="174"/>
  <c r="U98" i="174" s="1"/>
  <c r="Y98" i="174" s="1"/>
  <c r="M63" i="174"/>
  <c r="O63" i="174" s="1"/>
  <c r="T63" i="174"/>
  <c r="U63" i="174" s="1"/>
  <c r="V63" i="174" s="1"/>
  <c r="M58" i="174"/>
  <c r="O58" i="174" s="1"/>
  <c r="Y110" i="174"/>
  <c r="V110" i="174" s="1"/>
  <c r="T53" i="174"/>
  <c r="U53" i="174" s="1"/>
  <c r="V53" i="174" s="1"/>
  <c r="M53" i="174"/>
  <c r="O53" i="174" s="1"/>
  <c r="M74" i="174"/>
  <c r="O74" i="174" s="1"/>
  <c r="T10" i="174"/>
  <c r="U10" i="174" s="1"/>
  <c r="V10" i="174" s="1"/>
  <c r="T48" i="174"/>
  <c r="U48" i="174" s="1"/>
  <c r="V48" i="174" s="1"/>
  <c r="P102" i="174"/>
  <c r="T100" i="174"/>
  <c r="U100" i="174" s="1"/>
  <c r="Y100" i="174" s="1"/>
  <c r="M100" i="174"/>
  <c r="O100" i="174" s="1"/>
  <c r="M113" i="174"/>
  <c r="O113" i="174" s="1"/>
  <c r="T105" i="174"/>
  <c r="U105" i="174" s="1"/>
  <c r="M105" i="174"/>
  <c r="O105" i="174" s="1"/>
  <c r="O88" i="174"/>
  <c r="T78" i="174"/>
  <c r="U78" i="174" s="1"/>
  <c r="V78" i="174" s="1"/>
  <c r="O69" i="174"/>
  <c r="M59" i="174"/>
  <c r="O59" i="174" s="1"/>
  <c r="M40" i="174"/>
  <c r="O40" i="174" s="1"/>
  <c r="P109" i="174"/>
  <c r="M54" i="174"/>
  <c r="O54" i="174" s="1"/>
  <c r="T54" i="174"/>
  <c r="U54" i="174" s="1"/>
  <c r="V54" i="174" s="1"/>
  <c r="M43" i="174"/>
  <c r="O43" i="174" s="1"/>
  <c r="T22" i="174"/>
  <c r="U22" i="174" s="1"/>
  <c r="V22" i="174" s="1"/>
  <c r="M11" i="174"/>
  <c r="O11" i="174" s="1"/>
  <c r="T68" i="174"/>
  <c r="U68" i="174" s="1"/>
  <c r="V68" i="174" s="1"/>
  <c r="M49" i="174"/>
  <c r="O49" i="174" s="1"/>
  <c r="M35" i="174"/>
  <c r="O35" i="174" s="1"/>
  <c r="T35" i="174"/>
  <c r="U35" i="174" s="1"/>
  <c r="V35" i="174" s="1"/>
  <c r="U7" i="174"/>
  <c r="M76" i="174"/>
  <c r="O76" i="174" s="1"/>
  <c r="T76" i="174"/>
  <c r="U76" i="174" s="1"/>
  <c r="V76" i="174" s="1"/>
  <c r="M96" i="174"/>
  <c r="O84" i="174"/>
  <c r="T89" i="174"/>
  <c r="U89" i="174" s="1"/>
  <c r="V89" i="174" s="1"/>
  <c r="M81" i="174"/>
  <c r="O81" i="174" s="1"/>
  <c r="T81" i="174"/>
  <c r="U81" i="174" s="1"/>
  <c r="V81" i="174" s="1"/>
  <c r="O85" i="174"/>
  <c r="T64" i="174"/>
  <c r="U64" i="174" s="1"/>
  <c r="V64" i="174" s="1"/>
  <c r="M64" i="174"/>
  <c r="O64" i="174" s="1"/>
  <c r="O55" i="174"/>
  <c r="O47" i="174"/>
  <c r="T39" i="174"/>
  <c r="U39" i="174" s="1"/>
  <c r="V39" i="174" s="1"/>
  <c r="M39" i="174"/>
  <c r="O39" i="174" s="1"/>
  <c r="T26" i="174"/>
  <c r="U26" i="174" s="1"/>
  <c r="V26" i="174" s="1"/>
  <c r="O114" i="174"/>
  <c r="Y103" i="174"/>
  <c r="V103" i="174" s="1"/>
  <c r="O65" i="174"/>
  <c r="M52" i="174"/>
  <c r="O52" i="174" s="1"/>
  <c r="M20" i="174"/>
  <c r="O20" i="174" s="1"/>
  <c r="T20" i="174"/>
  <c r="U20" i="174" s="1"/>
  <c r="V20" i="174" s="1"/>
  <c r="M101" i="174"/>
  <c r="O101" i="174" s="1"/>
  <c r="T101" i="174"/>
  <c r="U101" i="174" s="1"/>
  <c r="Y101" i="174" s="1"/>
  <c r="L115" i="174"/>
  <c r="L117" i="174" s="1"/>
  <c r="P118" i="174" s="1"/>
  <c r="M60" i="174"/>
  <c r="O60" i="174" s="1"/>
  <c r="T60" i="174"/>
  <c r="U60" i="174" s="1"/>
  <c r="V60" i="174" s="1"/>
  <c r="M38" i="174"/>
  <c r="O38" i="174" s="1"/>
  <c r="T38" i="174"/>
  <c r="U38" i="174" s="1"/>
  <c r="V38" i="174" s="1"/>
  <c r="Y104" i="174"/>
  <c r="V104" i="174"/>
  <c r="M87" i="174"/>
  <c r="O87" i="174" s="1"/>
  <c r="T87" i="174"/>
  <c r="U87" i="174" s="1"/>
  <c r="V87" i="174" s="1"/>
  <c r="M66" i="174"/>
  <c r="O66" i="174" s="1"/>
  <c r="T66" i="174"/>
  <c r="U66" i="174" s="1"/>
  <c r="V66" i="174" s="1"/>
  <c r="M24" i="174"/>
  <c r="O24" i="174" s="1"/>
  <c r="T24" i="174"/>
  <c r="U24" i="174" s="1"/>
  <c r="V24" i="174" s="1"/>
  <c r="M46" i="174"/>
  <c r="O46" i="174" s="1"/>
  <c r="P7" i="173"/>
  <c r="T12" i="173"/>
  <c r="U12" i="173" s="1"/>
  <c r="P23" i="173"/>
  <c r="P14" i="173"/>
  <c r="P20" i="173"/>
  <c r="P6" i="173"/>
  <c r="L48" i="173"/>
  <c r="P49" i="173"/>
  <c r="P24" i="173"/>
  <c r="P34" i="173"/>
  <c r="P35" i="173"/>
  <c r="P8" i="173"/>
  <c r="M13" i="173"/>
  <c r="T13" i="173" s="1"/>
  <c r="U13" i="173" s="1"/>
  <c r="M15" i="173"/>
  <c r="O15" i="173" s="1"/>
  <c r="P16" i="173"/>
  <c r="M25" i="173"/>
  <c r="T25" i="173" s="1"/>
  <c r="U25" i="173" s="1"/>
  <c r="W25" i="173" s="1"/>
  <c r="M38" i="173"/>
  <c r="T38" i="173"/>
  <c r="U38" i="173" s="1"/>
  <c r="V38" i="173" s="1"/>
  <c r="P39" i="173"/>
  <c r="M18" i="173"/>
  <c r="T18" i="173" s="1"/>
  <c r="U18" i="173" s="1"/>
  <c r="W18" i="173" s="1"/>
  <c r="P43" i="173"/>
  <c r="T11" i="173"/>
  <c r="U11" i="173" s="1"/>
  <c r="V11" i="173" s="1"/>
  <c r="P17" i="173"/>
  <c r="T22" i="173"/>
  <c r="U22" i="173" s="1"/>
  <c r="W22" i="173" s="1"/>
  <c r="F28" i="173"/>
  <c r="O28" i="173"/>
  <c r="T32" i="173"/>
  <c r="U32" i="173" s="1"/>
  <c r="W32" i="173" s="1"/>
  <c r="P40" i="173"/>
  <c r="P44" i="173"/>
  <c r="F6" i="173"/>
  <c r="F10" i="173"/>
  <c r="P26" i="173"/>
  <c r="M33" i="173"/>
  <c r="O33" i="173" s="1"/>
  <c r="P36" i="173"/>
  <c r="S48" i="173"/>
  <c r="F9" i="173"/>
  <c r="N48" i="173"/>
  <c r="Z12" i="173"/>
  <c r="Z48" i="173" s="1"/>
  <c r="F22" i="173"/>
  <c r="P27" i="173"/>
  <c r="P29" i="173"/>
  <c r="O30" i="173"/>
  <c r="F32" i="173"/>
  <c r="P37" i="173"/>
  <c r="M41" i="173"/>
  <c r="O41" i="173" s="1"/>
  <c r="P42" i="173"/>
  <c r="M45" i="173"/>
  <c r="O45" i="173" s="1"/>
  <c r="P46" i="173"/>
  <c r="O47" i="173"/>
  <c r="T31" i="173"/>
  <c r="U31" i="173" s="1"/>
  <c r="W31" i="173" s="1"/>
  <c r="T9" i="173"/>
  <c r="U9" i="173" s="1"/>
  <c r="W9" i="173" s="1"/>
  <c r="O13" i="173"/>
  <c r="F18" i="173"/>
  <c r="O18" i="173"/>
  <c r="M19" i="173"/>
  <c r="O19" i="173" s="1"/>
  <c r="T28" i="173"/>
  <c r="U28" i="173" s="1"/>
  <c r="W28" i="173" s="1"/>
  <c r="T30" i="173"/>
  <c r="U30" i="173" s="1"/>
  <c r="W30" i="173" s="1"/>
  <c r="T47" i="173"/>
  <c r="U47" i="173" s="1"/>
  <c r="V47" i="173" s="1"/>
  <c r="K48" i="173"/>
  <c r="L49" i="173" s="1"/>
  <c r="M12" i="173"/>
  <c r="O12" i="173" s="1"/>
  <c r="F13" i="173"/>
  <c r="P21" i="173"/>
  <c r="M22" i="173"/>
  <c r="O22" i="173" s="1"/>
  <c r="O31" i="173"/>
  <c r="O38" i="173"/>
  <c r="T23" i="170"/>
  <c r="U23" i="170" s="1"/>
  <c r="W23" i="170" s="1"/>
  <c r="M23" i="170"/>
  <c r="P24" i="170"/>
  <c r="P25" i="170"/>
  <c r="M17" i="170"/>
  <c r="T17" i="170" s="1"/>
  <c r="U17" i="170" s="1"/>
  <c r="W17" i="170" s="1"/>
  <c r="T19" i="170"/>
  <c r="U19" i="170" s="1"/>
  <c r="W19" i="170" s="1"/>
  <c r="M19" i="170"/>
  <c r="D70" i="170"/>
  <c r="O7" i="170"/>
  <c r="M9" i="170"/>
  <c r="O9" i="170" s="1"/>
  <c r="T10" i="170"/>
  <c r="U10" i="170" s="1"/>
  <c r="W10" i="170" s="1"/>
  <c r="M10" i="170"/>
  <c r="O10" i="170" s="1"/>
  <c r="P14" i="170"/>
  <c r="F22" i="170"/>
  <c r="P26" i="170"/>
  <c r="T28" i="170"/>
  <c r="U28" i="170" s="1"/>
  <c r="W28" i="170" s="1"/>
  <c r="M42" i="170"/>
  <c r="O42" i="170" s="1"/>
  <c r="T53" i="170"/>
  <c r="U53" i="170" s="1"/>
  <c r="V53" i="170" s="1"/>
  <c r="M53" i="170"/>
  <c r="O53" i="170" s="1"/>
  <c r="P54" i="170"/>
  <c r="T58" i="170"/>
  <c r="U58" i="170" s="1"/>
  <c r="V58" i="170" s="1"/>
  <c r="M58" i="170"/>
  <c r="O58" i="170" s="1"/>
  <c r="M59" i="170"/>
  <c r="T59" i="170" s="1"/>
  <c r="U59" i="170" s="1"/>
  <c r="W59" i="170" s="1"/>
  <c r="P65" i="170"/>
  <c r="L6" i="170"/>
  <c r="F7" i="170"/>
  <c r="U7" i="170"/>
  <c r="W7" i="170" s="1"/>
  <c r="F12" i="170"/>
  <c r="U12" i="170"/>
  <c r="W12" i="170" s="1"/>
  <c r="O13" i="170"/>
  <c r="F13" i="170"/>
  <c r="F70" i="170" s="1"/>
  <c r="O15" i="170"/>
  <c r="F15" i="170"/>
  <c r="T18" i="170"/>
  <c r="U18" i="170" s="1"/>
  <c r="W18" i="170" s="1"/>
  <c r="O19" i="170"/>
  <c r="P20" i="170"/>
  <c r="M29" i="170"/>
  <c r="O29" i="170" s="1"/>
  <c r="P37" i="170"/>
  <c r="P39" i="170"/>
  <c r="M41" i="170"/>
  <c r="O41" i="170" s="1"/>
  <c r="T44" i="170"/>
  <c r="U44" i="170" s="1"/>
  <c r="W44" i="170" s="1"/>
  <c r="M44" i="170"/>
  <c r="M55" i="170"/>
  <c r="O55" i="170" s="1"/>
  <c r="O59" i="170"/>
  <c r="P66" i="170"/>
  <c r="N70" i="170"/>
  <c r="T11" i="170"/>
  <c r="U11" i="170" s="1"/>
  <c r="W11" i="170" s="1"/>
  <c r="T13" i="170"/>
  <c r="U13" i="170" s="1"/>
  <c r="W13" i="170" s="1"/>
  <c r="T16" i="170"/>
  <c r="U16" i="170" s="1"/>
  <c r="W16" i="170" s="1"/>
  <c r="O17" i="170"/>
  <c r="O23" i="170"/>
  <c r="F28" i="170"/>
  <c r="M33" i="170"/>
  <c r="T33" i="170" s="1"/>
  <c r="U33" i="170" s="1"/>
  <c r="W33" i="170" s="1"/>
  <c r="P34" i="170"/>
  <c r="P36" i="170"/>
  <c r="P40" i="170"/>
  <c r="F48" i="170"/>
  <c r="U48" i="170"/>
  <c r="W48" i="170" s="1"/>
  <c r="T50" i="170"/>
  <c r="U50" i="170" s="1"/>
  <c r="W50" i="170" s="1"/>
  <c r="M50" i="170"/>
  <c r="O50" i="170" s="1"/>
  <c r="T51" i="170"/>
  <c r="U51" i="170" s="1"/>
  <c r="V51" i="170" s="1"/>
  <c r="T56" i="170"/>
  <c r="U56" i="170" s="1"/>
  <c r="M56" i="170"/>
  <c r="O56" i="170" s="1"/>
  <c r="P60" i="170"/>
  <c r="T67" i="170"/>
  <c r="U67" i="170" s="1"/>
  <c r="M67" i="170"/>
  <c r="O67" i="170" s="1"/>
  <c r="O18" i="170"/>
  <c r="P21" i="170"/>
  <c r="M22" i="170"/>
  <c r="O22" i="170" s="1"/>
  <c r="M31" i="170"/>
  <c r="O31" i="170" s="1"/>
  <c r="O33" i="170"/>
  <c r="T35" i="170"/>
  <c r="U35" i="170" s="1"/>
  <c r="M43" i="170"/>
  <c r="O43" i="170" s="1"/>
  <c r="T45" i="170"/>
  <c r="U45" i="170" s="1"/>
  <c r="V45" i="170" s="1"/>
  <c r="M45" i="170"/>
  <c r="T49" i="170"/>
  <c r="U49" i="170" s="1"/>
  <c r="V49" i="170" s="1"/>
  <c r="M52" i="170"/>
  <c r="O52" i="170" s="1"/>
  <c r="T57" i="170"/>
  <c r="U57" i="170" s="1"/>
  <c r="W57" i="170" s="1"/>
  <c r="M57" i="170"/>
  <c r="O57" i="170" s="1"/>
  <c r="P62" i="170"/>
  <c r="T64" i="170"/>
  <c r="U64" i="170" s="1"/>
  <c r="W64" i="170" s="1"/>
  <c r="E70" i="170"/>
  <c r="O45" i="170"/>
  <c r="T68" i="170"/>
  <c r="U68" i="170" s="1"/>
  <c r="W68" i="170" s="1"/>
  <c r="M68" i="170"/>
  <c r="O68" i="170" s="1"/>
  <c r="J70" i="170"/>
  <c r="K30" i="170"/>
  <c r="L30" i="170" s="1"/>
  <c r="O35" i="170"/>
  <c r="O44" i="170"/>
  <c r="P46" i="170"/>
  <c r="F55" i="170"/>
  <c r="P61" i="170"/>
  <c r="P63" i="170"/>
  <c r="O64" i="170"/>
  <c r="T69" i="170"/>
  <c r="U69" i="170" s="1"/>
  <c r="W69" i="170" s="1"/>
  <c r="P11" i="168"/>
  <c r="P29" i="168"/>
  <c r="M34" i="168"/>
  <c r="T34" i="168" s="1"/>
  <c r="U34" i="168" s="1"/>
  <c r="V34" i="168" s="1"/>
  <c r="A104" i="168"/>
  <c r="T13" i="168"/>
  <c r="U13" i="168" s="1"/>
  <c r="V13" i="168" s="1"/>
  <c r="M13" i="168"/>
  <c r="M36" i="168"/>
  <c r="T36" i="168"/>
  <c r="U36" i="168" s="1"/>
  <c r="V36" i="168" s="1"/>
  <c r="P9" i="168"/>
  <c r="G104" i="168"/>
  <c r="P10" i="168"/>
  <c r="O13" i="168"/>
  <c r="P18" i="168"/>
  <c r="T21" i="168"/>
  <c r="U21" i="168" s="1"/>
  <c r="V21" i="168" s="1"/>
  <c r="P23" i="168"/>
  <c r="T28" i="168"/>
  <c r="M28" i="168"/>
  <c r="T41" i="168"/>
  <c r="U41" i="168" s="1"/>
  <c r="V41" i="168" s="1"/>
  <c r="M41" i="168"/>
  <c r="T45" i="168"/>
  <c r="U45" i="168" s="1"/>
  <c r="V45" i="168" s="1"/>
  <c r="M45" i="168"/>
  <c r="P46" i="168"/>
  <c r="O59" i="168"/>
  <c r="F59" i="168"/>
  <c r="M64" i="168"/>
  <c r="T64" i="168" s="1"/>
  <c r="U64" i="168" s="1"/>
  <c r="V64" i="168" s="1"/>
  <c r="M72" i="168"/>
  <c r="T72" i="168" s="1"/>
  <c r="U72" i="168" s="1"/>
  <c r="V72" i="168" s="1"/>
  <c r="U91" i="168"/>
  <c r="V91" i="168" s="1"/>
  <c r="K104" i="168"/>
  <c r="L105" i="168" s="1"/>
  <c r="T12" i="168"/>
  <c r="U12" i="168" s="1"/>
  <c r="V12" i="168" s="1"/>
  <c r="M12" i="168"/>
  <c r="M14" i="168"/>
  <c r="O14" i="168" s="1"/>
  <c r="O27" i="168"/>
  <c r="F27" i="168"/>
  <c r="U33" i="168"/>
  <c r="V33" i="168" s="1"/>
  <c r="M37" i="168"/>
  <c r="T37" i="168" s="1"/>
  <c r="U37" i="168" s="1"/>
  <c r="V37" i="168" s="1"/>
  <c r="P39" i="168"/>
  <c r="M40" i="168"/>
  <c r="T40" i="168"/>
  <c r="U40" i="168" s="1"/>
  <c r="V40" i="168" s="1"/>
  <c r="T42" i="168"/>
  <c r="U42" i="168" s="1"/>
  <c r="V42" i="168" s="1"/>
  <c r="M42" i="168"/>
  <c r="O53" i="168"/>
  <c r="F53" i="168"/>
  <c r="P57" i="168"/>
  <c r="M67" i="168"/>
  <c r="T67" i="168"/>
  <c r="U67" i="168" s="1"/>
  <c r="V67" i="168" s="1"/>
  <c r="P69" i="168"/>
  <c r="M71" i="168"/>
  <c r="O71" i="168" s="1"/>
  <c r="T71" i="168"/>
  <c r="U71" i="168" s="1"/>
  <c r="V71" i="168" s="1"/>
  <c r="P76" i="168"/>
  <c r="P78" i="168"/>
  <c r="M88" i="168"/>
  <c r="T88" i="168" s="1"/>
  <c r="U88" i="168" s="1"/>
  <c r="V88" i="168" s="1"/>
  <c r="L104" i="168"/>
  <c r="S104" i="168"/>
  <c r="L8" i="168"/>
  <c r="T15" i="168"/>
  <c r="U15" i="168" s="1"/>
  <c r="V15" i="168" s="1"/>
  <c r="P17" i="168"/>
  <c r="F19" i="168"/>
  <c r="U19" i="168"/>
  <c r="V19" i="168" s="1"/>
  <c r="M21" i="168"/>
  <c r="O21" i="168" s="1"/>
  <c r="P22" i="168"/>
  <c r="M25" i="168"/>
  <c r="O25" i="168" s="1"/>
  <c r="P32" i="168"/>
  <c r="O36" i="168"/>
  <c r="O37" i="168"/>
  <c r="T38" i="168"/>
  <c r="U38" i="168" s="1"/>
  <c r="V38" i="168" s="1"/>
  <c r="M38" i="168"/>
  <c r="O38" i="168" s="1"/>
  <c r="P43" i="168"/>
  <c r="P49" i="168"/>
  <c r="P50" i="168"/>
  <c r="O55" i="168"/>
  <c r="T74" i="168"/>
  <c r="U74" i="168" s="1"/>
  <c r="V74" i="168" s="1"/>
  <c r="M77" i="168"/>
  <c r="T77" i="168" s="1"/>
  <c r="U77" i="168" s="1"/>
  <c r="V77" i="168" s="1"/>
  <c r="P82" i="168"/>
  <c r="P84" i="168"/>
  <c r="M6" i="168"/>
  <c r="M7" i="168"/>
  <c r="O7" i="168" s="1"/>
  <c r="O12" i="168"/>
  <c r="O15" i="168"/>
  <c r="M16" i="168"/>
  <c r="T16" i="168" s="1"/>
  <c r="U16" i="168" s="1"/>
  <c r="V16" i="168" s="1"/>
  <c r="P20" i="168"/>
  <c r="M24" i="168"/>
  <c r="O24" i="168" s="1"/>
  <c r="M26" i="168"/>
  <c r="O26" i="168" s="1"/>
  <c r="T26" i="168"/>
  <c r="U26" i="168" s="1"/>
  <c r="V26" i="168" s="1"/>
  <c r="U28" i="168"/>
  <c r="V28" i="168" s="1"/>
  <c r="P30" i="168"/>
  <c r="P31" i="168"/>
  <c r="P35" i="168"/>
  <c r="F41" i="168"/>
  <c r="O41" i="168"/>
  <c r="O42" i="168"/>
  <c r="O45" i="168"/>
  <c r="M52" i="168"/>
  <c r="O52" i="168" s="1"/>
  <c r="M54" i="168"/>
  <c r="T54" i="168" s="1"/>
  <c r="U54" i="168" s="1"/>
  <c r="V54" i="168" s="1"/>
  <c r="T55" i="168"/>
  <c r="U55" i="168" s="1"/>
  <c r="V55" i="168" s="1"/>
  <c r="M55" i="168"/>
  <c r="M56" i="168"/>
  <c r="O56" i="168" s="1"/>
  <c r="T61" i="168"/>
  <c r="U61" i="168" s="1"/>
  <c r="V61" i="168" s="1"/>
  <c r="P63" i="168"/>
  <c r="O67" i="168"/>
  <c r="U68" i="168"/>
  <c r="V68" i="168" s="1"/>
  <c r="P85" i="168"/>
  <c r="M86" i="168"/>
  <c r="O86" i="168" s="1"/>
  <c r="P93" i="168"/>
  <c r="U51" i="168"/>
  <c r="V51" i="168" s="1"/>
  <c r="T52" i="168"/>
  <c r="U52" i="168" s="1"/>
  <c r="V52" i="168" s="1"/>
  <c r="U53" i="168"/>
  <c r="V53" i="168" s="1"/>
  <c r="T58" i="168"/>
  <c r="U58" i="168" s="1"/>
  <c r="V58" i="168" s="1"/>
  <c r="T60" i="168"/>
  <c r="U60" i="168" s="1"/>
  <c r="V60" i="168" s="1"/>
  <c r="T80" i="168"/>
  <c r="U80" i="168" s="1"/>
  <c r="V80" i="168" s="1"/>
  <c r="T81" i="168"/>
  <c r="U81" i="168" s="1"/>
  <c r="V81" i="168" s="1"/>
  <c r="M90" i="168"/>
  <c r="T90" i="168" s="1"/>
  <c r="U90" i="168" s="1"/>
  <c r="V90" i="168" s="1"/>
  <c r="T91" i="168"/>
  <c r="P92" i="168"/>
  <c r="M94" i="168"/>
  <c r="O94" i="168" s="1"/>
  <c r="D104" i="168"/>
  <c r="F6" i="168"/>
  <c r="T24" i="168"/>
  <c r="U24" i="168" s="1"/>
  <c r="V24" i="168" s="1"/>
  <c r="U27" i="168"/>
  <c r="V27" i="168" s="1"/>
  <c r="O28" i="168"/>
  <c r="M61" i="168"/>
  <c r="O61" i="168" s="1"/>
  <c r="F62" i="168"/>
  <c r="O64" i="168"/>
  <c r="T65" i="168"/>
  <c r="U65" i="168" s="1"/>
  <c r="V65" i="168" s="1"/>
  <c r="T66" i="168"/>
  <c r="U66" i="168" s="1"/>
  <c r="V66" i="168" s="1"/>
  <c r="O70" i="168"/>
  <c r="F70" i="168"/>
  <c r="O72" i="168"/>
  <c r="P75" i="168"/>
  <c r="O77" i="168"/>
  <c r="O6" i="168"/>
  <c r="O33" i="168"/>
  <c r="O34" i="168"/>
  <c r="O40" i="168"/>
  <c r="F40" i="168"/>
  <c r="K44" i="168"/>
  <c r="L44" i="168" s="1"/>
  <c r="M47" i="168"/>
  <c r="O47" i="168" s="1"/>
  <c r="O51" i="168"/>
  <c r="O58" i="168"/>
  <c r="O60" i="168"/>
  <c r="T68" i="168"/>
  <c r="P73" i="168"/>
  <c r="M74" i="168"/>
  <c r="O74" i="168" s="1"/>
  <c r="P79" i="168"/>
  <c r="O80" i="168"/>
  <c r="O81" i="168"/>
  <c r="O87" i="168"/>
  <c r="M89" i="168"/>
  <c r="N104" i="168"/>
  <c r="O88" i="168"/>
  <c r="F88" i="168"/>
  <c r="H12" i="38"/>
  <c r="Y105" i="174" l="1"/>
  <c r="V105" i="174" s="1"/>
  <c r="T46" i="174"/>
  <c r="U46" i="174" s="1"/>
  <c r="V46" i="174" s="1"/>
  <c r="T52" i="174"/>
  <c r="U52" i="174" s="1"/>
  <c r="V52" i="174" s="1"/>
  <c r="T43" i="174"/>
  <c r="U43" i="174" s="1"/>
  <c r="V43" i="174" s="1"/>
  <c r="T40" i="174"/>
  <c r="U40" i="174" s="1"/>
  <c r="V40" i="174" s="1"/>
  <c r="M102" i="174"/>
  <c r="O102" i="174" s="1"/>
  <c r="T58" i="174"/>
  <c r="U58" i="174" s="1"/>
  <c r="V58" i="174" s="1"/>
  <c r="T61" i="174"/>
  <c r="U61" i="174" s="1"/>
  <c r="V61" i="174" s="1"/>
  <c r="T19" i="174"/>
  <c r="U19" i="174" s="1"/>
  <c r="V19" i="174" s="1"/>
  <c r="T31" i="174"/>
  <c r="U31" i="174" s="1"/>
  <c r="V31" i="174" s="1"/>
  <c r="T57" i="174"/>
  <c r="U57" i="174" s="1"/>
  <c r="V57" i="174" s="1"/>
  <c r="T96" i="174"/>
  <c r="T11" i="174"/>
  <c r="U11" i="174" s="1"/>
  <c r="V11" i="174" s="1"/>
  <c r="M109" i="174"/>
  <c r="O109" i="174" s="1"/>
  <c r="T109" i="174"/>
  <c r="U109" i="174" s="1"/>
  <c r="T113" i="174"/>
  <c r="U113" i="174" s="1"/>
  <c r="T74" i="174"/>
  <c r="U74" i="174" s="1"/>
  <c r="V74" i="174" s="1"/>
  <c r="T8" i="174"/>
  <c r="V108" i="174"/>
  <c r="Y108" i="174"/>
  <c r="O96" i="174"/>
  <c r="P115" i="174"/>
  <c r="P117" i="174" s="1"/>
  <c r="V7" i="174"/>
  <c r="T49" i="174"/>
  <c r="U49" i="174" s="1"/>
  <c r="V49" i="174" s="1"/>
  <c r="M93" i="174"/>
  <c r="T59" i="174"/>
  <c r="U59" i="174" s="1"/>
  <c r="V59" i="174" s="1"/>
  <c r="T23" i="174"/>
  <c r="U23" i="174" s="1"/>
  <c r="V23" i="174" s="1"/>
  <c r="T13" i="174"/>
  <c r="U13" i="174" s="1"/>
  <c r="V13" i="174" s="1"/>
  <c r="T111" i="174"/>
  <c r="U111" i="174" s="1"/>
  <c r="V13" i="173"/>
  <c r="W13" i="173" s="1"/>
  <c r="M36" i="173"/>
  <c r="O36" i="173" s="1"/>
  <c r="M26" i="173"/>
  <c r="O26" i="173" s="1"/>
  <c r="T44" i="173"/>
  <c r="U44" i="173" s="1"/>
  <c r="W44" i="173" s="1"/>
  <c r="M44" i="173"/>
  <c r="O44" i="173" s="1"/>
  <c r="M39" i="173"/>
  <c r="O39" i="173" s="1"/>
  <c r="T35" i="173"/>
  <c r="U35" i="173" s="1"/>
  <c r="W35" i="173" s="1"/>
  <c r="M35" i="173"/>
  <c r="O35" i="173" s="1"/>
  <c r="O25" i="173"/>
  <c r="M43" i="173"/>
  <c r="O43" i="173" s="1"/>
  <c r="T15" i="173"/>
  <c r="U15" i="173" s="1"/>
  <c r="V15" i="173" s="1"/>
  <c r="M21" i="173"/>
  <c r="O21" i="173" s="1"/>
  <c r="T21" i="173"/>
  <c r="U21" i="173" s="1"/>
  <c r="W21" i="173" s="1"/>
  <c r="T19" i="173"/>
  <c r="U19" i="173" s="1"/>
  <c r="W19" i="173" s="1"/>
  <c r="T33" i="173"/>
  <c r="U33" i="173" s="1"/>
  <c r="V33" i="173" s="1"/>
  <c r="F48" i="173"/>
  <c r="T45" i="173"/>
  <c r="U45" i="173" s="1"/>
  <c r="W45" i="173" s="1"/>
  <c r="T41" i="173"/>
  <c r="U41" i="173" s="1"/>
  <c r="W41" i="173" s="1"/>
  <c r="M23" i="173"/>
  <c r="O23" i="173" s="1"/>
  <c r="M42" i="173"/>
  <c r="O42" i="173" s="1"/>
  <c r="T27" i="173"/>
  <c r="U27" i="173" s="1"/>
  <c r="W27" i="173" s="1"/>
  <c r="M27" i="173"/>
  <c r="O27" i="173" s="1"/>
  <c r="P48" i="173"/>
  <c r="T6" i="173"/>
  <c r="M6" i="173"/>
  <c r="M14" i="173"/>
  <c r="O14" i="173" s="1"/>
  <c r="T8" i="173"/>
  <c r="U8" i="173" s="1"/>
  <c r="W8" i="173" s="1"/>
  <c r="M8" i="173"/>
  <c r="O8" i="173" s="1"/>
  <c r="M24" i="173"/>
  <c r="O24" i="173" s="1"/>
  <c r="T24" i="173"/>
  <c r="U24" i="173" s="1"/>
  <c r="W24" i="173" s="1"/>
  <c r="T46" i="173"/>
  <c r="U46" i="173" s="1"/>
  <c r="V46" i="173" s="1"/>
  <c r="M46" i="173"/>
  <c r="O46" i="173" s="1"/>
  <c r="M37" i="173"/>
  <c r="O37" i="173" s="1"/>
  <c r="T29" i="173"/>
  <c r="U29" i="173" s="1"/>
  <c r="W29" i="173" s="1"/>
  <c r="M29" i="173"/>
  <c r="O29" i="173" s="1"/>
  <c r="M40" i="173"/>
  <c r="O40" i="173" s="1"/>
  <c r="T17" i="173"/>
  <c r="U17" i="173" s="1"/>
  <c r="W17" i="173" s="1"/>
  <c r="M17" i="173"/>
  <c r="O17" i="173" s="1"/>
  <c r="M16" i="173"/>
  <c r="O16" i="173" s="1"/>
  <c r="T34" i="173"/>
  <c r="U34" i="173" s="1"/>
  <c r="W34" i="173" s="1"/>
  <c r="M34" i="173"/>
  <c r="O34" i="173" s="1"/>
  <c r="M20" i="173"/>
  <c r="O20" i="173" s="1"/>
  <c r="T7" i="173"/>
  <c r="U7" i="173" s="1"/>
  <c r="V7" i="173" s="1"/>
  <c r="M7" i="173"/>
  <c r="O7" i="173" s="1"/>
  <c r="V35" i="170"/>
  <c r="W35" i="170"/>
  <c r="P30" i="170"/>
  <c r="T29" i="170"/>
  <c r="U29" i="170" s="1"/>
  <c r="W29" i="170" s="1"/>
  <c r="M65" i="170"/>
  <c r="O65" i="170" s="1"/>
  <c r="M54" i="170"/>
  <c r="O54" i="170" s="1"/>
  <c r="T54" i="170"/>
  <c r="U54" i="170" s="1"/>
  <c r="T42" i="170"/>
  <c r="U42" i="170" s="1"/>
  <c r="V42" i="170" s="1"/>
  <c r="T14" i="170"/>
  <c r="U14" i="170" s="1"/>
  <c r="W14" i="170" s="1"/>
  <c r="M14" i="170"/>
  <c r="O14" i="170" s="1"/>
  <c r="T9" i="170"/>
  <c r="U9" i="170" s="1"/>
  <c r="W9" i="170" s="1"/>
  <c r="T41" i="170"/>
  <c r="U41" i="170" s="1"/>
  <c r="W41" i="170" s="1"/>
  <c r="T24" i="170"/>
  <c r="U24" i="170" s="1"/>
  <c r="W24" i="170" s="1"/>
  <c r="M24" i="170"/>
  <c r="O24" i="170" s="1"/>
  <c r="T43" i="170"/>
  <c r="U43" i="170" s="1"/>
  <c r="W43" i="170" s="1"/>
  <c r="T31" i="170"/>
  <c r="U31" i="170" s="1"/>
  <c r="W31" i="170" s="1"/>
  <c r="T36" i="170"/>
  <c r="U36" i="170" s="1"/>
  <c r="W36" i="170" s="1"/>
  <c r="M36" i="170"/>
  <c r="O36" i="170" s="1"/>
  <c r="M66" i="170"/>
  <c r="O66" i="170" s="1"/>
  <c r="T55" i="170"/>
  <c r="U55" i="170" s="1"/>
  <c r="W55" i="170" s="1"/>
  <c r="M39" i="170"/>
  <c r="O39" i="170" s="1"/>
  <c r="T22" i="170"/>
  <c r="U22" i="170" s="1"/>
  <c r="W22" i="170" s="1"/>
  <c r="L70" i="170"/>
  <c r="P71" i="170" s="1"/>
  <c r="P6" i="170"/>
  <c r="M62" i="170"/>
  <c r="O62" i="170" s="1"/>
  <c r="V67" i="170"/>
  <c r="W67" i="170" s="1"/>
  <c r="V56" i="170"/>
  <c r="W56" i="170" s="1"/>
  <c r="M40" i="170"/>
  <c r="O40" i="170" s="1"/>
  <c r="T40" i="170"/>
  <c r="U40" i="170" s="1"/>
  <c r="W40" i="170" s="1"/>
  <c r="T26" i="170"/>
  <c r="U26" i="170" s="1"/>
  <c r="W26" i="170" s="1"/>
  <c r="M26" i="170"/>
  <c r="O26" i="170" s="1"/>
  <c r="M61" i="170"/>
  <c r="O61" i="170" s="1"/>
  <c r="T46" i="170"/>
  <c r="U46" i="170" s="1"/>
  <c r="W46" i="170" s="1"/>
  <c r="M46" i="170"/>
  <c r="O46" i="170" s="1"/>
  <c r="T52" i="170"/>
  <c r="U52" i="170" s="1"/>
  <c r="W52" i="170" s="1"/>
  <c r="M21" i="170"/>
  <c r="O21" i="170" s="1"/>
  <c r="M60" i="170"/>
  <c r="O60" i="170" s="1"/>
  <c r="M37" i="170"/>
  <c r="O37" i="170" s="1"/>
  <c r="M63" i="170"/>
  <c r="O63" i="170" s="1"/>
  <c r="M34" i="170"/>
  <c r="O34" i="170" s="1"/>
  <c r="M20" i="170"/>
  <c r="O20" i="170" s="1"/>
  <c r="K70" i="170"/>
  <c r="L71" i="170" s="1"/>
  <c r="T25" i="170"/>
  <c r="U25" i="170" s="1"/>
  <c r="W25" i="170" s="1"/>
  <c r="M25" i="170"/>
  <c r="O25" i="170" s="1"/>
  <c r="T89" i="168"/>
  <c r="U89" i="168" s="1"/>
  <c r="V89" i="168" s="1"/>
  <c r="O89" i="168"/>
  <c r="M79" i="168"/>
  <c r="O79" i="168" s="1"/>
  <c r="M75" i="168"/>
  <c r="O75" i="168" s="1"/>
  <c r="T75" i="168"/>
  <c r="U75" i="168" s="1"/>
  <c r="V75" i="168" s="1"/>
  <c r="M92" i="168"/>
  <c r="O92" i="168" s="1"/>
  <c r="M35" i="168"/>
  <c r="O35" i="168" s="1"/>
  <c r="T35" i="168"/>
  <c r="U35" i="168" s="1"/>
  <c r="V35" i="168" s="1"/>
  <c r="T20" i="168"/>
  <c r="U20" i="168" s="1"/>
  <c r="V20" i="168" s="1"/>
  <c r="M20" i="168"/>
  <c r="O20" i="168" s="1"/>
  <c r="M84" i="168"/>
  <c r="O84" i="168" s="1"/>
  <c r="T49" i="168"/>
  <c r="U49" i="168" s="1"/>
  <c r="V49" i="168" s="1"/>
  <c r="M49" i="168"/>
  <c r="O49" i="168" s="1"/>
  <c r="M17" i="168"/>
  <c r="O17" i="168" s="1"/>
  <c r="T17" i="168"/>
  <c r="U17" i="168" s="1"/>
  <c r="V17" i="168" s="1"/>
  <c r="M78" i="168"/>
  <c r="O78" i="168" s="1"/>
  <c r="M9" i="168"/>
  <c r="O9" i="168" s="1"/>
  <c r="T29" i="168"/>
  <c r="U29" i="168" s="1"/>
  <c r="V29" i="168" s="1"/>
  <c r="M29" i="168"/>
  <c r="O29" i="168" s="1"/>
  <c r="T86" i="168"/>
  <c r="U86" i="168" s="1"/>
  <c r="V86" i="168" s="1"/>
  <c r="T7" i="168"/>
  <c r="U7" i="168" s="1"/>
  <c r="V7" i="168" s="1"/>
  <c r="M82" i="168"/>
  <c r="O82" i="168" s="1"/>
  <c r="T47" i="168"/>
  <c r="U47" i="168" s="1"/>
  <c r="V47" i="168" s="1"/>
  <c r="T25" i="168"/>
  <c r="U25" i="168" s="1"/>
  <c r="V25" i="168" s="1"/>
  <c r="O16" i="168"/>
  <c r="M23" i="168"/>
  <c r="O23" i="168" s="1"/>
  <c r="T23" i="168"/>
  <c r="U23" i="168" s="1"/>
  <c r="V23" i="168" s="1"/>
  <c r="M10" i="168"/>
  <c r="O10" i="168" s="1"/>
  <c r="T10" i="168"/>
  <c r="U10" i="168" s="1"/>
  <c r="V10" i="168" s="1"/>
  <c r="M73" i="168"/>
  <c r="O73" i="168" s="1"/>
  <c r="T73" i="168"/>
  <c r="U73" i="168" s="1"/>
  <c r="V73" i="168" s="1"/>
  <c r="O54" i="168"/>
  <c r="P44" i="168"/>
  <c r="T94" i="168"/>
  <c r="U94" i="168" s="1"/>
  <c r="V94" i="168" s="1"/>
  <c r="M93" i="168"/>
  <c r="O93" i="168" s="1"/>
  <c r="M63" i="168"/>
  <c r="O63" i="168" s="1"/>
  <c r="T56" i="168"/>
  <c r="U56" i="168" s="1"/>
  <c r="V56" i="168" s="1"/>
  <c r="M31" i="168"/>
  <c r="O31" i="168" s="1"/>
  <c r="M50" i="168"/>
  <c r="O50" i="168" s="1"/>
  <c r="M43" i="168"/>
  <c r="O43" i="168" s="1"/>
  <c r="T22" i="168"/>
  <c r="U22" i="168" s="1"/>
  <c r="V22" i="168" s="1"/>
  <c r="M22" i="168"/>
  <c r="O22" i="168" s="1"/>
  <c r="M57" i="168"/>
  <c r="O57" i="168" s="1"/>
  <c r="T57" i="168"/>
  <c r="U57" i="168" s="1"/>
  <c r="V57" i="168" s="1"/>
  <c r="T14" i="168"/>
  <c r="U14" i="168" s="1"/>
  <c r="V14" i="168" s="1"/>
  <c r="M46" i="168"/>
  <c r="O46" i="168" s="1"/>
  <c r="M18" i="168"/>
  <c r="O18" i="168" s="1"/>
  <c r="T18" i="168"/>
  <c r="U18" i="168" s="1"/>
  <c r="V18" i="168" s="1"/>
  <c r="P105" i="168"/>
  <c r="M11" i="168"/>
  <c r="O11" i="168" s="1"/>
  <c r="O90" i="168"/>
  <c r="F104" i="168"/>
  <c r="M85" i="168"/>
  <c r="O85" i="168" s="1"/>
  <c r="T30" i="168"/>
  <c r="U30" i="168" s="1"/>
  <c r="V30" i="168" s="1"/>
  <c r="M30" i="168"/>
  <c r="O30" i="168" s="1"/>
  <c r="M32" i="168"/>
  <c r="O32" i="168" s="1"/>
  <c r="T32" i="168"/>
  <c r="U32" i="168" s="1"/>
  <c r="V32" i="168" s="1"/>
  <c r="P8" i="168"/>
  <c r="M76" i="168"/>
  <c r="O76" i="168" s="1"/>
  <c r="T76" i="168"/>
  <c r="U76" i="168" s="1"/>
  <c r="V76" i="168" s="1"/>
  <c r="M69" i="168"/>
  <c r="O69" i="168" s="1"/>
  <c r="M39" i="168"/>
  <c r="O39" i="168" s="1"/>
  <c r="T39" i="168"/>
  <c r="U39" i="168" s="1"/>
  <c r="V39" i="168" s="1"/>
  <c r="T6" i="168"/>
  <c r="E13" i="127"/>
  <c r="B16" i="150"/>
  <c r="D14" i="124"/>
  <c r="D6" i="124"/>
  <c r="D39" i="123"/>
  <c r="D29" i="123"/>
  <c r="D33" i="123"/>
  <c r="D19" i="123"/>
  <c r="D16" i="123"/>
  <c r="D14" i="123"/>
  <c r="D13" i="123"/>
  <c r="D11" i="122"/>
  <c r="D6" i="122"/>
  <c r="B29" i="155"/>
  <c r="B28" i="155"/>
  <c r="B27" i="155"/>
  <c r="D15" i="121"/>
  <c r="D13" i="121"/>
  <c r="D11" i="121"/>
  <c r="D9" i="121"/>
  <c r="D7" i="120"/>
  <c r="D6" i="120"/>
  <c r="B6" i="157"/>
  <c r="B79" i="157"/>
  <c r="D22" i="119"/>
  <c r="D109" i="117"/>
  <c r="D106" i="117"/>
  <c r="D103" i="117"/>
  <c r="D56" i="117"/>
  <c r="D37" i="117"/>
  <c r="D32" i="117"/>
  <c r="D14" i="117"/>
  <c r="B101" i="162"/>
  <c r="B100" i="162"/>
  <c r="B94" i="162"/>
  <c r="B93" i="162"/>
  <c r="B92" i="162"/>
  <c r="B91" i="162"/>
  <c r="B90" i="162"/>
  <c r="B89" i="162"/>
  <c r="B88" i="162"/>
  <c r="B87" i="162"/>
  <c r="B86" i="162"/>
  <c r="B85" i="162"/>
  <c r="B84" i="162"/>
  <c r="B49" i="162"/>
  <c r="B48" i="162"/>
  <c r="B47" i="162"/>
  <c r="B46" i="162"/>
  <c r="B45" i="162"/>
  <c r="B44" i="162"/>
  <c r="B43" i="162"/>
  <c r="Y109" i="174" l="1"/>
  <c r="V109" i="174" s="1"/>
  <c r="Y111" i="174"/>
  <c r="V111" i="174" s="1"/>
  <c r="U8" i="174"/>
  <c r="T93" i="174"/>
  <c r="M115" i="174"/>
  <c r="M117" i="174" s="1"/>
  <c r="O115" i="174"/>
  <c r="O117" i="174" s="1"/>
  <c r="T102" i="174"/>
  <c r="U102" i="174" s="1"/>
  <c r="Y102" i="174" s="1"/>
  <c r="Y113" i="174"/>
  <c r="V113" i="174"/>
  <c r="T115" i="174"/>
  <c r="T117" i="174" s="1"/>
  <c r="U118" i="174" s="1"/>
  <c r="U96" i="174"/>
  <c r="T42" i="173"/>
  <c r="U42" i="173" s="1"/>
  <c r="V42" i="173" s="1"/>
  <c r="T43" i="173"/>
  <c r="U43" i="173" s="1"/>
  <c r="V43" i="173" s="1"/>
  <c r="T20" i="173"/>
  <c r="U20" i="173" s="1"/>
  <c r="V20" i="173" s="1"/>
  <c r="V48" i="173" s="1"/>
  <c r="T16" i="173"/>
  <c r="U16" i="173" s="1"/>
  <c r="V16" i="173" s="1"/>
  <c r="T40" i="173"/>
  <c r="U40" i="173" s="1"/>
  <c r="W40" i="173" s="1"/>
  <c r="T37" i="173"/>
  <c r="U37" i="173" s="1"/>
  <c r="V37" i="173" s="1"/>
  <c r="T14" i="173"/>
  <c r="U14" i="173" s="1"/>
  <c r="W14" i="173" s="1"/>
  <c r="T23" i="173"/>
  <c r="U23" i="173" s="1"/>
  <c r="W23" i="173" s="1"/>
  <c r="T39" i="173"/>
  <c r="U39" i="173" s="1"/>
  <c r="W39" i="173" s="1"/>
  <c r="T26" i="173"/>
  <c r="U26" i="173" s="1"/>
  <c r="W26" i="173" s="1"/>
  <c r="U6" i="173"/>
  <c r="M48" i="173"/>
  <c r="O6" i="173"/>
  <c r="O48" i="173" s="1"/>
  <c r="T36" i="173"/>
  <c r="U36" i="173" s="1"/>
  <c r="V36" i="173" s="1"/>
  <c r="T34" i="170"/>
  <c r="U34" i="170" s="1"/>
  <c r="W34" i="170" s="1"/>
  <c r="T37" i="170"/>
  <c r="U37" i="170" s="1"/>
  <c r="W37" i="170" s="1"/>
  <c r="T21" i="170"/>
  <c r="U21" i="170" s="1"/>
  <c r="W21" i="170" s="1"/>
  <c r="T62" i="170"/>
  <c r="U62" i="170" s="1"/>
  <c r="V62" i="170" s="1"/>
  <c r="T65" i="170"/>
  <c r="U65" i="170" s="1"/>
  <c r="W65" i="170" s="1"/>
  <c r="M30" i="170"/>
  <c r="O30" i="170" s="1"/>
  <c r="T61" i="170"/>
  <c r="U61" i="170" s="1"/>
  <c r="W61" i="170" s="1"/>
  <c r="T66" i="170"/>
  <c r="U66" i="170" s="1"/>
  <c r="W66" i="170" s="1"/>
  <c r="V54" i="170"/>
  <c r="W54" i="170" s="1"/>
  <c r="T20" i="170"/>
  <c r="U20" i="170" s="1"/>
  <c r="W20" i="170" s="1"/>
  <c r="T63" i="170"/>
  <c r="U63" i="170" s="1"/>
  <c r="W63" i="170" s="1"/>
  <c r="T60" i="170"/>
  <c r="U60" i="170" s="1"/>
  <c r="W60" i="170" s="1"/>
  <c r="M6" i="170"/>
  <c r="T6" i="170" s="1"/>
  <c r="P70" i="170"/>
  <c r="T39" i="170"/>
  <c r="U39" i="170" s="1"/>
  <c r="W39" i="170" s="1"/>
  <c r="U6" i="168"/>
  <c r="M8" i="168"/>
  <c r="P104" i="168"/>
  <c r="T79" i="168"/>
  <c r="U79" i="168" s="1"/>
  <c r="V79" i="168" s="1"/>
  <c r="T85" i="168"/>
  <c r="U85" i="168" s="1"/>
  <c r="V85" i="168" s="1"/>
  <c r="T11" i="168"/>
  <c r="U11" i="168" s="1"/>
  <c r="V11" i="168" s="1"/>
  <c r="T43" i="168"/>
  <c r="U43" i="168" s="1"/>
  <c r="V43" i="168" s="1"/>
  <c r="T63" i="168"/>
  <c r="U63" i="168" s="1"/>
  <c r="V63" i="168" s="1"/>
  <c r="T9" i="168"/>
  <c r="U9" i="168" s="1"/>
  <c r="V9" i="168" s="1"/>
  <c r="T84" i="168"/>
  <c r="U84" i="168" s="1"/>
  <c r="V84" i="168" s="1"/>
  <c r="T69" i="168"/>
  <c r="U69" i="168" s="1"/>
  <c r="V69" i="168" s="1"/>
  <c r="T46" i="168"/>
  <c r="U46" i="168" s="1"/>
  <c r="V46" i="168" s="1"/>
  <c r="T50" i="168"/>
  <c r="U50" i="168" s="1"/>
  <c r="V50" i="168" s="1"/>
  <c r="T31" i="168"/>
  <c r="U31" i="168" s="1"/>
  <c r="V31" i="168" s="1"/>
  <c r="T93" i="168"/>
  <c r="U93" i="168" s="1"/>
  <c r="V93" i="168" s="1"/>
  <c r="M44" i="168"/>
  <c r="O44" i="168" s="1"/>
  <c r="T44" i="168"/>
  <c r="U44" i="168" s="1"/>
  <c r="V44" i="168" s="1"/>
  <c r="T82" i="168"/>
  <c r="U82" i="168" s="1"/>
  <c r="V82" i="168" s="1"/>
  <c r="T78" i="168"/>
  <c r="U78" i="168" s="1"/>
  <c r="V78" i="168" s="1"/>
  <c r="T92" i="168"/>
  <c r="U92" i="168" s="1"/>
  <c r="V92" i="168" s="1"/>
  <c r="W14" i="127"/>
  <c r="J4" i="44"/>
  <c r="V115" i="174" l="1"/>
  <c r="V8" i="174"/>
  <c r="V93" i="174" s="1"/>
  <c r="U93" i="174"/>
  <c r="M118" i="174"/>
  <c r="Y96" i="174"/>
  <c r="Y115" i="174" s="1"/>
  <c r="Y117" i="174" s="1"/>
  <c r="U115" i="174"/>
  <c r="U48" i="173"/>
  <c r="W6" i="173"/>
  <c r="W48" i="173" s="1"/>
  <c r="T48" i="173"/>
  <c r="U6" i="170"/>
  <c r="T30" i="170"/>
  <c r="U30" i="170" s="1"/>
  <c r="W30" i="170" s="1"/>
  <c r="W70" i="170" s="1"/>
  <c r="M70" i="170"/>
  <c r="O6" i="170"/>
  <c r="O70" i="170" s="1"/>
  <c r="O8" i="168"/>
  <c r="O104" i="168" s="1"/>
  <c r="M104" i="168"/>
  <c r="T8" i="168"/>
  <c r="V6" i="168"/>
  <c r="C6" i="97"/>
  <c r="D6" i="97"/>
  <c r="E6" i="97"/>
  <c r="F6" i="97"/>
  <c r="G6" i="97"/>
  <c r="H6" i="97"/>
  <c r="I6" i="97"/>
  <c r="J6" i="97"/>
  <c r="K6" i="97"/>
  <c r="L6" i="97"/>
  <c r="M6" i="97"/>
  <c r="N6" i="97"/>
  <c r="O6" i="97"/>
  <c r="P6" i="97"/>
  <c r="Q6" i="97"/>
  <c r="R6" i="97"/>
  <c r="S6" i="97"/>
  <c r="T6" i="97"/>
  <c r="U6" i="97"/>
  <c r="V6" i="97"/>
  <c r="W6" i="97"/>
  <c r="X6" i="97"/>
  <c r="V19" i="97"/>
  <c r="W19" i="97"/>
  <c r="X19" i="97"/>
  <c r="E81" i="157"/>
  <c r="G81" i="157"/>
  <c r="H81" i="157"/>
  <c r="I81" i="157"/>
  <c r="J81" i="157"/>
  <c r="K81" i="157"/>
  <c r="L81" i="157"/>
  <c r="M81" i="157"/>
  <c r="N81" i="157"/>
  <c r="P81" i="157"/>
  <c r="Q81" i="157"/>
  <c r="R81" i="157"/>
  <c r="S81" i="157"/>
  <c r="T81" i="157"/>
  <c r="U81" i="157"/>
  <c r="V81" i="157"/>
  <c r="W81" i="157"/>
  <c r="X81" i="157"/>
  <c r="Y81" i="157"/>
  <c r="Z81" i="157"/>
  <c r="E64" i="157"/>
  <c r="F64" i="157"/>
  <c r="G64" i="157"/>
  <c r="H64" i="157"/>
  <c r="I64" i="157"/>
  <c r="J64" i="157"/>
  <c r="K64" i="157"/>
  <c r="L64" i="157"/>
  <c r="M64" i="157"/>
  <c r="N64" i="157"/>
  <c r="O64" i="157"/>
  <c r="P64" i="157"/>
  <c r="Q64" i="157"/>
  <c r="R64" i="157"/>
  <c r="S64" i="157"/>
  <c r="T64" i="157"/>
  <c r="U64" i="157"/>
  <c r="V64" i="157"/>
  <c r="W64" i="157"/>
  <c r="X64" i="157"/>
  <c r="Y64" i="157"/>
  <c r="Z64" i="157"/>
  <c r="E62" i="157"/>
  <c r="F62" i="157"/>
  <c r="G62" i="157"/>
  <c r="H62" i="157"/>
  <c r="I62" i="157"/>
  <c r="J62" i="157"/>
  <c r="K62" i="157"/>
  <c r="L62" i="157"/>
  <c r="M62" i="157"/>
  <c r="N62" i="157"/>
  <c r="O62" i="157"/>
  <c r="P62" i="157"/>
  <c r="Q62" i="157"/>
  <c r="R62" i="157"/>
  <c r="S62" i="157"/>
  <c r="T62" i="157"/>
  <c r="U62" i="157"/>
  <c r="V62" i="157"/>
  <c r="W62" i="157"/>
  <c r="X62" i="157"/>
  <c r="Y62" i="157"/>
  <c r="Z62" i="157"/>
  <c r="D64" i="157"/>
  <c r="D62" i="157"/>
  <c r="AA60" i="167"/>
  <c r="D52" i="167"/>
  <c r="E52" i="167"/>
  <c r="G52" i="167"/>
  <c r="H52" i="167"/>
  <c r="I52" i="167"/>
  <c r="J52" i="167"/>
  <c r="Q52" i="167"/>
  <c r="R52" i="167"/>
  <c r="V52" i="167"/>
  <c r="W52" i="167"/>
  <c r="X52" i="167"/>
  <c r="AA52" i="167"/>
  <c r="D53" i="167"/>
  <c r="E53" i="167"/>
  <c r="G53" i="167"/>
  <c r="H53" i="167"/>
  <c r="I53" i="167"/>
  <c r="J53" i="167"/>
  <c r="N53" i="167"/>
  <c r="Q53" i="167"/>
  <c r="R53" i="167"/>
  <c r="V53" i="167"/>
  <c r="W53" i="167"/>
  <c r="X53" i="167"/>
  <c r="Z53" i="167"/>
  <c r="AA53" i="167"/>
  <c r="D77" i="167"/>
  <c r="E77" i="167"/>
  <c r="H77" i="167"/>
  <c r="I77" i="167"/>
  <c r="J77" i="167"/>
  <c r="N77" i="167"/>
  <c r="Q77" i="167"/>
  <c r="R77" i="167"/>
  <c r="V77" i="167"/>
  <c r="W77" i="167"/>
  <c r="X77" i="167"/>
  <c r="Z77" i="167"/>
  <c r="AA77" i="167"/>
  <c r="D78" i="167"/>
  <c r="E78" i="167"/>
  <c r="G78" i="167"/>
  <c r="H78" i="167"/>
  <c r="I78" i="167"/>
  <c r="J78" i="167"/>
  <c r="N78" i="167"/>
  <c r="Q78" i="167"/>
  <c r="R78" i="167"/>
  <c r="V78" i="167"/>
  <c r="W78" i="167"/>
  <c r="X78" i="167"/>
  <c r="Z78" i="167"/>
  <c r="AA78" i="167"/>
  <c r="D79" i="167"/>
  <c r="E79" i="167"/>
  <c r="G79" i="167"/>
  <c r="H79" i="167"/>
  <c r="I79" i="167"/>
  <c r="J79" i="167"/>
  <c r="N79" i="167"/>
  <c r="Q79" i="167"/>
  <c r="R79" i="167"/>
  <c r="V79" i="167"/>
  <c r="W79" i="167"/>
  <c r="X79" i="167"/>
  <c r="Z79" i="167"/>
  <c r="AA79" i="167"/>
  <c r="D80" i="167"/>
  <c r="E80" i="167"/>
  <c r="G80" i="167"/>
  <c r="I80" i="167"/>
  <c r="J80" i="167"/>
  <c r="N80" i="167"/>
  <c r="Q80" i="167"/>
  <c r="R80" i="167"/>
  <c r="V80" i="167"/>
  <c r="W80" i="167"/>
  <c r="X80" i="167"/>
  <c r="Z80" i="167"/>
  <c r="AA80" i="167"/>
  <c r="D91" i="167"/>
  <c r="E91" i="167"/>
  <c r="G91" i="167"/>
  <c r="H91" i="167"/>
  <c r="I91" i="167"/>
  <c r="J91" i="167"/>
  <c r="N91" i="167"/>
  <c r="Q91" i="167"/>
  <c r="R91" i="167"/>
  <c r="W91" i="167"/>
  <c r="X91" i="167"/>
  <c r="Z91" i="167"/>
  <c r="AA91" i="167"/>
  <c r="D81" i="167"/>
  <c r="E81" i="167"/>
  <c r="G81" i="167"/>
  <c r="H81" i="167"/>
  <c r="I81" i="167"/>
  <c r="J81" i="167"/>
  <c r="N81" i="167"/>
  <c r="Q81" i="167"/>
  <c r="R81" i="167"/>
  <c r="W81" i="167"/>
  <c r="X81" i="167"/>
  <c r="Z81" i="167"/>
  <c r="AA81" i="167"/>
  <c r="D82" i="167"/>
  <c r="E82" i="167"/>
  <c r="G82" i="167"/>
  <c r="H82" i="167"/>
  <c r="I82" i="167"/>
  <c r="J82" i="167"/>
  <c r="N82" i="167"/>
  <c r="Q82" i="167"/>
  <c r="R82" i="167"/>
  <c r="W82" i="167"/>
  <c r="X82" i="167"/>
  <c r="Z82" i="167"/>
  <c r="AA82" i="167"/>
  <c r="D92" i="167"/>
  <c r="E92" i="167"/>
  <c r="G92" i="167"/>
  <c r="H92" i="167"/>
  <c r="I92" i="167"/>
  <c r="J92" i="167"/>
  <c r="N92" i="167"/>
  <c r="Q92" i="167"/>
  <c r="R92" i="167"/>
  <c r="W92" i="167"/>
  <c r="X92" i="167"/>
  <c r="Z92" i="167"/>
  <c r="AA92" i="167"/>
  <c r="D83" i="167"/>
  <c r="E83" i="167"/>
  <c r="G83" i="167"/>
  <c r="H83" i="167"/>
  <c r="I83" i="167"/>
  <c r="J83" i="167"/>
  <c r="N83" i="167"/>
  <c r="Q83" i="167"/>
  <c r="R83" i="167"/>
  <c r="W83" i="167"/>
  <c r="X83" i="167"/>
  <c r="Z83" i="167"/>
  <c r="AA83" i="167"/>
  <c r="D47" i="167"/>
  <c r="E47" i="167"/>
  <c r="G47" i="167"/>
  <c r="H47" i="167"/>
  <c r="I47" i="167"/>
  <c r="J47" i="167"/>
  <c r="Q47" i="167"/>
  <c r="R47" i="167"/>
  <c r="W47" i="167"/>
  <c r="X47" i="167"/>
  <c r="Z47" i="167"/>
  <c r="AA47" i="167"/>
  <c r="D84" i="167"/>
  <c r="E84" i="167"/>
  <c r="G84" i="167"/>
  <c r="I84" i="167"/>
  <c r="N84" i="167"/>
  <c r="Q84" i="167"/>
  <c r="R84" i="167"/>
  <c r="W84" i="167"/>
  <c r="X84" i="167"/>
  <c r="Z84" i="167"/>
  <c r="AA84" i="167"/>
  <c r="E85" i="167"/>
  <c r="G85" i="167"/>
  <c r="H85" i="167"/>
  <c r="I85" i="167"/>
  <c r="J85" i="167"/>
  <c r="N85" i="167"/>
  <c r="Q85" i="167"/>
  <c r="R85" i="167"/>
  <c r="W85" i="167"/>
  <c r="X85" i="167"/>
  <c r="Z85" i="167"/>
  <c r="AA85" i="167"/>
  <c r="D48" i="167"/>
  <c r="E48" i="167"/>
  <c r="G48" i="167"/>
  <c r="H48" i="167"/>
  <c r="I48" i="167"/>
  <c r="J48" i="167"/>
  <c r="N48" i="167"/>
  <c r="Q48" i="167"/>
  <c r="R48" i="167"/>
  <c r="W48" i="167"/>
  <c r="X48" i="167"/>
  <c r="Z48" i="167"/>
  <c r="AA48" i="167"/>
  <c r="D49" i="167"/>
  <c r="E49" i="167"/>
  <c r="G49" i="167"/>
  <c r="H49" i="167"/>
  <c r="I49" i="167"/>
  <c r="J49" i="167"/>
  <c r="N49" i="167"/>
  <c r="Q49" i="167"/>
  <c r="R49" i="167"/>
  <c r="W49" i="167"/>
  <c r="X49" i="167"/>
  <c r="Z49" i="167"/>
  <c r="AA49" i="167"/>
  <c r="D50" i="167"/>
  <c r="E50" i="167"/>
  <c r="G50" i="167"/>
  <c r="H50" i="167"/>
  <c r="I50" i="167"/>
  <c r="J50" i="167"/>
  <c r="N50" i="167"/>
  <c r="R50" i="167"/>
  <c r="W50" i="167"/>
  <c r="X50" i="167"/>
  <c r="Z50" i="167"/>
  <c r="AA50" i="167"/>
  <c r="D86" i="167"/>
  <c r="E86" i="167"/>
  <c r="G86" i="167"/>
  <c r="H86" i="167"/>
  <c r="I86" i="167"/>
  <c r="J86" i="167"/>
  <c r="N86" i="167"/>
  <c r="Q86" i="167"/>
  <c r="R86" i="167"/>
  <c r="W86" i="167"/>
  <c r="X86" i="167"/>
  <c r="Z86" i="167"/>
  <c r="AA86" i="167"/>
  <c r="E46" i="167"/>
  <c r="H46" i="167"/>
  <c r="I46" i="167"/>
  <c r="J46" i="167"/>
  <c r="R46" i="167"/>
  <c r="V46" i="167"/>
  <c r="W46" i="167"/>
  <c r="X46" i="167"/>
  <c r="AA46" i="167"/>
  <c r="D46" i="167"/>
  <c r="D16" i="167"/>
  <c r="E16" i="167"/>
  <c r="G16" i="167"/>
  <c r="H16" i="167"/>
  <c r="I16" i="167"/>
  <c r="J16" i="167"/>
  <c r="N16" i="167"/>
  <c r="Q16" i="167"/>
  <c r="R16" i="167"/>
  <c r="W16" i="167"/>
  <c r="X16" i="167"/>
  <c r="Y16" i="167"/>
  <c r="Z16" i="167"/>
  <c r="D61" i="167"/>
  <c r="D62" i="167" s="1"/>
  <c r="E61" i="167"/>
  <c r="E62" i="167" s="1"/>
  <c r="G61" i="167"/>
  <c r="G62" i="167" s="1"/>
  <c r="H61" i="167"/>
  <c r="H62" i="167" s="1"/>
  <c r="I61" i="167"/>
  <c r="I62" i="167" s="1"/>
  <c r="J61" i="167"/>
  <c r="J62" i="167" s="1"/>
  <c r="N61" i="167"/>
  <c r="N62" i="167" s="1"/>
  <c r="Q61" i="167"/>
  <c r="Q62" i="167" s="1"/>
  <c r="R61" i="167"/>
  <c r="R62" i="167" s="1"/>
  <c r="W61" i="167"/>
  <c r="W62" i="167" s="1"/>
  <c r="X61" i="167"/>
  <c r="X62" i="167" s="1"/>
  <c r="Y61" i="167"/>
  <c r="Y62" i="167" s="1"/>
  <c r="Z61" i="167"/>
  <c r="Z62" i="167" s="1"/>
  <c r="D8" i="167"/>
  <c r="E8" i="167"/>
  <c r="G8" i="167"/>
  <c r="H8" i="167"/>
  <c r="I8" i="167"/>
  <c r="J8" i="167"/>
  <c r="N8" i="167"/>
  <c r="Q8" i="167"/>
  <c r="R8" i="167"/>
  <c r="W8" i="167"/>
  <c r="X8" i="167"/>
  <c r="Y8" i="167"/>
  <c r="Z8" i="167"/>
  <c r="D17" i="167"/>
  <c r="E17" i="167"/>
  <c r="G17" i="167"/>
  <c r="H17" i="167"/>
  <c r="I17" i="167"/>
  <c r="J17" i="167"/>
  <c r="N17" i="167"/>
  <c r="Q17" i="167"/>
  <c r="R17" i="167"/>
  <c r="W17" i="167"/>
  <c r="X17" i="167"/>
  <c r="Y17" i="167"/>
  <c r="Z17" i="167"/>
  <c r="D18" i="167"/>
  <c r="E18" i="167"/>
  <c r="G18" i="167"/>
  <c r="H18" i="167"/>
  <c r="I18" i="167"/>
  <c r="J18" i="167"/>
  <c r="Q18" i="167"/>
  <c r="R18" i="167"/>
  <c r="W18" i="167"/>
  <c r="X18" i="167"/>
  <c r="Y18" i="167"/>
  <c r="Z18" i="167"/>
  <c r="D19" i="167"/>
  <c r="E19" i="167"/>
  <c r="G19" i="167"/>
  <c r="H19" i="167"/>
  <c r="I19" i="167"/>
  <c r="J19" i="167"/>
  <c r="N19" i="167"/>
  <c r="Q19" i="167"/>
  <c r="R19" i="167"/>
  <c r="W19" i="167"/>
  <c r="X19" i="167"/>
  <c r="Y19" i="167"/>
  <c r="Z19" i="167"/>
  <c r="D20" i="167"/>
  <c r="E20" i="167"/>
  <c r="H20" i="167"/>
  <c r="I20" i="167"/>
  <c r="J20" i="167"/>
  <c r="R20" i="167"/>
  <c r="W20" i="167"/>
  <c r="X20" i="167"/>
  <c r="Y20" i="167"/>
  <c r="Z20" i="167"/>
  <c r="E118" i="167"/>
  <c r="G118" i="167"/>
  <c r="H118" i="167"/>
  <c r="I118" i="167"/>
  <c r="J118" i="167"/>
  <c r="N118" i="167"/>
  <c r="Q118" i="167"/>
  <c r="R118" i="167"/>
  <c r="W118" i="167"/>
  <c r="X118" i="167"/>
  <c r="Y118" i="167"/>
  <c r="Z118" i="167"/>
  <c r="E54" i="167"/>
  <c r="G54" i="167"/>
  <c r="H54" i="167"/>
  <c r="I54" i="167"/>
  <c r="J54" i="167"/>
  <c r="Q54" i="167"/>
  <c r="R54" i="167"/>
  <c r="W54" i="167"/>
  <c r="X54" i="167"/>
  <c r="Y54" i="167"/>
  <c r="Z54" i="167"/>
  <c r="D6" i="167"/>
  <c r="D7" i="167" s="1"/>
  <c r="E6" i="167"/>
  <c r="E7" i="167" s="1"/>
  <c r="G6" i="167"/>
  <c r="G7" i="167" s="1"/>
  <c r="H6" i="167"/>
  <c r="H7" i="167" s="1"/>
  <c r="I6" i="167"/>
  <c r="I7" i="167" s="1"/>
  <c r="J6" i="167"/>
  <c r="J7" i="167" s="1"/>
  <c r="N6" i="167"/>
  <c r="N7" i="167" s="1"/>
  <c r="Q6" i="167"/>
  <c r="Q7" i="167" s="1"/>
  <c r="R6" i="167"/>
  <c r="R7" i="167" s="1"/>
  <c r="W6" i="167"/>
  <c r="W7" i="167" s="1"/>
  <c r="X6" i="167"/>
  <c r="X7" i="167" s="1"/>
  <c r="Y6" i="167"/>
  <c r="Y7" i="167" s="1"/>
  <c r="Z6" i="167"/>
  <c r="Z7" i="167" s="1"/>
  <c r="D96" i="167"/>
  <c r="E96" i="167"/>
  <c r="G96" i="167"/>
  <c r="H96" i="167"/>
  <c r="I96" i="167"/>
  <c r="J96" i="167"/>
  <c r="N96" i="167"/>
  <c r="Q96" i="167"/>
  <c r="R96" i="167"/>
  <c r="W96" i="167"/>
  <c r="X96" i="167"/>
  <c r="Y96" i="167"/>
  <c r="Z96" i="167"/>
  <c r="D59" i="167"/>
  <c r="D60" i="167" s="1"/>
  <c r="E59" i="167"/>
  <c r="E60" i="167" s="1"/>
  <c r="G59" i="167"/>
  <c r="G60" i="167" s="1"/>
  <c r="H59" i="167"/>
  <c r="H60" i="167" s="1"/>
  <c r="I59" i="167"/>
  <c r="I60" i="167" s="1"/>
  <c r="J59" i="167"/>
  <c r="J60" i="167" s="1"/>
  <c r="N59" i="167"/>
  <c r="N60" i="167" s="1"/>
  <c r="Q59" i="167"/>
  <c r="Q60" i="167" s="1"/>
  <c r="R59" i="167"/>
  <c r="R60" i="167" s="1"/>
  <c r="W59" i="167"/>
  <c r="W60" i="167" s="1"/>
  <c r="X59" i="167"/>
  <c r="X60" i="167" s="1"/>
  <c r="Y59" i="167"/>
  <c r="Y60" i="167" s="1"/>
  <c r="Z59" i="167"/>
  <c r="Z60" i="167" s="1"/>
  <c r="D21" i="167"/>
  <c r="E21" i="167"/>
  <c r="G21" i="167"/>
  <c r="H21" i="167"/>
  <c r="I21" i="167"/>
  <c r="J21" i="167"/>
  <c r="N21" i="167"/>
  <c r="Q21" i="167"/>
  <c r="R21" i="167"/>
  <c r="W21" i="167"/>
  <c r="X21" i="167"/>
  <c r="Y21" i="167"/>
  <c r="Z21" i="167"/>
  <c r="D22" i="167"/>
  <c r="E22" i="167"/>
  <c r="G22" i="167"/>
  <c r="H22" i="167"/>
  <c r="I22" i="167"/>
  <c r="J22" i="167"/>
  <c r="N22" i="167"/>
  <c r="Q22" i="167"/>
  <c r="R22" i="167"/>
  <c r="W22" i="167"/>
  <c r="X22" i="167"/>
  <c r="Y22" i="167"/>
  <c r="Z22" i="167"/>
  <c r="D23" i="167"/>
  <c r="E23" i="167"/>
  <c r="G23" i="167"/>
  <c r="H23" i="167"/>
  <c r="I23" i="167"/>
  <c r="J23" i="167"/>
  <c r="N23" i="167"/>
  <c r="Q23" i="167"/>
  <c r="R23" i="167"/>
  <c r="W23" i="167"/>
  <c r="X23" i="167"/>
  <c r="Y23" i="167"/>
  <c r="Z23" i="167"/>
  <c r="D24" i="167"/>
  <c r="E24" i="167"/>
  <c r="G24" i="167"/>
  <c r="H24" i="167"/>
  <c r="I24" i="167"/>
  <c r="J24" i="167"/>
  <c r="N24" i="167"/>
  <c r="Q24" i="167"/>
  <c r="R24" i="167"/>
  <c r="W24" i="167"/>
  <c r="X24" i="167"/>
  <c r="Y24" i="167"/>
  <c r="Z24" i="167"/>
  <c r="D25" i="167"/>
  <c r="E25" i="167"/>
  <c r="H25" i="167"/>
  <c r="I25" i="167"/>
  <c r="J25" i="167"/>
  <c r="Q25" i="167"/>
  <c r="W25" i="167"/>
  <c r="X25" i="167"/>
  <c r="Y25" i="167"/>
  <c r="Z25" i="167"/>
  <c r="D26" i="167"/>
  <c r="E26" i="167"/>
  <c r="G26" i="167"/>
  <c r="H26" i="167"/>
  <c r="I26" i="167"/>
  <c r="J26" i="167"/>
  <c r="N26" i="167"/>
  <c r="Q26" i="167"/>
  <c r="R26" i="167"/>
  <c r="W26" i="167"/>
  <c r="X26" i="167"/>
  <c r="Y26" i="167"/>
  <c r="Z26" i="167"/>
  <c r="D27" i="167"/>
  <c r="E27" i="167"/>
  <c r="G27" i="167"/>
  <c r="H27" i="167"/>
  <c r="I27" i="167"/>
  <c r="J27" i="167"/>
  <c r="N27" i="167"/>
  <c r="Q27" i="167"/>
  <c r="R27" i="167"/>
  <c r="W27" i="167"/>
  <c r="X27" i="167"/>
  <c r="Y27" i="167"/>
  <c r="Z27" i="167"/>
  <c r="D99" i="167"/>
  <c r="E99" i="167"/>
  <c r="G99" i="167"/>
  <c r="H99" i="167"/>
  <c r="I99" i="167"/>
  <c r="J99" i="167"/>
  <c r="N99" i="167"/>
  <c r="Q99" i="167"/>
  <c r="R99" i="167"/>
  <c r="W99" i="167"/>
  <c r="X99" i="167"/>
  <c r="Y99" i="167"/>
  <c r="Z99" i="167"/>
  <c r="E28" i="167"/>
  <c r="G28" i="167"/>
  <c r="H28" i="167"/>
  <c r="I28" i="167"/>
  <c r="J28" i="167"/>
  <c r="N28" i="167"/>
  <c r="Q28" i="167"/>
  <c r="R28" i="167"/>
  <c r="W28" i="167"/>
  <c r="X28" i="167"/>
  <c r="Y28" i="167"/>
  <c r="Z28" i="167"/>
  <c r="D29" i="167"/>
  <c r="E29" i="167"/>
  <c r="G29" i="167"/>
  <c r="H29" i="167"/>
  <c r="I29" i="167"/>
  <c r="J29" i="167"/>
  <c r="N29" i="167"/>
  <c r="Q29" i="167"/>
  <c r="R29" i="167"/>
  <c r="W29" i="167"/>
  <c r="X29" i="167"/>
  <c r="Y29" i="167"/>
  <c r="Z29" i="167"/>
  <c r="E30" i="167"/>
  <c r="G30" i="167"/>
  <c r="H30" i="167"/>
  <c r="I30" i="167"/>
  <c r="J30" i="167"/>
  <c r="N30" i="167"/>
  <c r="Q30" i="167"/>
  <c r="R30" i="167"/>
  <c r="W30" i="167"/>
  <c r="X30" i="167"/>
  <c r="Y30" i="167"/>
  <c r="Z30" i="167"/>
  <c r="D9" i="167"/>
  <c r="E9" i="167"/>
  <c r="G9" i="167"/>
  <c r="H9" i="167"/>
  <c r="I9" i="167"/>
  <c r="J9" i="167"/>
  <c r="N9" i="167"/>
  <c r="Q9" i="167"/>
  <c r="R9" i="167"/>
  <c r="W9" i="167"/>
  <c r="X9" i="167"/>
  <c r="Y9" i="167"/>
  <c r="D55" i="167"/>
  <c r="E55" i="167"/>
  <c r="G55" i="167"/>
  <c r="H55" i="167"/>
  <c r="I55" i="167"/>
  <c r="J55" i="167"/>
  <c r="N55" i="167"/>
  <c r="Q55" i="167"/>
  <c r="R55" i="167"/>
  <c r="W55" i="167"/>
  <c r="X55" i="167"/>
  <c r="Y55" i="167"/>
  <c r="Z55" i="167"/>
  <c r="D63" i="167"/>
  <c r="E63" i="167"/>
  <c r="G63" i="167"/>
  <c r="H63" i="167"/>
  <c r="I63" i="167"/>
  <c r="J63" i="167"/>
  <c r="N63" i="167"/>
  <c r="Q63" i="167"/>
  <c r="R63" i="167"/>
  <c r="W63" i="167"/>
  <c r="X63" i="167"/>
  <c r="Y63" i="167"/>
  <c r="Z63" i="167"/>
  <c r="D31" i="167"/>
  <c r="E31" i="167"/>
  <c r="G31" i="167"/>
  <c r="H31" i="167"/>
  <c r="I31" i="167"/>
  <c r="J31" i="167"/>
  <c r="N31" i="167"/>
  <c r="Q31" i="167"/>
  <c r="R31" i="167"/>
  <c r="W31" i="167"/>
  <c r="X31" i="167"/>
  <c r="Y31" i="167"/>
  <c r="Z31" i="167"/>
  <c r="D32" i="167"/>
  <c r="E32" i="167"/>
  <c r="G32" i="167"/>
  <c r="H32" i="167"/>
  <c r="I32" i="167"/>
  <c r="J32" i="167"/>
  <c r="N32" i="167"/>
  <c r="Q32" i="167"/>
  <c r="R32" i="167"/>
  <c r="W32" i="167"/>
  <c r="X32" i="167"/>
  <c r="Y32" i="167"/>
  <c r="Z32" i="167"/>
  <c r="D100" i="167"/>
  <c r="E100" i="167"/>
  <c r="G100" i="167"/>
  <c r="H100" i="167"/>
  <c r="I100" i="167"/>
  <c r="J100" i="167"/>
  <c r="N100" i="167"/>
  <c r="Q100" i="167"/>
  <c r="R100" i="167"/>
  <c r="W100" i="167"/>
  <c r="X100" i="167"/>
  <c r="Y100" i="167"/>
  <c r="Z100" i="167"/>
  <c r="D10" i="167"/>
  <c r="E10" i="167"/>
  <c r="G10" i="167"/>
  <c r="H10" i="167"/>
  <c r="I10" i="167"/>
  <c r="J10" i="167"/>
  <c r="N10" i="167"/>
  <c r="Q10" i="167"/>
  <c r="R10" i="167"/>
  <c r="W10" i="167"/>
  <c r="X10" i="167"/>
  <c r="Y10" i="167"/>
  <c r="Z10" i="167"/>
  <c r="D33" i="167"/>
  <c r="E33" i="167"/>
  <c r="G33" i="167"/>
  <c r="H33" i="167"/>
  <c r="I33" i="167"/>
  <c r="J33" i="167"/>
  <c r="N33" i="167"/>
  <c r="Q33" i="167"/>
  <c r="R33" i="167"/>
  <c r="W33" i="167"/>
  <c r="X33" i="167"/>
  <c r="Y33" i="167"/>
  <c r="Z33" i="167"/>
  <c r="D34" i="167"/>
  <c r="E34" i="167"/>
  <c r="G34" i="167"/>
  <c r="H34" i="167"/>
  <c r="I34" i="167"/>
  <c r="J34" i="167"/>
  <c r="N34" i="167"/>
  <c r="Q34" i="167"/>
  <c r="R34" i="167"/>
  <c r="W34" i="167"/>
  <c r="X34" i="167"/>
  <c r="Y34" i="167"/>
  <c r="Z34" i="167"/>
  <c r="D35" i="167"/>
  <c r="E35" i="167"/>
  <c r="G35" i="167"/>
  <c r="H35" i="167"/>
  <c r="I35" i="167"/>
  <c r="J35" i="167"/>
  <c r="Q35" i="167"/>
  <c r="R35" i="167"/>
  <c r="W35" i="167"/>
  <c r="X35" i="167"/>
  <c r="Y35" i="167"/>
  <c r="Z35" i="167"/>
  <c r="E64" i="167"/>
  <c r="G64" i="167"/>
  <c r="H64" i="167"/>
  <c r="I64" i="167"/>
  <c r="J64" i="167"/>
  <c r="Q64" i="167"/>
  <c r="R64" i="167"/>
  <c r="W64" i="167"/>
  <c r="X64" i="167"/>
  <c r="Y64" i="167"/>
  <c r="Z64" i="167"/>
  <c r="E101" i="167"/>
  <c r="H101" i="167"/>
  <c r="I101" i="167"/>
  <c r="J101" i="167"/>
  <c r="Q101" i="167"/>
  <c r="R101" i="167"/>
  <c r="W101" i="167"/>
  <c r="X101" i="167"/>
  <c r="Y101" i="167"/>
  <c r="Z101" i="167"/>
  <c r="D93" i="167"/>
  <c r="E93" i="167"/>
  <c r="G93" i="167"/>
  <c r="H93" i="167"/>
  <c r="I93" i="167"/>
  <c r="J93" i="167"/>
  <c r="Q93" i="167"/>
  <c r="R93" i="167"/>
  <c r="W93" i="167"/>
  <c r="X93" i="167"/>
  <c r="Y93" i="167"/>
  <c r="Z93" i="167"/>
  <c r="D94" i="167"/>
  <c r="E94" i="167"/>
  <c r="G94" i="167"/>
  <c r="H94" i="167"/>
  <c r="I94" i="167"/>
  <c r="J94" i="167"/>
  <c r="N94" i="167"/>
  <c r="Q94" i="167"/>
  <c r="R94" i="167"/>
  <c r="W94" i="167"/>
  <c r="X94" i="167"/>
  <c r="Y94" i="167"/>
  <c r="Z94" i="167"/>
  <c r="D119" i="167"/>
  <c r="E119" i="167"/>
  <c r="G119" i="167"/>
  <c r="H119" i="167"/>
  <c r="I119" i="167"/>
  <c r="J119" i="167"/>
  <c r="N119" i="167"/>
  <c r="Q119" i="167"/>
  <c r="R119" i="167"/>
  <c r="W119" i="167"/>
  <c r="X119" i="167"/>
  <c r="Y119" i="167"/>
  <c r="Z119" i="167"/>
  <c r="D114" i="167"/>
  <c r="E114" i="167"/>
  <c r="G114" i="167"/>
  <c r="H114" i="167"/>
  <c r="I114" i="167"/>
  <c r="J114" i="167"/>
  <c r="N114" i="167"/>
  <c r="Q114" i="167"/>
  <c r="R114" i="167"/>
  <c r="W114" i="167"/>
  <c r="X114" i="167"/>
  <c r="Y114" i="167"/>
  <c r="Z114" i="167"/>
  <c r="D36" i="167"/>
  <c r="E36" i="167"/>
  <c r="G36" i="167"/>
  <c r="H36" i="167"/>
  <c r="I36" i="167"/>
  <c r="J36" i="167"/>
  <c r="N36" i="167"/>
  <c r="Q36" i="167"/>
  <c r="R36" i="167"/>
  <c r="W36" i="167"/>
  <c r="X36" i="167"/>
  <c r="Y36" i="167"/>
  <c r="Z36" i="167"/>
  <c r="E11" i="167"/>
  <c r="G11" i="167"/>
  <c r="H11" i="167"/>
  <c r="I11" i="167"/>
  <c r="J11" i="167"/>
  <c r="N11" i="167"/>
  <c r="Q11" i="167"/>
  <c r="R11" i="167"/>
  <c r="W11" i="167"/>
  <c r="X11" i="167"/>
  <c r="Y11" i="167"/>
  <c r="Z11" i="167"/>
  <c r="D65" i="167"/>
  <c r="E65" i="167"/>
  <c r="G65" i="167"/>
  <c r="H65" i="167"/>
  <c r="I65" i="167"/>
  <c r="J65" i="167"/>
  <c r="N65" i="167"/>
  <c r="Q65" i="167"/>
  <c r="R65" i="167"/>
  <c r="W65" i="167"/>
  <c r="X65" i="167"/>
  <c r="Y65" i="167"/>
  <c r="Z65" i="167"/>
  <c r="D66" i="167"/>
  <c r="E66" i="167"/>
  <c r="G66" i="167"/>
  <c r="H66" i="167"/>
  <c r="I66" i="167"/>
  <c r="J66" i="167"/>
  <c r="N66" i="167"/>
  <c r="Q66" i="167"/>
  <c r="R66" i="167"/>
  <c r="W66" i="167"/>
  <c r="X66" i="167"/>
  <c r="Y66" i="167"/>
  <c r="Z66" i="167"/>
  <c r="D37" i="167"/>
  <c r="E37" i="167"/>
  <c r="G37" i="167"/>
  <c r="H37" i="167"/>
  <c r="I37" i="167"/>
  <c r="J37" i="167"/>
  <c r="N37" i="167"/>
  <c r="Q37" i="167"/>
  <c r="R37" i="167"/>
  <c r="W37" i="167"/>
  <c r="X37" i="167"/>
  <c r="Y37" i="167"/>
  <c r="Z37" i="167"/>
  <c r="D67" i="167"/>
  <c r="E67" i="167"/>
  <c r="G67" i="167"/>
  <c r="H67" i="167"/>
  <c r="I67" i="167"/>
  <c r="J67" i="167"/>
  <c r="N67" i="167"/>
  <c r="Q67" i="167"/>
  <c r="R67" i="167"/>
  <c r="W67" i="167"/>
  <c r="X67" i="167"/>
  <c r="Y67" i="167"/>
  <c r="Z67" i="167"/>
  <c r="D102" i="167"/>
  <c r="E102" i="167"/>
  <c r="G102" i="167"/>
  <c r="H102" i="167"/>
  <c r="I102" i="167"/>
  <c r="J102" i="167"/>
  <c r="N102" i="167"/>
  <c r="Q102" i="167"/>
  <c r="R102" i="167"/>
  <c r="W102" i="167"/>
  <c r="X102" i="167"/>
  <c r="Y102" i="167"/>
  <c r="Z102" i="167"/>
  <c r="D120" i="167"/>
  <c r="E120" i="167"/>
  <c r="G120" i="167"/>
  <c r="H120" i="167"/>
  <c r="I120" i="167"/>
  <c r="J120" i="167"/>
  <c r="N120" i="167"/>
  <c r="Q120" i="167"/>
  <c r="R120" i="167"/>
  <c r="W120" i="167"/>
  <c r="X120" i="167"/>
  <c r="Y120" i="167"/>
  <c r="Z120" i="167"/>
  <c r="D38" i="167"/>
  <c r="E38" i="167"/>
  <c r="G38" i="167"/>
  <c r="H38" i="167"/>
  <c r="I38" i="167"/>
  <c r="J38" i="167"/>
  <c r="N38" i="167"/>
  <c r="Q38" i="167"/>
  <c r="R38" i="167"/>
  <c r="W38" i="167"/>
  <c r="X38" i="167"/>
  <c r="Y38" i="167"/>
  <c r="D103" i="167"/>
  <c r="E103" i="167"/>
  <c r="G103" i="167"/>
  <c r="H103" i="167"/>
  <c r="I103" i="167"/>
  <c r="J103" i="167"/>
  <c r="Q103" i="167"/>
  <c r="R103" i="167"/>
  <c r="W103" i="167"/>
  <c r="X103" i="167"/>
  <c r="Y103" i="167"/>
  <c r="Z103" i="167"/>
  <c r="D12" i="167"/>
  <c r="E12" i="167"/>
  <c r="G12" i="167"/>
  <c r="H12" i="167"/>
  <c r="I12" i="167"/>
  <c r="J12" i="167"/>
  <c r="N12" i="167"/>
  <c r="Q12" i="167"/>
  <c r="R12" i="167"/>
  <c r="W12" i="167"/>
  <c r="X12" i="167"/>
  <c r="Y12" i="167"/>
  <c r="Z12" i="167"/>
  <c r="D13" i="167"/>
  <c r="E13" i="167"/>
  <c r="G13" i="167"/>
  <c r="H13" i="167"/>
  <c r="I13" i="167"/>
  <c r="J13" i="167"/>
  <c r="N13" i="167"/>
  <c r="Q13" i="167"/>
  <c r="R13" i="167"/>
  <c r="W13" i="167"/>
  <c r="X13" i="167"/>
  <c r="Y13" i="167"/>
  <c r="Z13" i="167"/>
  <c r="D39" i="167"/>
  <c r="E39" i="167"/>
  <c r="G39" i="167"/>
  <c r="H39" i="167"/>
  <c r="I39" i="167"/>
  <c r="J39" i="167"/>
  <c r="N39" i="167"/>
  <c r="Q39" i="167"/>
  <c r="R39" i="167"/>
  <c r="W39" i="167"/>
  <c r="X39" i="167"/>
  <c r="Y39" i="167"/>
  <c r="Z39" i="167"/>
  <c r="D40" i="167"/>
  <c r="E40" i="167"/>
  <c r="G40" i="167"/>
  <c r="H40" i="167"/>
  <c r="I40" i="167"/>
  <c r="J40" i="167"/>
  <c r="N40" i="167"/>
  <c r="Q40" i="167"/>
  <c r="R40" i="167"/>
  <c r="W40" i="167"/>
  <c r="X40" i="167"/>
  <c r="Y40" i="167"/>
  <c r="Z40" i="167"/>
  <c r="D41" i="167"/>
  <c r="E41" i="167"/>
  <c r="G41" i="167"/>
  <c r="H41" i="167"/>
  <c r="I41" i="167"/>
  <c r="J41" i="167"/>
  <c r="N41" i="167"/>
  <c r="Q41" i="167"/>
  <c r="R41" i="167"/>
  <c r="W41" i="167"/>
  <c r="X41" i="167"/>
  <c r="Y41" i="167"/>
  <c r="Z41" i="167"/>
  <c r="D68" i="167"/>
  <c r="E68" i="167"/>
  <c r="H68" i="167"/>
  <c r="I68" i="167"/>
  <c r="J68" i="167"/>
  <c r="N68" i="167"/>
  <c r="R68" i="167"/>
  <c r="W68" i="167"/>
  <c r="X68" i="167"/>
  <c r="Y68" i="167"/>
  <c r="Z68" i="167"/>
  <c r="D51" i="167"/>
  <c r="E51" i="167"/>
  <c r="G51" i="167"/>
  <c r="H51" i="167"/>
  <c r="I51" i="167"/>
  <c r="J51" i="167"/>
  <c r="N51" i="167"/>
  <c r="Q51" i="167"/>
  <c r="R51" i="167"/>
  <c r="W51" i="167"/>
  <c r="X51" i="167"/>
  <c r="Y51" i="167"/>
  <c r="Z51" i="167"/>
  <c r="D90" i="167"/>
  <c r="E90" i="167"/>
  <c r="G90" i="167"/>
  <c r="H90" i="167"/>
  <c r="I90" i="167"/>
  <c r="J90" i="167"/>
  <c r="N90" i="167"/>
  <c r="Q90" i="167"/>
  <c r="R90" i="167"/>
  <c r="W90" i="167"/>
  <c r="X90" i="167"/>
  <c r="Y90" i="167"/>
  <c r="Z90" i="167"/>
  <c r="E42" i="167"/>
  <c r="G42" i="167"/>
  <c r="H42" i="167"/>
  <c r="I42" i="167"/>
  <c r="J42" i="167"/>
  <c r="N42" i="167"/>
  <c r="Q42" i="167"/>
  <c r="R42" i="167"/>
  <c r="W42" i="167"/>
  <c r="X42" i="167"/>
  <c r="Y42" i="167"/>
  <c r="Z42" i="167"/>
  <c r="D43" i="167"/>
  <c r="E43" i="167"/>
  <c r="G43" i="167"/>
  <c r="H43" i="167"/>
  <c r="I43" i="167"/>
  <c r="J43" i="167"/>
  <c r="N43" i="167"/>
  <c r="Q43" i="167"/>
  <c r="R43" i="167"/>
  <c r="W43" i="167"/>
  <c r="X43" i="167"/>
  <c r="Y43" i="167"/>
  <c r="Z43" i="167"/>
  <c r="D69" i="167"/>
  <c r="E69" i="167"/>
  <c r="G69" i="167"/>
  <c r="H69" i="167"/>
  <c r="I69" i="167"/>
  <c r="J69" i="167"/>
  <c r="N69" i="167"/>
  <c r="Q69" i="167"/>
  <c r="R69" i="167"/>
  <c r="W69" i="167"/>
  <c r="X69" i="167"/>
  <c r="Y69" i="167"/>
  <c r="Z69" i="167"/>
  <c r="D70" i="167"/>
  <c r="E70" i="167"/>
  <c r="G70" i="167"/>
  <c r="H70" i="167"/>
  <c r="I70" i="167"/>
  <c r="J70" i="167"/>
  <c r="N70" i="167"/>
  <c r="Q70" i="167"/>
  <c r="R70" i="167"/>
  <c r="W70" i="167"/>
  <c r="X70" i="167"/>
  <c r="Y70" i="167"/>
  <c r="Z70" i="167"/>
  <c r="D95" i="167"/>
  <c r="E95" i="167"/>
  <c r="G95" i="167"/>
  <c r="H95" i="167"/>
  <c r="I95" i="167"/>
  <c r="J95" i="167"/>
  <c r="N95" i="167"/>
  <c r="Q95" i="167"/>
  <c r="R95" i="167"/>
  <c r="W95" i="167"/>
  <c r="X95" i="167"/>
  <c r="Y95" i="167"/>
  <c r="Z95" i="167"/>
  <c r="D44" i="167"/>
  <c r="E44" i="167"/>
  <c r="H44" i="167"/>
  <c r="I44" i="167"/>
  <c r="J44" i="167"/>
  <c r="R44" i="167"/>
  <c r="W44" i="167"/>
  <c r="X44" i="167"/>
  <c r="Y44" i="167"/>
  <c r="Z44" i="167"/>
  <c r="D45" i="167"/>
  <c r="E45" i="167"/>
  <c r="G45" i="167"/>
  <c r="H45" i="167"/>
  <c r="I45" i="167"/>
  <c r="J45" i="167"/>
  <c r="N45" i="167"/>
  <c r="Q45" i="167"/>
  <c r="R45" i="167"/>
  <c r="W45" i="167"/>
  <c r="X45" i="167"/>
  <c r="Y45" i="167"/>
  <c r="Z45" i="167"/>
  <c r="D115" i="167"/>
  <c r="E115" i="167"/>
  <c r="G115" i="167"/>
  <c r="H115" i="167"/>
  <c r="I115" i="167"/>
  <c r="J115" i="167"/>
  <c r="Q115" i="167"/>
  <c r="R115" i="167"/>
  <c r="W115" i="167"/>
  <c r="X115" i="167"/>
  <c r="Y115" i="167"/>
  <c r="Z115" i="167"/>
  <c r="D104" i="167"/>
  <c r="E104" i="167"/>
  <c r="G104" i="167"/>
  <c r="H104" i="167"/>
  <c r="I104" i="167"/>
  <c r="J104" i="167"/>
  <c r="N104" i="167"/>
  <c r="R104" i="167"/>
  <c r="W104" i="167"/>
  <c r="X104" i="167"/>
  <c r="Y104" i="167"/>
  <c r="Z104" i="167"/>
  <c r="D71" i="167"/>
  <c r="E71" i="167"/>
  <c r="G71" i="167"/>
  <c r="H71" i="167"/>
  <c r="I71" i="167"/>
  <c r="J71" i="167"/>
  <c r="N71" i="167"/>
  <c r="Q71" i="167"/>
  <c r="R71" i="167"/>
  <c r="W71" i="167"/>
  <c r="X71" i="167"/>
  <c r="Y71" i="167"/>
  <c r="Z71" i="167"/>
  <c r="D72" i="167"/>
  <c r="E72" i="167"/>
  <c r="G72" i="167"/>
  <c r="H72" i="167"/>
  <c r="I72" i="167"/>
  <c r="J72" i="167"/>
  <c r="Q72" i="167"/>
  <c r="R72" i="167"/>
  <c r="W72" i="167"/>
  <c r="X72" i="167"/>
  <c r="Y72" i="167"/>
  <c r="Z72" i="167"/>
  <c r="D73" i="167"/>
  <c r="E73" i="167"/>
  <c r="G73" i="167"/>
  <c r="H73" i="167"/>
  <c r="I73" i="167"/>
  <c r="J73" i="167"/>
  <c r="N73" i="167"/>
  <c r="Q73" i="167"/>
  <c r="R73" i="167"/>
  <c r="W73" i="167"/>
  <c r="X73" i="167"/>
  <c r="Y73" i="167"/>
  <c r="Z73" i="167"/>
  <c r="D74" i="167"/>
  <c r="E74" i="167"/>
  <c r="G74" i="167"/>
  <c r="H74" i="167"/>
  <c r="I74" i="167"/>
  <c r="J74" i="167"/>
  <c r="N74" i="167"/>
  <c r="Q74" i="167"/>
  <c r="R74" i="167"/>
  <c r="W74" i="167"/>
  <c r="X74" i="167"/>
  <c r="Y74" i="167"/>
  <c r="Z74" i="167"/>
  <c r="D97" i="167"/>
  <c r="E97" i="167"/>
  <c r="G97" i="167"/>
  <c r="H97" i="167"/>
  <c r="I97" i="167"/>
  <c r="J97" i="167"/>
  <c r="N97" i="167"/>
  <c r="Q97" i="167"/>
  <c r="R97" i="167"/>
  <c r="W97" i="167"/>
  <c r="X97" i="167"/>
  <c r="Y97" i="167"/>
  <c r="Z97" i="167"/>
  <c r="D98" i="167"/>
  <c r="E98" i="167"/>
  <c r="G98" i="167"/>
  <c r="H98" i="167"/>
  <c r="I98" i="167"/>
  <c r="J98" i="167"/>
  <c r="Q98" i="167"/>
  <c r="R98" i="167"/>
  <c r="W98" i="167"/>
  <c r="X98" i="167"/>
  <c r="Y98" i="167"/>
  <c r="Z98" i="167"/>
  <c r="D121" i="167"/>
  <c r="E121" i="167"/>
  <c r="G121" i="167"/>
  <c r="H121" i="167"/>
  <c r="I121" i="167"/>
  <c r="J121" i="167"/>
  <c r="N121" i="167"/>
  <c r="Q121" i="167"/>
  <c r="R121" i="167"/>
  <c r="W121" i="167"/>
  <c r="X121" i="167"/>
  <c r="Y121" i="167"/>
  <c r="Z121" i="167"/>
  <c r="D105" i="167"/>
  <c r="E105" i="167"/>
  <c r="G105" i="167"/>
  <c r="H105" i="167"/>
  <c r="I105" i="167"/>
  <c r="J105" i="167"/>
  <c r="Q105" i="167"/>
  <c r="R105" i="167"/>
  <c r="W105" i="167"/>
  <c r="X105" i="167"/>
  <c r="Y105" i="167"/>
  <c r="Z105" i="167"/>
  <c r="D106" i="167"/>
  <c r="E106" i="167"/>
  <c r="G106" i="167"/>
  <c r="H106" i="167"/>
  <c r="I106" i="167"/>
  <c r="J106" i="167"/>
  <c r="N106" i="167"/>
  <c r="Q106" i="167"/>
  <c r="R106" i="167"/>
  <c r="W106" i="167"/>
  <c r="X106" i="167"/>
  <c r="Y106" i="167"/>
  <c r="Z106" i="167"/>
  <c r="E107" i="167"/>
  <c r="G107" i="167"/>
  <c r="H107" i="167"/>
  <c r="I107" i="167"/>
  <c r="J107" i="167"/>
  <c r="Q107" i="167"/>
  <c r="R107" i="167"/>
  <c r="W107" i="167"/>
  <c r="X107" i="167"/>
  <c r="Y107" i="167"/>
  <c r="Z107" i="167"/>
  <c r="D116" i="167"/>
  <c r="E116" i="167"/>
  <c r="G116" i="167"/>
  <c r="H116" i="167"/>
  <c r="I116" i="167"/>
  <c r="J116" i="167"/>
  <c r="N116" i="167"/>
  <c r="Q116" i="167"/>
  <c r="R116" i="167"/>
  <c r="W116" i="167"/>
  <c r="X116" i="167"/>
  <c r="Y116" i="167"/>
  <c r="Z116" i="167"/>
  <c r="D109" i="167"/>
  <c r="E109" i="167"/>
  <c r="G109" i="167"/>
  <c r="H109" i="167"/>
  <c r="I109" i="167"/>
  <c r="J109" i="167"/>
  <c r="N109" i="167"/>
  <c r="Q109" i="167"/>
  <c r="R109" i="167"/>
  <c r="W109" i="167"/>
  <c r="X109" i="167"/>
  <c r="Y109" i="167"/>
  <c r="Z109" i="167"/>
  <c r="D57" i="167"/>
  <c r="D58" i="167" s="1"/>
  <c r="E57" i="167"/>
  <c r="E58" i="167" s="1"/>
  <c r="G57" i="167"/>
  <c r="G58" i="167" s="1"/>
  <c r="H57" i="167"/>
  <c r="H58" i="167" s="1"/>
  <c r="I57" i="167"/>
  <c r="I58" i="167" s="1"/>
  <c r="J57" i="167"/>
  <c r="J58" i="167" s="1"/>
  <c r="N57" i="167"/>
  <c r="N58" i="167" s="1"/>
  <c r="Q57" i="167"/>
  <c r="Q58" i="167" s="1"/>
  <c r="R57" i="167"/>
  <c r="R58" i="167" s="1"/>
  <c r="W57" i="167"/>
  <c r="W58" i="167" s="1"/>
  <c r="X57" i="167"/>
  <c r="X58" i="167" s="1"/>
  <c r="Y57" i="167"/>
  <c r="Y58" i="167" s="1"/>
  <c r="Z57" i="167"/>
  <c r="Z58" i="167" s="1"/>
  <c r="D75" i="167"/>
  <c r="E75" i="167"/>
  <c r="G75" i="167"/>
  <c r="H75" i="167"/>
  <c r="I75" i="167"/>
  <c r="J75" i="167"/>
  <c r="N75" i="167"/>
  <c r="Q75" i="167"/>
  <c r="R75" i="167"/>
  <c r="W75" i="167"/>
  <c r="X75" i="167"/>
  <c r="Y75" i="167"/>
  <c r="Z75" i="167"/>
  <c r="D76" i="167"/>
  <c r="E76" i="167"/>
  <c r="G76" i="167"/>
  <c r="H76" i="167"/>
  <c r="I76" i="167"/>
  <c r="J76" i="167"/>
  <c r="N76" i="167"/>
  <c r="Q76" i="167"/>
  <c r="R76" i="167"/>
  <c r="W76" i="167"/>
  <c r="X76" i="167"/>
  <c r="Y76" i="167"/>
  <c r="Z76" i="167"/>
  <c r="D88" i="167"/>
  <c r="E88" i="167"/>
  <c r="G88" i="167"/>
  <c r="H88" i="167"/>
  <c r="I88" i="167"/>
  <c r="J88" i="167"/>
  <c r="Q88" i="167"/>
  <c r="R88" i="167"/>
  <c r="W88" i="167"/>
  <c r="X88" i="167"/>
  <c r="Y88" i="167"/>
  <c r="Z88" i="167"/>
  <c r="D110" i="167"/>
  <c r="E110" i="167"/>
  <c r="G110" i="167"/>
  <c r="H110" i="167"/>
  <c r="I110" i="167"/>
  <c r="J110" i="167"/>
  <c r="K110" i="167"/>
  <c r="L110" i="167"/>
  <c r="M110" i="167"/>
  <c r="N110" i="167"/>
  <c r="P110" i="167"/>
  <c r="Q110" i="167"/>
  <c r="R110" i="167"/>
  <c r="S110" i="167"/>
  <c r="T110" i="167"/>
  <c r="W110" i="167"/>
  <c r="X110" i="167"/>
  <c r="Y110" i="167"/>
  <c r="Z110" i="167"/>
  <c r="D89" i="167"/>
  <c r="E89" i="167"/>
  <c r="G89" i="167"/>
  <c r="H89" i="167"/>
  <c r="I89" i="167"/>
  <c r="J89" i="167"/>
  <c r="K89" i="167"/>
  <c r="L89" i="167"/>
  <c r="M89" i="167"/>
  <c r="N89" i="167"/>
  <c r="P89" i="167"/>
  <c r="Q89" i="167"/>
  <c r="R89" i="167"/>
  <c r="S89" i="167"/>
  <c r="T89" i="167"/>
  <c r="W89" i="167"/>
  <c r="X89" i="167"/>
  <c r="Y89" i="167"/>
  <c r="Z89" i="167"/>
  <c r="E112" i="167"/>
  <c r="E113" i="167" s="1"/>
  <c r="G112" i="167"/>
  <c r="G113" i="167" s="1"/>
  <c r="H112" i="167"/>
  <c r="H113" i="167" s="1"/>
  <c r="I112" i="167"/>
  <c r="I113" i="167" s="1"/>
  <c r="J112" i="167"/>
  <c r="J113" i="167" s="1"/>
  <c r="K112" i="167"/>
  <c r="K113" i="167" s="1"/>
  <c r="L112" i="167"/>
  <c r="L113" i="167" s="1"/>
  <c r="M112" i="167"/>
  <c r="M113" i="167" s="1"/>
  <c r="P112" i="167"/>
  <c r="P113" i="167" s="1"/>
  <c r="Q112" i="167"/>
  <c r="Q113" i="167" s="1"/>
  <c r="R112" i="167"/>
  <c r="R113" i="167" s="1"/>
  <c r="S112" i="167"/>
  <c r="S113" i="167" s="1"/>
  <c r="T112" i="167"/>
  <c r="T113" i="167" s="1"/>
  <c r="V112" i="167"/>
  <c r="V113" i="167" s="1"/>
  <c r="X112" i="167"/>
  <c r="X113" i="167" s="1"/>
  <c r="Y112" i="167"/>
  <c r="Y113" i="167" s="1"/>
  <c r="Z112" i="167"/>
  <c r="Z113" i="167" s="1"/>
  <c r="E15" i="167"/>
  <c r="H15" i="167"/>
  <c r="I15" i="167"/>
  <c r="J15" i="167"/>
  <c r="R15" i="167"/>
  <c r="W15" i="167"/>
  <c r="X15" i="167"/>
  <c r="Y15" i="167"/>
  <c r="Z15" i="167"/>
  <c r="U117" i="174" l="1"/>
  <c r="V117" i="174"/>
  <c r="X122" i="167"/>
  <c r="V18" i="97" s="1"/>
  <c r="Q117" i="167"/>
  <c r="O14" i="97" s="1"/>
  <c r="G111" i="167"/>
  <c r="E13" i="97" s="1"/>
  <c r="D111" i="167"/>
  <c r="B13" i="97" s="1"/>
  <c r="Y117" i="167"/>
  <c r="W14" i="97" s="1"/>
  <c r="I117" i="167"/>
  <c r="G14" i="97" s="1"/>
  <c r="E117" i="167"/>
  <c r="C14" i="97" s="1"/>
  <c r="R122" i="167"/>
  <c r="P18" i="97" s="1"/>
  <c r="N122" i="167"/>
  <c r="L18" i="97" s="1"/>
  <c r="J122" i="167"/>
  <c r="H18" i="97" s="1"/>
  <c r="H122" i="167"/>
  <c r="F18" i="97" s="1"/>
  <c r="X117" i="167"/>
  <c r="V14" i="97" s="1"/>
  <c r="H117" i="167"/>
  <c r="F14" i="97" s="1"/>
  <c r="D117" i="167"/>
  <c r="W122" i="167"/>
  <c r="U18" i="97" s="1"/>
  <c r="G122" i="167"/>
  <c r="E18" i="97" s="1"/>
  <c r="Z122" i="167"/>
  <c r="X18" i="97" s="1"/>
  <c r="Y122" i="167"/>
  <c r="W18" i="97" s="1"/>
  <c r="Q122" i="167"/>
  <c r="O18" i="97" s="1"/>
  <c r="I122" i="167"/>
  <c r="G18" i="97" s="1"/>
  <c r="E122" i="167"/>
  <c r="C18" i="97" s="1"/>
  <c r="U49" i="173"/>
  <c r="M49" i="173"/>
  <c r="U70" i="170"/>
  <c r="V6" i="170"/>
  <c r="V70" i="170" s="1"/>
  <c r="T70" i="170"/>
  <c r="U8" i="168"/>
  <c r="T104" i="168"/>
  <c r="Z117" i="167"/>
  <c r="R117" i="167"/>
  <c r="P14" i="97" s="1"/>
  <c r="J117" i="167"/>
  <c r="W117" i="167"/>
  <c r="G117" i="167"/>
  <c r="X111" i="167"/>
  <c r="V13" i="97" s="1"/>
  <c r="Z108" i="167"/>
  <c r="R108" i="167"/>
  <c r="J108" i="167"/>
  <c r="Z111" i="167"/>
  <c r="X13" i="97" s="1"/>
  <c r="R111" i="167"/>
  <c r="P13" i="97" s="1"/>
  <c r="N111" i="167"/>
  <c r="L13" i="97" s="1"/>
  <c r="J111" i="167"/>
  <c r="H13" i="97" s="1"/>
  <c r="Y111" i="167"/>
  <c r="Q111" i="167"/>
  <c r="I111" i="167"/>
  <c r="E111" i="167"/>
  <c r="H111" i="167"/>
  <c r="F13" i="97" s="1"/>
  <c r="X108" i="167"/>
  <c r="W111" i="167"/>
  <c r="U13" i="97" s="1"/>
  <c r="W108" i="167"/>
  <c r="I108" i="167"/>
  <c r="E108" i="167"/>
  <c r="H108" i="167"/>
  <c r="X87" i="167"/>
  <c r="Z87" i="167"/>
  <c r="I87" i="167"/>
  <c r="R87" i="167"/>
  <c r="E87" i="167"/>
  <c r="W87" i="167"/>
  <c r="E56" i="167"/>
  <c r="W14" i="167"/>
  <c r="R14" i="167"/>
  <c r="N14" i="167"/>
  <c r="J14" i="167"/>
  <c r="I56" i="167"/>
  <c r="J56" i="167"/>
  <c r="W56" i="167"/>
  <c r="X56" i="167"/>
  <c r="H56" i="167"/>
  <c r="Y14" i="167"/>
  <c r="Q14" i="167"/>
  <c r="I14" i="167"/>
  <c r="E14" i="167"/>
  <c r="G14" i="167"/>
  <c r="X14" i="167"/>
  <c r="H14" i="167"/>
  <c r="AA123" i="167"/>
  <c r="I123" i="167" l="1"/>
  <c r="G13" i="97"/>
  <c r="W13" i="97"/>
  <c r="X123" i="167"/>
  <c r="H14" i="97"/>
  <c r="X14" i="97"/>
  <c r="O13" i="97"/>
  <c r="E123" i="167"/>
  <c r="C13" i="97"/>
  <c r="E14" i="97"/>
  <c r="U14" i="97"/>
  <c r="U71" i="170"/>
  <c r="M71" i="170"/>
  <c r="U105" i="168"/>
  <c r="M105" i="168"/>
  <c r="V8" i="168"/>
  <c r="V104" i="168" s="1"/>
  <c r="U104" i="168"/>
  <c r="V35" i="123"/>
  <c r="W15" i="127"/>
  <c r="V14" i="122"/>
  <c r="V56" i="119" l="1"/>
  <c r="V69" i="119"/>
  <c r="V35" i="119"/>
  <c r="N15" i="127"/>
  <c r="C9" i="38"/>
  <c r="D14" i="38"/>
  <c r="D13" i="38"/>
  <c r="D9" i="38"/>
  <c r="N81" i="117" l="1"/>
  <c r="N105" i="167" s="1"/>
  <c r="N95" i="116"/>
  <c r="N92" i="116"/>
  <c r="N17" i="146"/>
  <c r="N16" i="146"/>
  <c r="N13" i="146"/>
  <c r="N8" i="146"/>
  <c r="N7" i="146"/>
  <c r="N6" i="146"/>
  <c r="Z55" i="117" l="1"/>
  <c r="Z38" i="167" s="1"/>
  <c r="N21" i="126"/>
  <c r="AB96" i="162" l="1"/>
  <c r="AB7" i="162"/>
  <c r="AB54" i="162"/>
  <c r="AB55" i="162"/>
  <c r="AB56" i="162"/>
  <c r="AB8" i="162"/>
  <c r="AB57" i="162"/>
  <c r="AB9" i="162"/>
  <c r="AB58" i="162"/>
  <c r="AB98" i="162"/>
  <c r="AB59" i="162"/>
  <c r="AB60" i="162"/>
  <c r="AB105" i="162"/>
  <c r="AB61" i="162"/>
  <c r="AB62" i="162"/>
  <c r="AB10" i="162"/>
  <c r="AB11" i="162"/>
  <c r="AB12" i="162"/>
  <c r="AB13" i="162"/>
  <c r="AB63" i="162"/>
  <c r="AB14" i="162"/>
  <c r="AB64" i="162"/>
  <c r="AB15" i="162"/>
  <c r="AB103" i="162"/>
  <c r="AB16" i="162"/>
  <c r="AB99" i="162"/>
  <c r="AB17" i="162"/>
  <c r="AB65" i="162"/>
  <c r="AB66" i="162"/>
  <c r="AB67" i="162"/>
  <c r="AB18" i="162"/>
  <c r="AB19" i="162"/>
  <c r="AB20" i="162"/>
  <c r="AB68" i="162"/>
  <c r="AB21" i="162"/>
  <c r="AB22" i="162"/>
  <c r="AB23" i="162"/>
  <c r="AB24" i="162"/>
  <c r="AB69" i="162"/>
  <c r="AB70" i="162"/>
  <c r="AB71" i="162"/>
  <c r="AB72" i="162"/>
  <c r="AB25" i="162"/>
  <c r="AB26" i="162"/>
  <c r="AB27" i="162"/>
  <c r="AB28" i="162"/>
  <c r="AB29" i="162"/>
  <c r="AB30" i="162"/>
  <c r="AB31" i="162"/>
  <c r="AB32" i="162"/>
  <c r="AB33" i="162"/>
  <c r="AB73" i="162"/>
  <c r="AB74" i="162"/>
  <c r="AB34" i="162"/>
  <c r="AB75" i="162"/>
  <c r="AB35" i="162"/>
  <c r="AB36" i="162"/>
  <c r="AB37" i="162"/>
  <c r="AB76" i="162"/>
  <c r="AB38" i="162"/>
  <c r="AB95" i="162"/>
  <c r="AB39" i="162"/>
  <c r="AB40" i="162"/>
  <c r="AB106" i="162"/>
  <c r="AB77" i="162"/>
  <c r="AB78" i="162"/>
  <c r="AB79" i="162"/>
  <c r="AB80" i="162"/>
  <c r="AB81" i="162"/>
  <c r="AB41" i="162"/>
  <c r="AB42" i="162"/>
  <c r="AB82" i="162"/>
  <c r="AB83" i="162"/>
  <c r="AB84" i="162"/>
  <c r="AB85" i="162"/>
  <c r="AB86" i="162"/>
  <c r="AB87" i="162"/>
  <c r="AB100" i="162"/>
  <c r="AB88" i="162"/>
  <c r="AB89" i="162"/>
  <c r="AB90" i="162"/>
  <c r="AB43" i="162"/>
  <c r="AB44" i="162"/>
  <c r="AB45" i="162"/>
  <c r="AB46" i="162"/>
  <c r="AB47" i="162"/>
  <c r="AB48" i="162"/>
  <c r="AB101" i="162"/>
  <c r="AB91" i="162"/>
  <c r="AB49" i="162"/>
  <c r="AB92" i="162"/>
  <c r="AB93" i="162"/>
  <c r="AB94" i="162"/>
  <c r="AB97" i="162"/>
  <c r="AB51" i="162"/>
  <c r="AB52" i="162"/>
  <c r="AB53" i="162"/>
  <c r="AB6" i="162"/>
  <c r="E97" i="162"/>
  <c r="G97" i="162"/>
  <c r="H97" i="162"/>
  <c r="I97" i="162"/>
  <c r="J97" i="162"/>
  <c r="N97" i="162"/>
  <c r="Q97" i="162"/>
  <c r="R97" i="162"/>
  <c r="W97" i="162"/>
  <c r="X97" i="162"/>
  <c r="Y97" i="162"/>
  <c r="Z97" i="162"/>
  <c r="D51" i="162"/>
  <c r="E51" i="162"/>
  <c r="G51" i="162"/>
  <c r="H51" i="162"/>
  <c r="I51" i="162"/>
  <c r="J51" i="162"/>
  <c r="Q51" i="162"/>
  <c r="R51" i="162"/>
  <c r="W51" i="162"/>
  <c r="X51" i="162"/>
  <c r="Y51" i="162"/>
  <c r="Z51" i="162"/>
  <c r="E52" i="162"/>
  <c r="G52" i="162"/>
  <c r="H52" i="162"/>
  <c r="I52" i="162"/>
  <c r="J52" i="162"/>
  <c r="N52" i="162"/>
  <c r="Q52" i="162"/>
  <c r="R52" i="162"/>
  <c r="W52" i="162"/>
  <c r="X52" i="162"/>
  <c r="Y52" i="162"/>
  <c r="Z52" i="162"/>
  <c r="D53" i="162"/>
  <c r="E53" i="162"/>
  <c r="H53" i="162"/>
  <c r="I53" i="162"/>
  <c r="J53" i="162"/>
  <c r="Q53" i="162"/>
  <c r="R53" i="162"/>
  <c r="W53" i="162"/>
  <c r="X53" i="162"/>
  <c r="Y53" i="162"/>
  <c r="Z53" i="162"/>
  <c r="D96" i="162"/>
  <c r="E96" i="162"/>
  <c r="G96" i="162"/>
  <c r="H96" i="162"/>
  <c r="I96" i="162"/>
  <c r="J96" i="162"/>
  <c r="N96" i="162"/>
  <c r="Q96" i="162"/>
  <c r="R96" i="162"/>
  <c r="W96" i="162"/>
  <c r="X96" i="162"/>
  <c r="Y96" i="162"/>
  <c r="Z96" i="162"/>
  <c r="D7" i="162"/>
  <c r="E7" i="162"/>
  <c r="G7" i="162"/>
  <c r="H7" i="162"/>
  <c r="I7" i="162"/>
  <c r="J7" i="162"/>
  <c r="Q7" i="162"/>
  <c r="R7" i="162"/>
  <c r="W7" i="162"/>
  <c r="X7" i="162"/>
  <c r="Y7" i="162"/>
  <c r="E54" i="162"/>
  <c r="G54" i="162"/>
  <c r="H54" i="162"/>
  <c r="I54" i="162"/>
  <c r="J54" i="162"/>
  <c r="N54" i="162"/>
  <c r="Q54" i="162"/>
  <c r="R54" i="162"/>
  <c r="W54" i="162"/>
  <c r="X54" i="162"/>
  <c r="Y54" i="162"/>
  <c r="Z54" i="162"/>
  <c r="D55" i="162"/>
  <c r="E55" i="162"/>
  <c r="G55" i="162"/>
  <c r="H55" i="162"/>
  <c r="I55" i="162"/>
  <c r="J55" i="162"/>
  <c r="N55" i="162"/>
  <c r="Q55" i="162"/>
  <c r="R55" i="162"/>
  <c r="W55" i="162"/>
  <c r="X55" i="162"/>
  <c r="Y55" i="162"/>
  <c r="Z55" i="162"/>
  <c r="D56" i="162"/>
  <c r="E56" i="162"/>
  <c r="G56" i="162"/>
  <c r="H56" i="162"/>
  <c r="I56" i="162"/>
  <c r="J56" i="162"/>
  <c r="Q56" i="162"/>
  <c r="R56" i="162"/>
  <c r="W56" i="162"/>
  <c r="X56" i="162"/>
  <c r="Y56" i="162"/>
  <c r="Z56" i="162"/>
  <c r="D8" i="162"/>
  <c r="E8" i="162"/>
  <c r="G8" i="162"/>
  <c r="H8" i="162"/>
  <c r="I8" i="162"/>
  <c r="J8" i="162"/>
  <c r="N8" i="162"/>
  <c r="Q8" i="162"/>
  <c r="R8" i="162"/>
  <c r="W8" i="162"/>
  <c r="X8" i="162"/>
  <c r="Y8" i="162"/>
  <c r="Z8" i="162"/>
  <c r="D57" i="162"/>
  <c r="E57" i="162"/>
  <c r="G57" i="162"/>
  <c r="H57" i="162"/>
  <c r="I57" i="162"/>
  <c r="J57" i="162"/>
  <c r="N57" i="162"/>
  <c r="Q57" i="162"/>
  <c r="R57" i="162"/>
  <c r="W57" i="162"/>
  <c r="X57" i="162"/>
  <c r="Y57" i="162"/>
  <c r="Z57" i="162"/>
  <c r="D9" i="162"/>
  <c r="E9" i="162"/>
  <c r="G9" i="162"/>
  <c r="H9" i="162"/>
  <c r="I9" i="162"/>
  <c r="J9" i="162"/>
  <c r="Q9" i="162"/>
  <c r="R9" i="162"/>
  <c r="W9" i="162"/>
  <c r="X9" i="162"/>
  <c r="Y9" i="162"/>
  <c r="Z9" i="162"/>
  <c r="E58" i="162"/>
  <c r="G58" i="162"/>
  <c r="H58" i="162"/>
  <c r="I58" i="162"/>
  <c r="J58" i="162"/>
  <c r="Q58" i="162"/>
  <c r="R58" i="162"/>
  <c r="W58" i="162"/>
  <c r="X58" i="162"/>
  <c r="Y58" i="162"/>
  <c r="Z58" i="162"/>
  <c r="D98" i="162"/>
  <c r="E98" i="162"/>
  <c r="G98" i="162"/>
  <c r="H98" i="162"/>
  <c r="I98" i="162"/>
  <c r="J98" i="162"/>
  <c r="Q98" i="162"/>
  <c r="R98" i="162"/>
  <c r="W98" i="162"/>
  <c r="X98" i="162"/>
  <c r="Y98" i="162"/>
  <c r="Z98" i="162"/>
  <c r="D59" i="162"/>
  <c r="E59" i="162"/>
  <c r="H59" i="162"/>
  <c r="I59" i="162"/>
  <c r="J59" i="162"/>
  <c r="Q59" i="162"/>
  <c r="R59" i="162"/>
  <c r="W59" i="162"/>
  <c r="X59" i="162"/>
  <c r="Y59" i="162"/>
  <c r="Z59" i="162"/>
  <c r="D60" i="162"/>
  <c r="E60" i="162"/>
  <c r="G60" i="162"/>
  <c r="H60" i="162"/>
  <c r="I60" i="162"/>
  <c r="J60" i="162"/>
  <c r="N60" i="162"/>
  <c r="Q60" i="162"/>
  <c r="R60" i="162"/>
  <c r="W60" i="162"/>
  <c r="X60" i="162"/>
  <c r="Y60" i="162"/>
  <c r="Z60" i="162"/>
  <c r="D105" i="162"/>
  <c r="D107" i="162" s="1"/>
  <c r="E105" i="162"/>
  <c r="G105" i="162"/>
  <c r="H105" i="162"/>
  <c r="H107" i="162" s="1"/>
  <c r="I105" i="162"/>
  <c r="I107" i="162" s="1"/>
  <c r="J105" i="162"/>
  <c r="Q105" i="162"/>
  <c r="R105" i="162"/>
  <c r="R107" i="162" s="1"/>
  <c r="W105" i="162"/>
  <c r="W107" i="162" s="1"/>
  <c r="X105" i="162"/>
  <c r="Y105" i="162"/>
  <c r="Z105" i="162"/>
  <c r="Z107" i="162" s="1"/>
  <c r="D61" i="162"/>
  <c r="E61" i="162"/>
  <c r="G61" i="162"/>
  <c r="H61" i="162"/>
  <c r="I61" i="162"/>
  <c r="J61" i="162"/>
  <c r="N61" i="162"/>
  <c r="Q61" i="162"/>
  <c r="R61" i="162"/>
  <c r="W61" i="162"/>
  <c r="X61" i="162"/>
  <c r="Y61" i="162"/>
  <c r="Z61" i="162"/>
  <c r="D62" i="162"/>
  <c r="E62" i="162"/>
  <c r="G62" i="162"/>
  <c r="H62" i="162"/>
  <c r="I62" i="162"/>
  <c r="J62" i="162"/>
  <c r="N62" i="162"/>
  <c r="Q62" i="162"/>
  <c r="R62" i="162"/>
  <c r="W62" i="162"/>
  <c r="X62" i="162"/>
  <c r="Y62" i="162"/>
  <c r="Z62" i="162"/>
  <c r="E10" i="162"/>
  <c r="H10" i="162"/>
  <c r="I10" i="162"/>
  <c r="J10" i="162"/>
  <c r="N10" i="162"/>
  <c r="Q10" i="162"/>
  <c r="R10" i="162"/>
  <c r="W10" i="162"/>
  <c r="X10" i="162"/>
  <c r="Y10" i="162"/>
  <c r="Z10" i="162"/>
  <c r="E11" i="162"/>
  <c r="G11" i="162"/>
  <c r="H11" i="162"/>
  <c r="I11" i="162"/>
  <c r="J11" i="162"/>
  <c r="Q11" i="162"/>
  <c r="R11" i="162"/>
  <c r="W11" i="162"/>
  <c r="X11" i="162"/>
  <c r="Y11" i="162"/>
  <c r="Z11" i="162"/>
  <c r="D12" i="162"/>
  <c r="E12" i="162"/>
  <c r="G12" i="162"/>
  <c r="H12" i="162"/>
  <c r="I12" i="162"/>
  <c r="J12" i="162"/>
  <c r="Q12" i="162"/>
  <c r="R12" i="162"/>
  <c r="W12" i="162"/>
  <c r="X12" i="162"/>
  <c r="Y12" i="162"/>
  <c r="Z12" i="162"/>
  <c r="D13" i="162"/>
  <c r="E13" i="162"/>
  <c r="H13" i="162"/>
  <c r="I13" i="162"/>
  <c r="J13" i="162"/>
  <c r="Q13" i="162"/>
  <c r="R13" i="162"/>
  <c r="W13" i="162"/>
  <c r="X13" i="162"/>
  <c r="Y13" i="162"/>
  <c r="Z13" i="162"/>
  <c r="D63" i="162"/>
  <c r="E63" i="162"/>
  <c r="G63" i="162"/>
  <c r="H63" i="162"/>
  <c r="I63" i="162"/>
  <c r="J63" i="162"/>
  <c r="Q63" i="162"/>
  <c r="R63" i="162"/>
  <c r="W63" i="162"/>
  <c r="X63" i="162"/>
  <c r="Y63" i="162"/>
  <c r="Z63" i="162"/>
  <c r="D14" i="162"/>
  <c r="E14" i="162"/>
  <c r="G14" i="162"/>
  <c r="H14" i="162"/>
  <c r="I14" i="162"/>
  <c r="J14" i="162"/>
  <c r="Q14" i="162"/>
  <c r="R14" i="162"/>
  <c r="W14" i="162"/>
  <c r="X14" i="162"/>
  <c r="Y14" i="162"/>
  <c r="Z14" i="162"/>
  <c r="D64" i="162"/>
  <c r="E64" i="162"/>
  <c r="G64" i="162"/>
  <c r="H64" i="162"/>
  <c r="I64" i="162"/>
  <c r="J64" i="162"/>
  <c r="N64" i="162"/>
  <c r="Q64" i="162"/>
  <c r="R64" i="162"/>
  <c r="W64" i="162"/>
  <c r="X64" i="162"/>
  <c r="Y64" i="162"/>
  <c r="Z64" i="162"/>
  <c r="D15" i="162"/>
  <c r="E15" i="162"/>
  <c r="G15" i="162"/>
  <c r="H15" i="162"/>
  <c r="I15" i="162"/>
  <c r="J15" i="162"/>
  <c r="Q15" i="162"/>
  <c r="R15" i="162"/>
  <c r="W15" i="162"/>
  <c r="X15" i="162"/>
  <c r="Y15" i="162"/>
  <c r="Z15" i="162"/>
  <c r="E103" i="162"/>
  <c r="E104" i="162" s="1"/>
  <c r="H103" i="162"/>
  <c r="H104" i="162" s="1"/>
  <c r="I103" i="162"/>
  <c r="I104" i="162" s="1"/>
  <c r="J103" i="162"/>
  <c r="J104" i="162" s="1"/>
  <c r="N103" i="162"/>
  <c r="N104" i="162" s="1"/>
  <c r="Q103" i="162"/>
  <c r="Q104" i="162" s="1"/>
  <c r="R103" i="162"/>
  <c r="R104" i="162" s="1"/>
  <c r="W103" i="162"/>
  <c r="W104" i="162" s="1"/>
  <c r="X103" i="162"/>
  <c r="X104" i="162" s="1"/>
  <c r="Y103" i="162"/>
  <c r="Y104" i="162" s="1"/>
  <c r="Z103" i="162"/>
  <c r="Z104" i="162" s="1"/>
  <c r="E16" i="162"/>
  <c r="G16" i="162"/>
  <c r="H16" i="162"/>
  <c r="I16" i="162"/>
  <c r="J16" i="162"/>
  <c r="Q16" i="162"/>
  <c r="R16" i="162"/>
  <c r="W16" i="162"/>
  <c r="X16" i="162"/>
  <c r="Y16" i="162"/>
  <c r="Z16" i="162"/>
  <c r="D99" i="162"/>
  <c r="E99" i="162"/>
  <c r="G99" i="162"/>
  <c r="H99" i="162"/>
  <c r="I99" i="162"/>
  <c r="J99" i="162"/>
  <c r="Q99" i="162"/>
  <c r="R99" i="162"/>
  <c r="W99" i="162"/>
  <c r="X99" i="162"/>
  <c r="Y99" i="162"/>
  <c r="Z99" i="162"/>
  <c r="D17" i="162"/>
  <c r="E17" i="162"/>
  <c r="G17" i="162"/>
  <c r="H17" i="162"/>
  <c r="I17" i="162"/>
  <c r="J17" i="162"/>
  <c r="N17" i="162"/>
  <c r="Q17" i="162"/>
  <c r="R17" i="162"/>
  <c r="W17" i="162"/>
  <c r="X17" i="162"/>
  <c r="Y17" i="162"/>
  <c r="Z17" i="162"/>
  <c r="D65" i="162"/>
  <c r="E65" i="162"/>
  <c r="G65" i="162"/>
  <c r="H65" i="162"/>
  <c r="I65" i="162"/>
  <c r="J65" i="162"/>
  <c r="Q65" i="162"/>
  <c r="R65" i="162"/>
  <c r="W65" i="162"/>
  <c r="X65" i="162"/>
  <c r="Y65" i="162"/>
  <c r="Z65" i="162"/>
  <c r="D66" i="162"/>
  <c r="E66" i="162"/>
  <c r="G66" i="162"/>
  <c r="H66" i="162"/>
  <c r="I66" i="162"/>
  <c r="J66" i="162"/>
  <c r="N66" i="162"/>
  <c r="Q66" i="162"/>
  <c r="R66" i="162"/>
  <c r="W66" i="162"/>
  <c r="X66" i="162"/>
  <c r="Y66" i="162"/>
  <c r="Z66" i="162"/>
  <c r="E67" i="162"/>
  <c r="G67" i="162"/>
  <c r="H67" i="162"/>
  <c r="I67" i="162"/>
  <c r="J67" i="162"/>
  <c r="N67" i="162"/>
  <c r="Q67" i="162"/>
  <c r="R67" i="162"/>
  <c r="W67" i="162"/>
  <c r="X67" i="162"/>
  <c r="Y67" i="162"/>
  <c r="Z67" i="162"/>
  <c r="E18" i="162"/>
  <c r="G18" i="162"/>
  <c r="H18" i="162"/>
  <c r="I18" i="162"/>
  <c r="J18" i="162"/>
  <c r="Q18" i="162"/>
  <c r="R18" i="162"/>
  <c r="W18" i="162"/>
  <c r="X18" i="162"/>
  <c r="Y18" i="162"/>
  <c r="Z18" i="162"/>
  <c r="D19" i="162"/>
  <c r="E19" i="162"/>
  <c r="G19" i="162"/>
  <c r="H19" i="162"/>
  <c r="I19" i="162"/>
  <c r="J19" i="162"/>
  <c r="Q19" i="162"/>
  <c r="R19" i="162"/>
  <c r="W19" i="162"/>
  <c r="X19" i="162"/>
  <c r="Y19" i="162"/>
  <c r="Z19" i="162"/>
  <c r="D20" i="162"/>
  <c r="E20" i="162"/>
  <c r="G20" i="162"/>
  <c r="H20" i="162"/>
  <c r="I20" i="162"/>
  <c r="J20" i="162"/>
  <c r="Q20" i="162"/>
  <c r="R20" i="162"/>
  <c r="W20" i="162"/>
  <c r="X20" i="162"/>
  <c r="Y20" i="162"/>
  <c r="Z20" i="162"/>
  <c r="D68" i="162"/>
  <c r="E68" i="162"/>
  <c r="G68" i="162"/>
  <c r="H68" i="162"/>
  <c r="I68" i="162"/>
  <c r="Q68" i="162"/>
  <c r="R68" i="162"/>
  <c r="W68" i="162"/>
  <c r="X68" i="162"/>
  <c r="Y68" i="162"/>
  <c r="Z68" i="162"/>
  <c r="D21" i="162"/>
  <c r="E21" i="162"/>
  <c r="G21" i="162"/>
  <c r="H21" i="162"/>
  <c r="I21" i="162"/>
  <c r="J21" i="162"/>
  <c r="N21" i="162"/>
  <c r="Q21" i="162"/>
  <c r="R21" i="162"/>
  <c r="W21" i="162"/>
  <c r="X21" i="162"/>
  <c r="Y21" i="162"/>
  <c r="Z21" i="162"/>
  <c r="D22" i="162"/>
  <c r="E22" i="162"/>
  <c r="G22" i="162"/>
  <c r="H22" i="162"/>
  <c r="I22" i="162"/>
  <c r="J22" i="162"/>
  <c r="Q22" i="162"/>
  <c r="R22" i="162"/>
  <c r="W22" i="162"/>
  <c r="X22" i="162"/>
  <c r="Y22" i="162"/>
  <c r="D23" i="162"/>
  <c r="E23" i="162"/>
  <c r="H23" i="162"/>
  <c r="I23" i="162"/>
  <c r="J23" i="162"/>
  <c r="Q23" i="162"/>
  <c r="R23" i="162"/>
  <c r="W23" i="162"/>
  <c r="X23" i="162"/>
  <c r="Y23" i="162"/>
  <c r="Z23" i="162"/>
  <c r="D24" i="162"/>
  <c r="E24" i="162"/>
  <c r="G24" i="162"/>
  <c r="H24" i="162"/>
  <c r="I24" i="162"/>
  <c r="J24" i="162"/>
  <c r="N24" i="162"/>
  <c r="Q24" i="162"/>
  <c r="R24" i="162"/>
  <c r="W24" i="162"/>
  <c r="X24" i="162"/>
  <c r="Y24" i="162"/>
  <c r="Z24" i="162"/>
  <c r="D69" i="162"/>
  <c r="E69" i="162"/>
  <c r="G69" i="162"/>
  <c r="H69" i="162"/>
  <c r="I69" i="162"/>
  <c r="J69" i="162"/>
  <c r="N69" i="162"/>
  <c r="Q69" i="162"/>
  <c r="R69" i="162"/>
  <c r="W69" i="162"/>
  <c r="X69" i="162"/>
  <c r="Y69" i="162"/>
  <c r="Z69" i="162"/>
  <c r="D70" i="162"/>
  <c r="E70" i="162"/>
  <c r="G70" i="162"/>
  <c r="H70" i="162"/>
  <c r="I70" i="162"/>
  <c r="J70" i="162"/>
  <c r="N70" i="162"/>
  <c r="Q70" i="162"/>
  <c r="R70" i="162"/>
  <c r="W70" i="162"/>
  <c r="X70" i="162"/>
  <c r="Y70" i="162"/>
  <c r="Z70" i="162"/>
  <c r="D71" i="162"/>
  <c r="E71" i="162"/>
  <c r="G71" i="162"/>
  <c r="H71" i="162"/>
  <c r="I71" i="162"/>
  <c r="J71" i="162"/>
  <c r="Q71" i="162"/>
  <c r="R71" i="162"/>
  <c r="W71" i="162"/>
  <c r="X71" i="162"/>
  <c r="Y71" i="162"/>
  <c r="Z71" i="162"/>
  <c r="D72" i="162"/>
  <c r="E72" i="162"/>
  <c r="G72" i="162"/>
  <c r="H72" i="162"/>
  <c r="I72" i="162"/>
  <c r="J72" i="162"/>
  <c r="N72" i="162"/>
  <c r="Q72" i="162"/>
  <c r="R72" i="162"/>
  <c r="W72" i="162"/>
  <c r="X72" i="162"/>
  <c r="Y72" i="162"/>
  <c r="Z72" i="162"/>
  <c r="E25" i="162"/>
  <c r="G25" i="162"/>
  <c r="H25" i="162"/>
  <c r="I25" i="162"/>
  <c r="J25" i="162"/>
  <c r="Q25" i="162"/>
  <c r="R25" i="162"/>
  <c r="W25" i="162"/>
  <c r="X25" i="162"/>
  <c r="Y25" i="162"/>
  <c r="Z25" i="162"/>
  <c r="D26" i="162"/>
  <c r="E26" i="162"/>
  <c r="G26" i="162"/>
  <c r="H26" i="162"/>
  <c r="I26" i="162"/>
  <c r="J26" i="162"/>
  <c r="N26" i="162"/>
  <c r="Q26" i="162"/>
  <c r="R26" i="162"/>
  <c r="W26" i="162"/>
  <c r="X26" i="162"/>
  <c r="Y26" i="162"/>
  <c r="Z26" i="162"/>
  <c r="D27" i="162"/>
  <c r="E27" i="162"/>
  <c r="G27" i="162"/>
  <c r="H27" i="162"/>
  <c r="I27" i="162"/>
  <c r="J27" i="162"/>
  <c r="N27" i="162"/>
  <c r="Q27" i="162"/>
  <c r="R27" i="162"/>
  <c r="W27" i="162"/>
  <c r="X27" i="162"/>
  <c r="Y27" i="162"/>
  <c r="Z27" i="162"/>
  <c r="D28" i="162"/>
  <c r="E28" i="162"/>
  <c r="G28" i="162"/>
  <c r="H28" i="162"/>
  <c r="I28" i="162"/>
  <c r="J28" i="162"/>
  <c r="N28" i="162"/>
  <c r="Q28" i="162"/>
  <c r="R28" i="162"/>
  <c r="W28" i="162"/>
  <c r="X28" i="162"/>
  <c r="Y28" i="162"/>
  <c r="Z28" i="162"/>
  <c r="D29" i="162"/>
  <c r="E29" i="162"/>
  <c r="G29" i="162"/>
  <c r="H29" i="162"/>
  <c r="I29" i="162"/>
  <c r="J29" i="162"/>
  <c r="N29" i="162"/>
  <c r="Q29" i="162"/>
  <c r="R29" i="162"/>
  <c r="W29" i="162"/>
  <c r="X29" i="162"/>
  <c r="Y29" i="162"/>
  <c r="Z29" i="162"/>
  <c r="D30" i="162"/>
  <c r="E30" i="162"/>
  <c r="G30" i="162"/>
  <c r="H30" i="162"/>
  <c r="I30" i="162"/>
  <c r="J30" i="162"/>
  <c r="N30" i="162"/>
  <c r="Q30" i="162"/>
  <c r="R30" i="162"/>
  <c r="W30" i="162"/>
  <c r="X30" i="162"/>
  <c r="Y30" i="162"/>
  <c r="Z30" i="162"/>
  <c r="E31" i="162"/>
  <c r="G31" i="162"/>
  <c r="H31" i="162"/>
  <c r="I31" i="162"/>
  <c r="J31" i="162"/>
  <c r="N31" i="162"/>
  <c r="R31" i="162"/>
  <c r="W31" i="162"/>
  <c r="X31" i="162"/>
  <c r="Y31" i="162"/>
  <c r="Z31" i="162"/>
  <c r="D32" i="162"/>
  <c r="E32" i="162"/>
  <c r="G32" i="162"/>
  <c r="H32" i="162"/>
  <c r="I32" i="162"/>
  <c r="J32" i="162"/>
  <c r="N32" i="162"/>
  <c r="Q32" i="162"/>
  <c r="R32" i="162"/>
  <c r="W32" i="162"/>
  <c r="X32" i="162"/>
  <c r="Y32" i="162"/>
  <c r="Z32" i="162"/>
  <c r="D33" i="162"/>
  <c r="E33" i="162"/>
  <c r="G33" i="162"/>
  <c r="H33" i="162"/>
  <c r="I33" i="162"/>
  <c r="J33" i="162"/>
  <c r="Q33" i="162"/>
  <c r="R33" i="162"/>
  <c r="W33" i="162"/>
  <c r="X33" i="162"/>
  <c r="Y33" i="162"/>
  <c r="Z33" i="162"/>
  <c r="E73" i="162"/>
  <c r="G73" i="162"/>
  <c r="H73" i="162"/>
  <c r="I73" i="162"/>
  <c r="J73" i="162"/>
  <c r="N73" i="162"/>
  <c r="Q73" i="162"/>
  <c r="R73" i="162"/>
  <c r="W73" i="162"/>
  <c r="X73" i="162"/>
  <c r="Y73" i="162"/>
  <c r="Z73" i="162"/>
  <c r="D74" i="162"/>
  <c r="E74" i="162"/>
  <c r="G74" i="162"/>
  <c r="H74" i="162"/>
  <c r="I74" i="162"/>
  <c r="J74" i="162"/>
  <c r="N74" i="162"/>
  <c r="Q74" i="162"/>
  <c r="R74" i="162"/>
  <c r="W74" i="162"/>
  <c r="X74" i="162"/>
  <c r="Y74" i="162"/>
  <c r="Z74" i="162"/>
  <c r="D34" i="162"/>
  <c r="E34" i="162"/>
  <c r="G34" i="162"/>
  <c r="H34" i="162"/>
  <c r="I34" i="162"/>
  <c r="J34" i="162"/>
  <c r="N34" i="162"/>
  <c r="Q34" i="162"/>
  <c r="R34" i="162"/>
  <c r="W34" i="162"/>
  <c r="X34" i="162"/>
  <c r="Y34" i="162"/>
  <c r="Z34" i="162"/>
  <c r="D75" i="162"/>
  <c r="E75" i="162"/>
  <c r="G75" i="162"/>
  <c r="H75" i="162"/>
  <c r="I75" i="162"/>
  <c r="J75" i="162"/>
  <c r="N75" i="162"/>
  <c r="Q75" i="162"/>
  <c r="R75" i="162"/>
  <c r="W75" i="162"/>
  <c r="X75" i="162"/>
  <c r="Y75" i="162"/>
  <c r="Z75" i="162"/>
  <c r="D35" i="162"/>
  <c r="E35" i="162"/>
  <c r="G35" i="162"/>
  <c r="H35" i="162"/>
  <c r="I35" i="162"/>
  <c r="J35" i="162"/>
  <c r="N35" i="162"/>
  <c r="Q35" i="162"/>
  <c r="R35" i="162"/>
  <c r="W35" i="162"/>
  <c r="X35" i="162"/>
  <c r="Y35" i="162"/>
  <c r="Z35" i="162"/>
  <c r="D36" i="162"/>
  <c r="E36" i="162"/>
  <c r="G36" i="162"/>
  <c r="H36" i="162"/>
  <c r="I36" i="162"/>
  <c r="J36" i="162"/>
  <c r="Q36" i="162"/>
  <c r="R36" i="162"/>
  <c r="W36" i="162"/>
  <c r="X36" i="162"/>
  <c r="Y36" i="162"/>
  <c r="Z36" i="162"/>
  <c r="D37" i="162"/>
  <c r="E37" i="162"/>
  <c r="G37" i="162"/>
  <c r="H37" i="162"/>
  <c r="I37" i="162"/>
  <c r="J37" i="162"/>
  <c r="Q37" i="162"/>
  <c r="R37" i="162"/>
  <c r="W37" i="162"/>
  <c r="X37" i="162"/>
  <c r="Y37" i="162"/>
  <c r="Z37" i="162"/>
  <c r="D76" i="162"/>
  <c r="E76" i="162"/>
  <c r="G76" i="162"/>
  <c r="H76" i="162"/>
  <c r="I76" i="162"/>
  <c r="J76" i="162"/>
  <c r="Q76" i="162"/>
  <c r="R76" i="162"/>
  <c r="W76" i="162"/>
  <c r="X76" i="162"/>
  <c r="Y76" i="162"/>
  <c r="Z76" i="162"/>
  <c r="E38" i="162"/>
  <c r="G38" i="162"/>
  <c r="H38" i="162"/>
  <c r="I38" i="162"/>
  <c r="J38" i="162"/>
  <c r="Q38" i="162"/>
  <c r="R38" i="162"/>
  <c r="W38" i="162"/>
  <c r="X38" i="162"/>
  <c r="Y38" i="162"/>
  <c r="Z38" i="162"/>
  <c r="D95" i="162"/>
  <c r="E95" i="162"/>
  <c r="G95" i="162"/>
  <c r="H95" i="162"/>
  <c r="I95" i="162"/>
  <c r="J95" i="162"/>
  <c r="N95" i="162"/>
  <c r="Q95" i="162"/>
  <c r="R95" i="162"/>
  <c r="W95" i="162"/>
  <c r="X95" i="162"/>
  <c r="Y95" i="162"/>
  <c r="Z95" i="162"/>
  <c r="D39" i="162"/>
  <c r="E39" i="162"/>
  <c r="G39" i="162"/>
  <c r="H39" i="162"/>
  <c r="I39" i="162"/>
  <c r="J39" i="162"/>
  <c r="N39" i="162"/>
  <c r="Q39" i="162"/>
  <c r="R39" i="162"/>
  <c r="W39" i="162"/>
  <c r="X39" i="162"/>
  <c r="Y39" i="162"/>
  <c r="Z39" i="162"/>
  <c r="D40" i="162"/>
  <c r="E40" i="162"/>
  <c r="G40" i="162"/>
  <c r="H40" i="162"/>
  <c r="I40" i="162"/>
  <c r="J40" i="162"/>
  <c r="N40" i="162"/>
  <c r="Q40" i="162"/>
  <c r="R40" i="162"/>
  <c r="W40" i="162"/>
  <c r="X40" i="162"/>
  <c r="Y40" i="162"/>
  <c r="Z40" i="162"/>
  <c r="D106" i="162"/>
  <c r="E106" i="162"/>
  <c r="G106" i="162"/>
  <c r="H106" i="162"/>
  <c r="I106" i="162"/>
  <c r="J106" i="162"/>
  <c r="Q106" i="162"/>
  <c r="R106" i="162"/>
  <c r="W106" i="162"/>
  <c r="X106" i="162"/>
  <c r="Y106" i="162"/>
  <c r="Z106" i="162"/>
  <c r="E77" i="162"/>
  <c r="H77" i="162"/>
  <c r="I77" i="162"/>
  <c r="N77" i="162"/>
  <c r="Q77" i="162"/>
  <c r="R77" i="162"/>
  <c r="W77" i="162"/>
  <c r="X77" i="162"/>
  <c r="Y77" i="162"/>
  <c r="Z77" i="162"/>
  <c r="D78" i="162"/>
  <c r="E78" i="162"/>
  <c r="G78" i="162"/>
  <c r="H78" i="162"/>
  <c r="I78" i="162"/>
  <c r="J78" i="162"/>
  <c r="Q78" i="162"/>
  <c r="R78" i="162"/>
  <c r="W78" i="162"/>
  <c r="X78" i="162"/>
  <c r="Y78" i="162"/>
  <c r="Z78" i="162"/>
  <c r="D79" i="162"/>
  <c r="E79" i="162"/>
  <c r="G79" i="162"/>
  <c r="H79" i="162"/>
  <c r="I79" i="162"/>
  <c r="J79" i="162"/>
  <c r="N79" i="162"/>
  <c r="Q79" i="162"/>
  <c r="R79" i="162"/>
  <c r="W79" i="162"/>
  <c r="X79" i="162"/>
  <c r="Y79" i="162"/>
  <c r="Z79" i="162"/>
  <c r="D80" i="162"/>
  <c r="E80" i="162"/>
  <c r="G80" i="162"/>
  <c r="H80" i="162"/>
  <c r="I80" i="162"/>
  <c r="J80" i="162"/>
  <c r="N80" i="162"/>
  <c r="Q80" i="162"/>
  <c r="R80" i="162"/>
  <c r="W80" i="162"/>
  <c r="X80" i="162"/>
  <c r="Y80" i="162"/>
  <c r="Z80" i="162"/>
  <c r="D81" i="162"/>
  <c r="E81" i="162"/>
  <c r="G81" i="162"/>
  <c r="H81" i="162"/>
  <c r="I81" i="162"/>
  <c r="J81" i="162"/>
  <c r="Q81" i="162"/>
  <c r="R81" i="162"/>
  <c r="W81" i="162"/>
  <c r="X81" i="162"/>
  <c r="Y81" i="162"/>
  <c r="Z81" i="162"/>
  <c r="D41" i="162"/>
  <c r="E41" i="162"/>
  <c r="G41" i="162"/>
  <c r="H41" i="162"/>
  <c r="I41" i="162"/>
  <c r="J41" i="162"/>
  <c r="N41" i="162"/>
  <c r="Q41" i="162"/>
  <c r="R41" i="162"/>
  <c r="W41" i="162"/>
  <c r="X41" i="162"/>
  <c r="Y41" i="162"/>
  <c r="Z41" i="162"/>
  <c r="D42" i="162"/>
  <c r="E42" i="162"/>
  <c r="G42" i="162"/>
  <c r="H42" i="162"/>
  <c r="I42" i="162"/>
  <c r="J42" i="162"/>
  <c r="N42" i="162"/>
  <c r="Q42" i="162"/>
  <c r="R42" i="162"/>
  <c r="W42" i="162"/>
  <c r="X42" i="162"/>
  <c r="Y42" i="162"/>
  <c r="Z42" i="162"/>
  <c r="D82" i="162"/>
  <c r="E82" i="162"/>
  <c r="G82" i="162"/>
  <c r="H82" i="162"/>
  <c r="I82" i="162"/>
  <c r="J82" i="162"/>
  <c r="Q82" i="162"/>
  <c r="R82" i="162"/>
  <c r="W82" i="162"/>
  <c r="X82" i="162"/>
  <c r="Y82" i="162"/>
  <c r="Z82" i="162"/>
  <c r="D83" i="162"/>
  <c r="E83" i="162"/>
  <c r="G83" i="162"/>
  <c r="H83" i="162"/>
  <c r="I83" i="162"/>
  <c r="J83" i="162"/>
  <c r="N83" i="162"/>
  <c r="Q83" i="162"/>
  <c r="R83" i="162"/>
  <c r="S83" i="162"/>
  <c r="T83" i="162"/>
  <c r="W83" i="162"/>
  <c r="X83" i="162"/>
  <c r="Y83" i="162"/>
  <c r="Z83" i="162"/>
  <c r="D84" i="162"/>
  <c r="E84" i="162"/>
  <c r="G84" i="162"/>
  <c r="H84" i="162"/>
  <c r="I84" i="162"/>
  <c r="J84" i="162"/>
  <c r="N84" i="162"/>
  <c r="Q84" i="162"/>
  <c r="R84" i="162"/>
  <c r="W84" i="162"/>
  <c r="X84" i="162"/>
  <c r="Y84" i="162"/>
  <c r="Z84" i="162"/>
  <c r="D85" i="162"/>
  <c r="E85" i="162"/>
  <c r="G85" i="162"/>
  <c r="H85" i="162"/>
  <c r="I85" i="162"/>
  <c r="J85" i="162"/>
  <c r="N85" i="162"/>
  <c r="Q85" i="162"/>
  <c r="R85" i="162"/>
  <c r="W85" i="162"/>
  <c r="X85" i="162"/>
  <c r="Y85" i="162"/>
  <c r="Z85" i="162"/>
  <c r="D86" i="162"/>
  <c r="E86" i="162"/>
  <c r="G86" i="162"/>
  <c r="H86" i="162"/>
  <c r="I86" i="162"/>
  <c r="J86" i="162"/>
  <c r="Q86" i="162"/>
  <c r="R86" i="162"/>
  <c r="W86" i="162"/>
  <c r="X86" i="162"/>
  <c r="Y86" i="162"/>
  <c r="Z86" i="162"/>
  <c r="D87" i="162"/>
  <c r="E87" i="162"/>
  <c r="G87" i="162"/>
  <c r="H87" i="162"/>
  <c r="I87" i="162"/>
  <c r="J87" i="162"/>
  <c r="N87" i="162"/>
  <c r="Q87" i="162"/>
  <c r="R87" i="162"/>
  <c r="W87" i="162"/>
  <c r="X87" i="162"/>
  <c r="Y87" i="162"/>
  <c r="Z87" i="162"/>
  <c r="E100" i="162"/>
  <c r="G100" i="162"/>
  <c r="H100" i="162"/>
  <c r="I100" i="162"/>
  <c r="J100" i="162"/>
  <c r="N100" i="162"/>
  <c r="Q100" i="162"/>
  <c r="R100" i="162"/>
  <c r="W100" i="162"/>
  <c r="X100" i="162"/>
  <c r="Y100" i="162"/>
  <c r="Z100" i="162"/>
  <c r="D88" i="162"/>
  <c r="E88" i="162"/>
  <c r="G88" i="162"/>
  <c r="H88" i="162"/>
  <c r="I88" i="162"/>
  <c r="J88" i="162"/>
  <c r="N88" i="162"/>
  <c r="Q88" i="162"/>
  <c r="R88" i="162"/>
  <c r="W88" i="162"/>
  <c r="X88" i="162"/>
  <c r="Y88" i="162"/>
  <c r="Z88" i="162"/>
  <c r="D89" i="162"/>
  <c r="E89" i="162"/>
  <c r="G89" i="162"/>
  <c r="H89" i="162"/>
  <c r="I89" i="162"/>
  <c r="J89" i="162"/>
  <c r="Q89" i="162"/>
  <c r="R89" i="162"/>
  <c r="W89" i="162"/>
  <c r="X89" i="162"/>
  <c r="Y89" i="162"/>
  <c r="Z89" i="162"/>
  <c r="D90" i="162"/>
  <c r="E90" i="162"/>
  <c r="G90" i="162"/>
  <c r="H90" i="162"/>
  <c r="I90" i="162"/>
  <c r="J90" i="162"/>
  <c r="Q90" i="162"/>
  <c r="R90" i="162"/>
  <c r="W90" i="162"/>
  <c r="X90" i="162"/>
  <c r="Y90" i="162"/>
  <c r="Z90" i="162"/>
  <c r="D43" i="162"/>
  <c r="E43" i="162"/>
  <c r="G43" i="162"/>
  <c r="H43" i="162"/>
  <c r="I43" i="162"/>
  <c r="J43" i="162"/>
  <c r="N43" i="162"/>
  <c r="Q43" i="162"/>
  <c r="R43" i="162"/>
  <c r="W43" i="162"/>
  <c r="X43" i="162"/>
  <c r="Y43" i="162"/>
  <c r="Z43" i="162"/>
  <c r="D44" i="162"/>
  <c r="E44" i="162"/>
  <c r="G44" i="162"/>
  <c r="H44" i="162"/>
  <c r="I44" i="162"/>
  <c r="J44" i="162"/>
  <c r="N44" i="162"/>
  <c r="Q44" i="162"/>
  <c r="R44" i="162"/>
  <c r="W44" i="162"/>
  <c r="X44" i="162"/>
  <c r="Y44" i="162"/>
  <c r="Z44" i="162"/>
  <c r="D45" i="162"/>
  <c r="E45" i="162"/>
  <c r="G45" i="162"/>
  <c r="H45" i="162"/>
  <c r="I45" i="162"/>
  <c r="J45" i="162"/>
  <c r="N45" i="162"/>
  <c r="Q45" i="162"/>
  <c r="R45" i="162"/>
  <c r="W45" i="162"/>
  <c r="X45" i="162"/>
  <c r="Y45" i="162"/>
  <c r="Z45" i="162"/>
  <c r="D46" i="162"/>
  <c r="E46" i="162"/>
  <c r="G46" i="162"/>
  <c r="H46" i="162"/>
  <c r="I46" i="162"/>
  <c r="J46" i="162"/>
  <c r="K46" i="162"/>
  <c r="L46" i="162"/>
  <c r="M46" i="162"/>
  <c r="N46" i="162"/>
  <c r="Q46" i="162"/>
  <c r="R46" i="162"/>
  <c r="W46" i="162"/>
  <c r="X46" i="162"/>
  <c r="Y46" i="162"/>
  <c r="Z46" i="162"/>
  <c r="D47" i="162"/>
  <c r="E47" i="162"/>
  <c r="G47" i="162"/>
  <c r="H47" i="162"/>
  <c r="I47" i="162"/>
  <c r="J47" i="162"/>
  <c r="K47" i="162"/>
  <c r="L47" i="162"/>
  <c r="M47" i="162"/>
  <c r="Q47" i="162"/>
  <c r="R47" i="162"/>
  <c r="W47" i="162"/>
  <c r="X47" i="162"/>
  <c r="Y47" i="162"/>
  <c r="Z47" i="162"/>
  <c r="D48" i="162"/>
  <c r="E48" i="162"/>
  <c r="G48" i="162"/>
  <c r="H48" i="162"/>
  <c r="I48" i="162"/>
  <c r="J48" i="162"/>
  <c r="K48" i="162"/>
  <c r="L48" i="162"/>
  <c r="M48" i="162"/>
  <c r="N48" i="162"/>
  <c r="Q48" i="162"/>
  <c r="R48" i="162"/>
  <c r="W48" i="162"/>
  <c r="X48" i="162"/>
  <c r="Y48" i="162"/>
  <c r="Z48" i="162"/>
  <c r="D101" i="162"/>
  <c r="E101" i="162"/>
  <c r="G101" i="162"/>
  <c r="H101" i="162"/>
  <c r="I101" i="162"/>
  <c r="J101" i="162"/>
  <c r="K101" i="162"/>
  <c r="L101" i="162"/>
  <c r="M101" i="162"/>
  <c r="N101" i="162"/>
  <c r="Q101" i="162"/>
  <c r="R101" i="162"/>
  <c r="W101" i="162"/>
  <c r="X101" i="162"/>
  <c r="Y101" i="162"/>
  <c r="Z101" i="162"/>
  <c r="D91" i="162"/>
  <c r="E91" i="162"/>
  <c r="G91" i="162"/>
  <c r="H91" i="162"/>
  <c r="I91" i="162"/>
  <c r="J91" i="162"/>
  <c r="K91" i="162"/>
  <c r="L91" i="162"/>
  <c r="M91" i="162"/>
  <c r="N91" i="162"/>
  <c r="Q91" i="162"/>
  <c r="R91" i="162"/>
  <c r="W91" i="162"/>
  <c r="X91" i="162"/>
  <c r="Y91" i="162"/>
  <c r="Z91" i="162"/>
  <c r="D49" i="162"/>
  <c r="E49" i="162"/>
  <c r="G49" i="162"/>
  <c r="H49" i="162"/>
  <c r="I49" i="162"/>
  <c r="J49" i="162"/>
  <c r="K49" i="162"/>
  <c r="L49" i="162"/>
  <c r="M49" i="162"/>
  <c r="N49" i="162"/>
  <c r="Q49" i="162"/>
  <c r="R49" i="162"/>
  <c r="W49" i="162"/>
  <c r="X49" i="162"/>
  <c r="Y49" i="162"/>
  <c r="Z49" i="162"/>
  <c r="D92" i="162"/>
  <c r="E92" i="162"/>
  <c r="G92" i="162"/>
  <c r="H92" i="162"/>
  <c r="I92" i="162"/>
  <c r="J92" i="162"/>
  <c r="K92" i="162"/>
  <c r="L92" i="162"/>
  <c r="M92" i="162"/>
  <c r="N92" i="162"/>
  <c r="Q92" i="162"/>
  <c r="R92" i="162"/>
  <c r="W92" i="162"/>
  <c r="X92" i="162"/>
  <c r="Y92" i="162"/>
  <c r="Z92" i="162"/>
  <c r="D93" i="162"/>
  <c r="E93" i="162"/>
  <c r="G93" i="162"/>
  <c r="H93" i="162"/>
  <c r="I93" i="162"/>
  <c r="J93" i="162"/>
  <c r="K93" i="162"/>
  <c r="L93" i="162"/>
  <c r="M93" i="162"/>
  <c r="N93" i="162"/>
  <c r="Q93" i="162"/>
  <c r="R93" i="162"/>
  <c r="W93" i="162"/>
  <c r="X93" i="162"/>
  <c r="Y93" i="162"/>
  <c r="Z93" i="162"/>
  <c r="D94" i="162"/>
  <c r="E94" i="162"/>
  <c r="G94" i="162"/>
  <c r="H94" i="162"/>
  <c r="I94" i="162"/>
  <c r="J94" i="162"/>
  <c r="K94" i="162"/>
  <c r="L94" i="162"/>
  <c r="M94" i="162"/>
  <c r="N94" i="162"/>
  <c r="Q94" i="162"/>
  <c r="R94" i="162"/>
  <c r="W94" i="162"/>
  <c r="X94" i="162"/>
  <c r="Y94" i="162"/>
  <c r="Z94" i="162"/>
  <c r="E6" i="162"/>
  <c r="G6" i="162"/>
  <c r="H6" i="162"/>
  <c r="I6" i="162"/>
  <c r="J6" i="162"/>
  <c r="Q6" i="162"/>
  <c r="R6" i="162"/>
  <c r="W6" i="162"/>
  <c r="X6" i="162"/>
  <c r="Y6" i="162"/>
  <c r="Z6" i="162"/>
  <c r="Y107" i="162" l="1"/>
  <c r="Q107" i="162"/>
  <c r="G107" i="162"/>
  <c r="X107" i="162"/>
  <c r="X108" i="162" s="1"/>
  <c r="J107" i="162"/>
  <c r="E107" i="162"/>
  <c r="X102" i="162"/>
  <c r="E102" i="162"/>
  <c r="W102" i="162"/>
  <c r="W108" i="162" s="1"/>
  <c r="I102" i="162"/>
  <c r="I108" i="162" s="1"/>
  <c r="X50" i="162"/>
  <c r="J50" i="162"/>
  <c r="E50" i="162"/>
  <c r="Z102" i="162"/>
  <c r="R102" i="162"/>
  <c r="R108" i="162" s="1"/>
  <c r="H102" i="162"/>
  <c r="H108" i="162" s="1"/>
  <c r="Y102" i="162"/>
  <c r="Q102" i="162"/>
  <c r="W50" i="162"/>
  <c r="I50" i="162"/>
  <c r="R50" i="162"/>
  <c r="H50" i="162"/>
  <c r="Y50" i="162"/>
  <c r="A6" i="162"/>
  <c r="E108" i="162" l="1"/>
  <c r="Y108" i="162"/>
  <c r="S102" i="116"/>
  <c r="S93" i="162" s="1"/>
  <c r="P102" i="116"/>
  <c r="P93" i="162" s="1"/>
  <c r="O102" i="116"/>
  <c r="O93" i="162" s="1"/>
  <c r="F102" i="116"/>
  <c r="F93" i="162" s="1"/>
  <c r="S101" i="116"/>
  <c r="S92" i="162" s="1"/>
  <c r="P101" i="116"/>
  <c r="P92" i="162" s="1"/>
  <c r="O101" i="116"/>
  <c r="O92" i="162" s="1"/>
  <c r="F101" i="116"/>
  <c r="F92" i="162" s="1"/>
  <c r="S100" i="116"/>
  <c r="S49" i="162" s="1"/>
  <c r="P100" i="116"/>
  <c r="P49" i="162" s="1"/>
  <c r="O100" i="116"/>
  <c r="O49" i="162" s="1"/>
  <c r="F100" i="116"/>
  <c r="F49" i="162" s="1"/>
  <c r="N19" i="116"/>
  <c r="N58" i="162" s="1"/>
  <c r="N86" i="116"/>
  <c r="N86" i="162" s="1"/>
  <c r="T102" i="116" l="1"/>
  <c r="T100" i="116"/>
  <c r="T101" i="116"/>
  <c r="V19" i="123"/>
  <c r="U100" i="116" l="1"/>
  <c r="T49" i="162"/>
  <c r="U101" i="116"/>
  <c r="T92" i="162"/>
  <c r="U102" i="116"/>
  <c r="T93" i="162"/>
  <c r="E13" i="160"/>
  <c r="E10" i="160"/>
  <c r="E8" i="160"/>
  <c r="E11" i="160"/>
  <c r="E9" i="160"/>
  <c r="E12" i="160"/>
  <c r="N43" i="117"/>
  <c r="N93" i="167" s="1"/>
  <c r="N42" i="117"/>
  <c r="N101" i="167" s="1"/>
  <c r="N40" i="117"/>
  <c r="N35" i="167" s="1"/>
  <c r="N12" i="117"/>
  <c r="N18" i="167" s="1"/>
  <c r="N14" i="117"/>
  <c r="N20" i="167" s="1"/>
  <c r="E14" i="69"/>
  <c r="F5" i="69"/>
  <c r="A10" i="157"/>
  <c r="E12" i="71"/>
  <c r="F7" i="71"/>
  <c r="F5" i="71"/>
  <c r="AB8" i="155"/>
  <c r="F7" i="74"/>
  <c r="F5" i="74"/>
  <c r="E18" i="154"/>
  <c r="G18" i="154"/>
  <c r="H18" i="154"/>
  <c r="I18" i="154"/>
  <c r="J18" i="154"/>
  <c r="K18" i="154"/>
  <c r="L18" i="154"/>
  <c r="M18" i="154"/>
  <c r="N18" i="154"/>
  <c r="P18" i="154"/>
  <c r="Q18" i="154"/>
  <c r="R18" i="154"/>
  <c r="S18" i="154"/>
  <c r="T18" i="154"/>
  <c r="U18" i="154"/>
  <c r="E17" i="154"/>
  <c r="G17" i="154"/>
  <c r="H17" i="154"/>
  <c r="I17" i="154"/>
  <c r="J17" i="154"/>
  <c r="K17" i="154"/>
  <c r="L17" i="154"/>
  <c r="M17" i="154"/>
  <c r="N17" i="154"/>
  <c r="P17" i="154"/>
  <c r="Q17" i="154"/>
  <c r="R17" i="154"/>
  <c r="S17" i="154"/>
  <c r="T17" i="154"/>
  <c r="U17" i="154"/>
  <c r="V17" i="154"/>
  <c r="W17" i="154"/>
  <c r="E15" i="154"/>
  <c r="G15" i="154"/>
  <c r="H15" i="154"/>
  <c r="I15" i="154"/>
  <c r="J15" i="154"/>
  <c r="K15" i="154"/>
  <c r="L15" i="154"/>
  <c r="M15" i="154"/>
  <c r="N15" i="154"/>
  <c r="P15" i="154"/>
  <c r="Q15" i="154"/>
  <c r="R15" i="154"/>
  <c r="S15" i="154"/>
  <c r="T15" i="154"/>
  <c r="U15" i="154"/>
  <c r="A32" i="153"/>
  <c r="V101" i="116" l="1"/>
  <c r="V92" i="162" s="1"/>
  <c r="U92" i="162"/>
  <c r="V102" i="116"/>
  <c r="V93" i="162" s="1"/>
  <c r="U93" i="162"/>
  <c r="V100" i="116"/>
  <c r="V49" i="162" s="1"/>
  <c r="U49" i="162"/>
  <c r="E16" i="75" l="1"/>
  <c r="E15" i="75"/>
  <c r="F7" i="75"/>
  <c r="A15" i="148" l="1"/>
  <c r="E10" i="157"/>
  <c r="E11" i="157" s="1"/>
  <c r="F10" i="157"/>
  <c r="F11" i="157" s="1"/>
  <c r="G10" i="157"/>
  <c r="G11" i="157" s="1"/>
  <c r="H10" i="157"/>
  <c r="H11" i="157" s="1"/>
  <c r="I10" i="157"/>
  <c r="I11" i="157" s="1"/>
  <c r="J10" i="157"/>
  <c r="J11" i="157" s="1"/>
  <c r="K10" i="157"/>
  <c r="K11" i="157" s="1"/>
  <c r="L10" i="157"/>
  <c r="L11" i="157" s="1"/>
  <c r="M10" i="157"/>
  <c r="M11" i="157" s="1"/>
  <c r="N10" i="157"/>
  <c r="N11" i="157" s="1"/>
  <c r="O10" i="157"/>
  <c r="O11" i="157" s="1"/>
  <c r="P10" i="157"/>
  <c r="P11" i="157" s="1"/>
  <c r="Q10" i="157"/>
  <c r="Q11" i="157" s="1"/>
  <c r="R10" i="157"/>
  <c r="R11" i="157" s="1"/>
  <c r="S10" i="157"/>
  <c r="S11" i="157" s="1"/>
  <c r="T10" i="157"/>
  <c r="T11" i="157" s="1"/>
  <c r="U10" i="157"/>
  <c r="U11" i="157" s="1"/>
  <c r="V10" i="157"/>
  <c r="V11" i="157" s="1"/>
  <c r="W10" i="157"/>
  <c r="W11" i="157" s="1"/>
  <c r="X10" i="157"/>
  <c r="X11" i="157" s="1"/>
  <c r="Y10" i="157"/>
  <c r="Y11" i="157" s="1"/>
  <c r="Z10" i="157"/>
  <c r="Z11" i="157" s="1"/>
  <c r="AA10" i="157"/>
  <c r="AB10" i="157"/>
  <c r="E19" i="157"/>
  <c r="F19" i="157"/>
  <c r="G19" i="157"/>
  <c r="H19" i="157"/>
  <c r="I19" i="157"/>
  <c r="J19" i="157"/>
  <c r="K19" i="157"/>
  <c r="L19" i="157"/>
  <c r="M19" i="157"/>
  <c r="N19" i="157"/>
  <c r="O19" i="157"/>
  <c r="P19" i="157"/>
  <c r="Q19" i="157"/>
  <c r="R19" i="157"/>
  <c r="S19" i="157"/>
  <c r="T19" i="157"/>
  <c r="U19" i="157"/>
  <c r="V19" i="157"/>
  <c r="W19" i="157"/>
  <c r="X19" i="157"/>
  <c r="Y19" i="157"/>
  <c r="Z19" i="157"/>
  <c r="AA19" i="157"/>
  <c r="AB19" i="157"/>
  <c r="E65" i="157"/>
  <c r="F65" i="157"/>
  <c r="G65" i="157"/>
  <c r="H65" i="157"/>
  <c r="I65" i="157"/>
  <c r="J65" i="157"/>
  <c r="K65" i="157"/>
  <c r="L65" i="157"/>
  <c r="M65" i="157"/>
  <c r="N65" i="157"/>
  <c r="O65" i="157"/>
  <c r="P65" i="157"/>
  <c r="Q65" i="157"/>
  <c r="R65" i="157"/>
  <c r="S65" i="157"/>
  <c r="T65" i="157"/>
  <c r="U65" i="157"/>
  <c r="V65" i="157"/>
  <c r="W65" i="157"/>
  <c r="X65" i="157"/>
  <c r="Y65" i="157"/>
  <c r="Z65" i="157"/>
  <c r="AA65" i="157"/>
  <c r="AB65" i="157"/>
  <c r="E21" i="157"/>
  <c r="F21" i="157"/>
  <c r="G21" i="157"/>
  <c r="H21" i="157"/>
  <c r="I21" i="157"/>
  <c r="J21" i="157"/>
  <c r="K21" i="157"/>
  <c r="L21" i="157"/>
  <c r="M21" i="157"/>
  <c r="N21" i="157"/>
  <c r="O21" i="157"/>
  <c r="P21" i="157"/>
  <c r="Q21" i="157"/>
  <c r="R21" i="157"/>
  <c r="S21" i="157"/>
  <c r="T21" i="157"/>
  <c r="U21" i="157"/>
  <c r="V21" i="157"/>
  <c r="W21" i="157"/>
  <c r="X21" i="157"/>
  <c r="Y21" i="157"/>
  <c r="Z21" i="157"/>
  <c r="AA21" i="157"/>
  <c r="AB21" i="157"/>
  <c r="E22" i="157"/>
  <c r="F22" i="157"/>
  <c r="G22" i="157"/>
  <c r="H22" i="157"/>
  <c r="I22" i="157"/>
  <c r="J22" i="157"/>
  <c r="K22" i="157"/>
  <c r="L22" i="157"/>
  <c r="M22" i="157"/>
  <c r="N22" i="157"/>
  <c r="O22" i="157"/>
  <c r="P22" i="157"/>
  <c r="Q22" i="157"/>
  <c r="R22" i="157"/>
  <c r="S22" i="157"/>
  <c r="T22" i="157"/>
  <c r="U22" i="157"/>
  <c r="V22" i="157"/>
  <c r="W22" i="157"/>
  <c r="X22" i="157"/>
  <c r="Y22" i="157"/>
  <c r="Z22" i="157"/>
  <c r="AA22" i="157"/>
  <c r="AB22" i="157"/>
  <c r="E74" i="157"/>
  <c r="F74" i="157"/>
  <c r="G74" i="157"/>
  <c r="H74" i="157"/>
  <c r="I74" i="157"/>
  <c r="J74" i="157"/>
  <c r="K74" i="157"/>
  <c r="L74" i="157"/>
  <c r="M74" i="157"/>
  <c r="N74" i="157"/>
  <c r="O74" i="157"/>
  <c r="P74" i="157"/>
  <c r="Q74" i="157"/>
  <c r="R74" i="157"/>
  <c r="S74" i="157"/>
  <c r="T74" i="157"/>
  <c r="U74" i="157"/>
  <c r="V74" i="157"/>
  <c r="W74" i="157"/>
  <c r="X74" i="157"/>
  <c r="Y74" i="157"/>
  <c r="Z74" i="157"/>
  <c r="AA74" i="157"/>
  <c r="AB74" i="157"/>
  <c r="E75" i="157"/>
  <c r="F75" i="157"/>
  <c r="G75" i="157"/>
  <c r="H75" i="157"/>
  <c r="I75" i="157"/>
  <c r="J75" i="157"/>
  <c r="K75" i="157"/>
  <c r="L75" i="157"/>
  <c r="M75" i="157"/>
  <c r="N75" i="157"/>
  <c r="O75" i="157"/>
  <c r="P75" i="157"/>
  <c r="Q75" i="157"/>
  <c r="R75" i="157"/>
  <c r="S75" i="157"/>
  <c r="T75" i="157"/>
  <c r="U75" i="157"/>
  <c r="V75" i="157"/>
  <c r="W75" i="157"/>
  <c r="X75" i="157"/>
  <c r="Y75" i="157"/>
  <c r="Z75" i="157"/>
  <c r="AA75" i="157"/>
  <c r="AB75" i="157"/>
  <c r="E23" i="157"/>
  <c r="F23" i="157"/>
  <c r="G23" i="157"/>
  <c r="H23" i="157"/>
  <c r="I23" i="157"/>
  <c r="J23" i="157"/>
  <c r="K23" i="157"/>
  <c r="L23" i="157"/>
  <c r="M23" i="157"/>
  <c r="N23" i="157"/>
  <c r="O23" i="157"/>
  <c r="P23" i="157"/>
  <c r="Q23" i="157"/>
  <c r="R23" i="157"/>
  <c r="S23" i="157"/>
  <c r="T23" i="157"/>
  <c r="U23" i="157"/>
  <c r="V23" i="157"/>
  <c r="W23" i="157"/>
  <c r="X23" i="157"/>
  <c r="Y23" i="157"/>
  <c r="Z23" i="157"/>
  <c r="AA23" i="157"/>
  <c r="AB23" i="157"/>
  <c r="E24" i="157"/>
  <c r="F24" i="157"/>
  <c r="G24" i="157"/>
  <c r="H24" i="157"/>
  <c r="I24" i="157"/>
  <c r="J24" i="157"/>
  <c r="K24" i="157"/>
  <c r="L24" i="157"/>
  <c r="M24" i="157"/>
  <c r="N24" i="157"/>
  <c r="O24" i="157"/>
  <c r="P24" i="157"/>
  <c r="Q24" i="157"/>
  <c r="R24" i="157"/>
  <c r="S24" i="157"/>
  <c r="T24" i="157"/>
  <c r="U24" i="157"/>
  <c r="V24" i="157"/>
  <c r="W24" i="157"/>
  <c r="X24" i="157"/>
  <c r="Y24" i="157"/>
  <c r="Z24" i="157"/>
  <c r="AA24" i="157"/>
  <c r="AB24" i="157"/>
  <c r="E25" i="157"/>
  <c r="F25" i="157"/>
  <c r="G25" i="157"/>
  <c r="H25" i="157"/>
  <c r="I25" i="157"/>
  <c r="J25" i="157"/>
  <c r="K25" i="157"/>
  <c r="L25" i="157"/>
  <c r="M25" i="157"/>
  <c r="N25" i="157"/>
  <c r="O25" i="157"/>
  <c r="P25" i="157"/>
  <c r="Q25" i="157"/>
  <c r="R25" i="157"/>
  <c r="S25" i="157"/>
  <c r="T25" i="157"/>
  <c r="U25" i="157"/>
  <c r="V25" i="157"/>
  <c r="W25" i="157"/>
  <c r="X25" i="157"/>
  <c r="Y25" i="157"/>
  <c r="Z25" i="157"/>
  <c r="AA25" i="157"/>
  <c r="AB25" i="157"/>
  <c r="E76" i="157"/>
  <c r="F76" i="157"/>
  <c r="G76" i="157"/>
  <c r="H76" i="157"/>
  <c r="I76" i="157"/>
  <c r="J76" i="157"/>
  <c r="K76" i="157"/>
  <c r="L76" i="157"/>
  <c r="M76" i="157"/>
  <c r="N76" i="157"/>
  <c r="O76" i="157"/>
  <c r="P76" i="157"/>
  <c r="Q76" i="157"/>
  <c r="R76" i="157"/>
  <c r="S76" i="157"/>
  <c r="T76" i="157"/>
  <c r="U76" i="157"/>
  <c r="V76" i="157"/>
  <c r="W76" i="157"/>
  <c r="X76" i="157"/>
  <c r="Y76" i="157"/>
  <c r="Z76" i="157"/>
  <c r="AA76" i="157"/>
  <c r="AB76" i="157"/>
  <c r="E26" i="157"/>
  <c r="F26" i="157"/>
  <c r="G26" i="157"/>
  <c r="H26" i="157"/>
  <c r="I26" i="157"/>
  <c r="J26" i="157"/>
  <c r="K26" i="157"/>
  <c r="L26" i="157"/>
  <c r="M26" i="157"/>
  <c r="N26" i="157"/>
  <c r="O26" i="157"/>
  <c r="P26" i="157"/>
  <c r="Q26" i="157"/>
  <c r="R26" i="157"/>
  <c r="S26" i="157"/>
  <c r="T26" i="157"/>
  <c r="U26" i="157"/>
  <c r="V26" i="157"/>
  <c r="W26" i="157"/>
  <c r="X26" i="157"/>
  <c r="Y26" i="157"/>
  <c r="Z26" i="157"/>
  <c r="AA26" i="157"/>
  <c r="AB26" i="157"/>
  <c r="E27" i="157"/>
  <c r="F27" i="157"/>
  <c r="G27" i="157"/>
  <c r="H27" i="157"/>
  <c r="I27" i="157"/>
  <c r="J27" i="157"/>
  <c r="K27" i="157"/>
  <c r="L27" i="157"/>
  <c r="M27" i="157"/>
  <c r="N27" i="157"/>
  <c r="O27" i="157"/>
  <c r="P27" i="157"/>
  <c r="Q27" i="157"/>
  <c r="R27" i="157"/>
  <c r="S27" i="157"/>
  <c r="T27" i="157"/>
  <c r="U27" i="157"/>
  <c r="V27" i="157"/>
  <c r="W27" i="157"/>
  <c r="X27" i="157"/>
  <c r="Y27" i="157"/>
  <c r="Z27" i="157"/>
  <c r="AA27" i="157"/>
  <c r="AB27" i="157"/>
  <c r="E14" i="157"/>
  <c r="F14" i="157"/>
  <c r="G14" i="157"/>
  <c r="H14" i="157"/>
  <c r="I14" i="157"/>
  <c r="J14" i="157"/>
  <c r="K14" i="157"/>
  <c r="L14" i="157"/>
  <c r="M14" i="157"/>
  <c r="N14" i="157"/>
  <c r="O14" i="157"/>
  <c r="P14" i="157"/>
  <c r="Q14" i="157"/>
  <c r="R14" i="157"/>
  <c r="S14" i="157"/>
  <c r="T14" i="157"/>
  <c r="U14" i="157"/>
  <c r="V14" i="157"/>
  <c r="W14" i="157"/>
  <c r="X14" i="157"/>
  <c r="Y14" i="157"/>
  <c r="Z14" i="157"/>
  <c r="AA14" i="157"/>
  <c r="AB14" i="157"/>
  <c r="E28" i="157"/>
  <c r="F28" i="157"/>
  <c r="G28" i="157"/>
  <c r="H28" i="157"/>
  <c r="I28" i="157"/>
  <c r="J28" i="157"/>
  <c r="K28" i="157"/>
  <c r="L28" i="157"/>
  <c r="M28" i="157"/>
  <c r="N28" i="157"/>
  <c r="O28" i="157"/>
  <c r="P28" i="157"/>
  <c r="Q28" i="157"/>
  <c r="R28" i="157"/>
  <c r="S28" i="157"/>
  <c r="T28" i="157"/>
  <c r="U28" i="157"/>
  <c r="V28" i="157"/>
  <c r="W28" i="157"/>
  <c r="X28" i="157"/>
  <c r="Y28" i="157"/>
  <c r="Z28" i="157"/>
  <c r="AA28" i="157"/>
  <c r="AB28" i="157"/>
  <c r="E55" i="157"/>
  <c r="F55" i="157"/>
  <c r="G55" i="157"/>
  <c r="H55" i="157"/>
  <c r="I55" i="157"/>
  <c r="J55" i="157"/>
  <c r="K55" i="157"/>
  <c r="L55" i="157"/>
  <c r="M55" i="157"/>
  <c r="N55" i="157"/>
  <c r="O55" i="157"/>
  <c r="P55" i="157"/>
  <c r="Q55" i="157"/>
  <c r="R55" i="157"/>
  <c r="S55" i="157"/>
  <c r="T55" i="157"/>
  <c r="U55" i="157"/>
  <c r="V55" i="157"/>
  <c r="W55" i="157"/>
  <c r="X55" i="157"/>
  <c r="Y55" i="157"/>
  <c r="Z55" i="157"/>
  <c r="AA55" i="157"/>
  <c r="AB55" i="157"/>
  <c r="E12" i="157"/>
  <c r="G12" i="157"/>
  <c r="H12" i="157"/>
  <c r="I12" i="157"/>
  <c r="J12" i="157"/>
  <c r="K12" i="157"/>
  <c r="L12" i="157"/>
  <c r="M12" i="157"/>
  <c r="N12" i="157"/>
  <c r="P12" i="157"/>
  <c r="Q12" i="157"/>
  <c r="R12" i="157"/>
  <c r="S12" i="157"/>
  <c r="T12" i="157"/>
  <c r="U12" i="157"/>
  <c r="V12" i="157"/>
  <c r="W12" i="157"/>
  <c r="X12" i="157"/>
  <c r="Y12" i="157"/>
  <c r="Z12" i="157"/>
  <c r="AA12" i="157"/>
  <c r="AB12" i="157"/>
  <c r="E17" i="157"/>
  <c r="F17" i="157"/>
  <c r="G17" i="157"/>
  <c r="H17" i="157"/>
  <c r="I17" i="157"/>
  <c r="J17" i="157"/>
  <c r="K17" i="157"/>
  <c r="L17" i="157"/>
  <c r="M17" i="157"/>
  <c r="N17" i="157"/>
  <c r="O17" i="157"/>
  <c r="P17" i="157"/>
  <c r="Q17" i="157"/>
  <c r="R17" i="157"/>
  <c r="S17" i="157"/>
  <c r="T17" i="157"/>
  <c r="U17" i="157"/>
  <c r="V17" i="157"/>
  <c r="W17" i="157"/>
  <c r="X17" i="157"/>
  <c r="Y17" i="157"/>
  <c r="Z17" i="157"/>
  <c r="AA17" i="157"/>
  <c r="AB17" i="157"/>
  <c r="E71" i="157"/>
  <c r="F71" i="157"/>
  <c r="F73" i="157" s="1"/>
  <c r="G71" i="157"/>
  <c r="G73" i="157" s="1"/>
  <c r="H71" i="157"/>
  <c r="I71" i="157"/>
  <c r="J71" i="157"/>
  <c r="J73" i="157" s="1"/>
  <c r="K71" i="157"/>
  <c r="K73" i="157" s="1"/>
  <c r="L71" i="157"/>
  <c r="M71" i="157"/>
  <c r="N71" i="157"/>
  <c r="N73" i="157" s="1"/>
  <c r="O71" i="157"/>
  <c r="O73" i="157" s="1"/>
  <c r="P71" i="157"/>
  <c r="Q71" i="157"/>
  <c r="R71" i="157"/>
  <c r="R73" i="157" s="1"/>
  <c r="S71" i="157"/>
  <c r="S73" i="157" s="1"/>
  <c r="T71" i="157"/>
  <c r="U71" i="157"/>
  <c r="V71" i="157"/>
  <c r="V73" i="157" s="1"/>
  <c r="W71" i="157"/>
  <c r="W73" i="157" s="1"/>
  <c r="X71" i="157"/>
  <c r="Y71" i="157"/>
  <c r="Z71" i="157"/>
  <c r="Z73" i="157" s="1"/>
  <c r="AA71" i="157"/>
  <c r="AB71" i="157"/>
  <c r="E29" i="157"/>
  <c r="F29" i="157"/>
  <c r="G29" i="157"/>
  <c r="H29" i="157"/>
  <c r="I29" i="157"/>
  <c r="J29" i="157"/>
  <c r="K29" i="157"/>
  <c r="L29" i="157"/>
  <c r="M29" i="157"/>
  <c r="N29" i="157"/>
  <c r="O29" i="157"/>
  <c r="P29" i="157"/>
  <c r="Q29" i="157"/>
  <c r="R29" i="157"/>
  <c r="S29" i="157"/>
  <c r="T29" i="157"/>
  <c r="U29" i="157"/>
  <c r="V29" i="157"/>
  <c r="W29" i="157"/>
  <c r="X29" i="157"/>
  <c r="Y29" i="157"/>
  <c r="Z29" i="157"/>
  <c r="AA29" i="157"/>
  <c r="AB29" i="157"/>
  <c r="E30" i="157"/>
  <c r="F30" i="157"/>
  <c r="G30" i="157"/>
  <c r="H30" i="157"/>
  <c r="I30" i="157"/>
  <c r="J30" i="157"/>
  <c r="K30" i="157"/>
  <c r="L30" i="157"/>
  <c r="M30" i="157"/>
  <c r="N30" i="157"/>
  <c r="O30" i="157"/>
  <c r="P30" i="157"/>
  <c r="Q30" i="157"/>
  <c r="R30" i="157"/>
  <c r="S30" i="157"/>
  <c r="T30" i="157"/>
  <c r="U30" i="157"/>
  <c r="V30" i="157"/>
  <c r="W30" i="157"/>
  <c r="X30" i="157"/>
  <c r="Y30" i="157"/>
  <c r="Z30" i="157"/>
  <c r="AA30" i="157"/>
  <c r="AB30" i="157"/>
  <c r="E31" i="157"/>
  <c r="F31" i="157"/>
  <c r="G31" i="157"/>
  <c r="H31" i="157"/>
  <c r="I31" i="157"/>
  <c r="J31" i="157"/>
  <c r="K31" i="157"/>
  <c r="L31" i="157"/>
  <c r="M31" i="157"/>
  <c r="N31" i="157"/>
  <c r="O31" i="157"/>
  <c r="P31" i="157"/>
  <c r="Q31" i="157"/>
  <c r="R31" i="157"/>
  <c r="S31" i="157"/>
  <c r="T31" i="157"/>
  <c r="U31" i="157"/>
  <c r="V31" i="157"/>
  <c r="W31" i="157"/>
  <c r="X31" i="157"/>
  <c r="Y31" i="157"/>
  <c r="Z31" i="157"/>
  <c r="AA31" i="157"/>
  <c r="AB31" i="157"/>
  <c r="E32" i="157"/>
  <c r="F32" i="157"/>
  <c r="G32" i="157"/>
  <c r="H32" i="157"/>
  <c r="I32" i="157"/>
  <c r="J32" i="157"/>
  <c r="K32" i="157"/>
  <c r="L32" i="157"/>
  <c r="M32" i="157"/>
  <c r="N32" i="157"/>
  <c r="O32" i="157"/>
  <c r="P32" i="157"/>
  <c r="Q32" i="157"/>
  <c r="R32" i="157"/>
  <c r="S32" i="157"/>
  <c r="T32" i="157"/>
  <c r="U32" i="157"/>
  <c r="V32" i="157"/>
  <c r="W32" i="157"/>
  <c r="X32" i="157"/>
  <c r="Y32" i="157"/>
  <c r="Z32" i="157"/>
  <c r="AA32" i="157"/>
  <c r="AB32" i="157"/>
  <c r="E33" i="157"/>
  <c r="F33" i="157"/>
  <c r="G33" i="157"/>
  <c r="H33" i="157"/>
  <c r="I33" i="157"/>
  <c r="J33" i="157"/>
  <c r="K33" i="157"/>
  <c r="L33" i="157"/>
  <c r="M33" i="157"/>
  <c r="N33" i="157"/>
  <c r="O33" i="157"/>
  <c r="P33" i="157"/>
  <c r="Q33" i="157"/>
  <c r="R33" i="157"/>
  <c r="S33" i="157"/>
  <c r="T33" i="157"/>
  <c r="U33" i="157"/>
  <c r="V33" i="157"/>
  <c r="W33" i="157"/>
  <c r="X33" i="157"/>
  <c r="Y33" i="157"/>
  <c r="Z33" i="157"/>
  <c r="AA33" i="157"/>
  <c r="AB33" i="157"/>
  <c r="E34" i="157"/>
  <c r="F34" i="157"/>
  <c r="G34" i="157"/>
  <c r="H34" i="157"/>
  <c r="I34" i="157"/>
  <c r="J34" i="157"/>
  <c r="K34" i="157"/>
  <c r="L34" i="157"/>
  <c r="M34" i="157"/>
  <c r="N34" i="157"/>
  <c r="O34" i="157"/>
  <c r="P34" i="157"/>
  <c r="Q34" i="157"/>
  <c r="R34" i="157"/>
  <c r="S34" i="157"/>
  <c r="T34" i="157"/>
  <c r="U34" i="157"/>
  <c r="V34" i="157"/>
  <c r="W34" i="157"/>
  <c r="X34" i="157"/>
  <c r="Y34" i="157"/>
  <c r="Z34" i="157"/>
  <c r="AA34" i="157"/>
  <c r="AB34" i="157"/>
  <c r="E18" i="157"/>
  <c r="F18" i="157"/>
  <c r="G18" i="157"/>
  <c r="H18" i="157"/>
  <c r="I18" i="157"/>
  <c r="J18" i="157"/>
  <c r="K18" i="157"/>
  <c r="L18" i="157"/>
  <c r="M18" i="157"/>
  <c r="N18" i="157"/>
  <c r="O18" i="157"/>
  <c r="P18" i="157"/>
  <c r="Q18" i="157"/>
  <c r="R18" i="157"/>
  <c r="S18" i="157"/>
  <c r="T18" i="157"/>
  <c r="U18" i="157"/>
  <c r="V18" i="157"/>
  <c r="W18" i="157"/>
  <c r="X18" i="157"/>
  <c r="Y18" i="157"/>
  <c r="Z18" i="157"/>
  <c r="AA18" i="157"/>
  <c r="AB18" i="157"/>
  <c r="E66" i="157"/>
  <c r="F66" i="157"/>
  <c r="G66" i="157"/>
  <c r="H66" i="157"/>
  <c r="I66" i="157"/>
  <c r="J66" i="157"/>
  <c r="K66" i="157"/>
  <c r="L66" i="157"/>
  <c r="M66" i="157"/>
  <c r="N66" i="157"/>
  <c r="O66" i="157"/>
  <c r="P66" i="157"/>
  <c r="Q66" i="157"/>
  <c r="R66" i="157"/>
  <c r="S66" i="157"/>
  <c r="T66" i="157"/>
  <c r="U66" i="157"/>
  <c r="V66" i="157"/>
  <c r="W66" i="157"/>
  <c r="X66" i="157"/>
  <c r="Y66" i="157"/>
  <c r="Z66" i="157"/>
  <c r="AA66" i="157"/>
  <c r="AB66" i="157"/>
  <c r="E13" i="157"/>
  <c r="F13" i="157"/>
  <c r="G13" i="157"/>
  <c r="H13" i="157"/>
  <c r="I13" i="157"/>
  <c r="J13" i="157"/>
  <c r="K13" i="157"/>
  <c r="L13" i="157"/>
  <c r="M13" i="157"/>
  <c r="N13" i="157"/>
  <c r="O13" i="157"/>
  <c r="P13" i="157"/>
  <c r="Q13" i="157"/>
  <c r="R13" i="157"/>
  <c r="S13" i="157"/>
  <c r="T13" i="157"/>
  <c r="U13" i="157"/>
  <c r="V13" i="157"/>
  <c r="W13" i="157"/>
  <c r="X13" i="157"/>
  <c r="Y13" i="157"/>
  <c r="Z13" i="157"/>
  <c r="AA13" i="157"/>
  <c r="AB13" i="157"/>
  <c r="E15" i="157"/>
  <c r="F15" i="157"/>
  <c r="G15" i="157"/>
  <c r="H15" i="157"/>
  <c r="I15" i="157"/>
  <c r="J15" i="157"/>
  <c r="K15" i="157"/>
  <c r="L15" i="157"/>
  <c r="M15" i="157"/>
  <c r="N15" i="157"/>
  <c r="O15" i="157"/>
  <c r="P15" i="157"/>
  <c r="Q15" i="157"/>
  <c r="R15" i="157"/>
  <c r="S15" i="157"/>
  <c r="T15" i="157"/>
  <c r="U15" i="157"/>
  <c r="V15" i="157"/>
  <c r="W15" i="157"/>
  <c r="X15" i="157"/>
  <c r="Y15" i="157"/>
  <c r="Z15" i="157"/>
  <c r="AA15" i="157"/>
  <c r="AB15" i="157"/>
  <c r="E35" i="157"/>
  <c r="F35" i="157"/>
  <c r="G35" i="157"/>
  <c r="H35" i="157"/>
  <c r="I35" i="157"/>
  <c r="J35" i="157"/>
  <c r="K35" i="157"/>
  <c r="L35" i="157"/>
  <c r="M35" i="157"/>
  <c r="N35" i="157"/>
  <c r="O35" i="157"/>
  <c r="P35" i="157"/>
  <c r="Q35" i="157"/>
  <c r="R35" i="157"/>
  <c r="S35" i="157"/>
  <c r="T35" i="157"/>
  <c r="U35" i="157"/>
  <c r="V35" i="157"/>
  <c r="X35" i="157"/>
  <c r="Y35" i="157"/>
  <c r="Z35" i="157"/>
  <c r="AA35" i="157"/>
  <c r="AB35" i="157"/>
  <c r="E36" i="157"/>
  <c r="F36" i="157"/>
  <c r="G36" i="157"/>
  <c r="H36" i="157"/>
  <c r="I36" i="157"/>
  <c r="J36" i="157"/>
  <c r="K36" i="157"/>
  <c r="L36" i="157"/>
  <c r="M36" i="157"/>
  <c r="N36" i="157"/>
  <c r="O36" i="157"/>
  <c r="P36" i="157"/>
  <c r="Q36" i="157"/>
  <c r="R36" i="157"/>
  <c r="S36" i="157"/>
  <c r="T36" i="157"/>
  <c r="U36" i="157"/>
  <c r="V36" i="157"/>
  <c r="W36" i="157"/>
  <c r="X36" i="157"/>
  <c r="Y36" i="157"/>
  <c r="Z36" i="157"/>
  <c r="AA36" i="157"/>
  <c r="AB36" i="157"/>
  <c r="E57" i="157"/>
  <c r="F57" i="157"/>
  <c r="G57" i="157"/>
  <c r="G60" i="157" s="1"/>
  <c r="H57" i="157"/>
  <c r="H60" i="157" s="1"/>
  <c r="I57" i="157"/>
  <c r="J57" i="157"/>
  <c r="K57" i="157"/>
  <c r="K60" i="157" s="1"/>
  <c r="L57" i="157"/>
  <c r="L60" i="157" s="1"/>
  <c r="M57" i="157"/>
  <c r="N57" i="157"/>
  <c r="O57" i="157"/>
  <c r="O60" i="157" s="1"/>
  <c r="P57" i="157"/>
  <c r="P60" i="157" s="1"/>
  <c r="Q57" i="157"/>
  <c r="R57" i="157"/>
  <c r="S57" i="157"/>
  <c r="S60" i="157" s="1"/>
  <c r="T57" i="157"/>
  <c r="T60" i="157" s="1"/>
  <c r="U57" i="157"/>
  <c r="V57" i="157"/>
  <c r="W57" i="157"/>
  <c r="W60" i="157" s="1"/>
  <c r="X57" i="157"/>
  <c r="X60" i="157" s="1"/>
  <c r="Y57" i="157"/>
  <c r="Z57" i="157"/>
  <c r="AA57" i="157"/>
  <c r="AB57" i="157"/>
  <c r="E37" i="157"/>
  <c r="F37" i="157"/>
  <c r="G37" i="157"/>
  <c r="H37" i="157"/>
  <c r="I37" i="157"/>
  <c r="J37" i="157"/>
  <c r="K37" i="157"/>
  <c r="L37" i="157"/>
  <c r="M37" i="157"/>
  <c r="N37" i="157"/>
  <c r="O37" i="157"/>
  <c r="P37" i="157"/>
  <c r="Q37" i="157"/>
  <c r="R37" i="157"/>
  <c r="S37" i="157"/>
  <c r="T37" i="157"/>
  <c r="U37" i="157"/>
  <c r="V37" i="157"/>
  <c r="W37" i="157"/>
  <c r="X37" i="157"/>
  <c r="Y37" i="157"/>
  <c r="Z37" i="157"/>
  <c r="AA37" i="157"/>
  <c r="AB37" i="157"/>
  <c r="E38" i="157"/>
  <c r="F38" i="157"/>
  <c r="G38" i="157"/>
  <c r="H38" i="157"/>
  <c r="I38" i="157"/>
  <c r="J38" i="157"/>
  <c r="K38" i="157"/>
  <c r="L38" i="157"/>
  <c r="M38" i="157"/>
  <c r="N38" i="157"/>
  <c r="O38" i="157"/>
  <c r="P38" i="157"/>
  <c r="Q38" i="157"/>
  <c r="R38" i="157"/>
  <c r="S38" i="157"/>
  <c r="T38" i="157"/>
  <c r="U38" i="157"/>
  <c r="V38" i="157"/>
  <c r="W38" i="157"/>
  <c r="X38" i="157"/>
  <c r="Y38" i="157"/>
  <c r="Z38" i="157"/>
  <c r="AA38" i="157"/>
  <c r="AB38" i="157"/>
  <c r="E39" i="157"/>
  <c r="F39" i="157"/>
  <c r="G39" i="157"/>
  <c r="H39" i="157"/>
  <c r="I39" i="157"/>
  <c r="J39" i="157"/>
  <c r="K39" i="157"/>
  <c r="L39" i="157"/>
  <c r="M39" i="157"/>
  <c r="N39" i="157"/>
  <c r="O39" i="157"/>
  <c r="P39" i="157"/>
  <c r="Q39" i="157"/>
  <c r="R39" i="157"/>
  <c r="S39" i="157"/>
  <c r="T39" i="157"/>
  <c r="U39" i="157"/>
  <c r="V39" i="157"/>
  <c r="W39" i="157"/>
  <c r="X39" i="157"/>
  <c r="Y39" i="157"/>
  <c r="Z39" i="157"/>
  <c r="AA39" i="157"/>
  <c r="AB39" i="157"/>
  <c r="E40" i="157"/>
  <c r="F40" i="157"/>
  <c r="G40" i="157"/>
  <c r="H40" i="157"/>
  <c r="I40" i="157"/>
  <c r="J40" i="157"/>
  <c r="K40" i="157"/>
  <c r="L40" i="157"/>
  <c r="M40" i="157"/>
  <c r="N40" i="157"/>
  <c r="O40" i="157"/>
  <c r="P40" i="157"/>
  <c r="Q40" i="157"/>
  <c r="R40" i="157"/>
  <c r="S40" i="157"/>
  <c r="T40" i="157"/>
  <c r="U40" i="157"/>
  <c r="V40" i="157"/>
  <c r="W40" i="157"/>
  <c r="X40" i="157"/>
  <c r="Y40" i="157"/>
  <c r="Z40" i="157"/>
  <c r="AA40" i="157"/>
  <c r="AB40" i="157"/>
  <c r="E41" i="157"/>
  <c r="F41" i="157"/>
  <c r="G41" i="157"/>
  <c r="H41" i="157"/>
  <c r="I41" i="157"/>
  <c r="J41" i="157"/>
  <c r="K41" i="157"/>
  <c r="L41" i="157"/>
  <c r="M41" i="157"/>
  <c r="N41" i="157"/>
  <c r="O41" i="157"/>
  <c r="P41" i="157"/>
  <c r="Q41" i="157"/>
  <c r="R41" i="157"/>
  <c r="S41" i="157"/>
  <c r="T41" i="157"/>
  <c r="U41" i="157"/>
  <c r="W41" i="157"/>
  <c r="X41" i="157"/>
  <c r="Y41" i="157"/>
  <c r="Z41" i="157"/>
  <c r="AA41" i="157"/>
  <c r="AB41" i="157"/>
  <c r="E42" i="157"/>
  <c r="F42" i="157"/>
  <c r="G42" i="157"/>
  <c r="H42" i="157"/>
  <c r="I42" i="157"/>
  <c r="J42" i="157"/>
  <c r="K42" i="157"/>
  <c r="L42" i="157"/>
  <c r="M42" i="157"/>
  <c r="N42" i="157"/>
  <c r="O42" i="157"/>
  <c r="P42" i="157"/>
  <c r="Q42" i="157"/>
  <c r="R42" i="157"/>
  <c r="S42" i="157"/>
  <c r="T42" i="157"/>
  <c r="U42" i="157"/>
  <c r="V42" i="157"/>
  <c r="W42" i="157"/>
  <c r="X42" i="157"/>
  <c r="Y42" i="157"/>
  <c r="Z42" i="157"/>
  <c r="AA42" i="157"/>
  <c r="AB42" i="157"/>
  <c r="E43" i="157"/>
  <c r="F43" i="157"/>
  <c r="G43" i="157"/>
  <c r="H43" i="157"/>
  <c r="I43" i="157"/>
  <c r="J43" i="157"/>
  <c r="K43" i="157"/>
  <c r="L43" i="157"/>
  <c r="M43" i="157"/>
  <c r="N43" i="157"/>
  <c r="O43" i="157"/>
  <c r="P43" i="157"/>
  <c r="Q43" i="157"/>
  <c r="R43" i="157"/>
  <c r="S43" i="157"/>
  <c r="T43" i="157"/>
  <c r="U43" i="157"/>
  <c r="V43" i="157"/>
  <c r="W43" i="157"/>
  <c r="X43" i="157"/>
  <c r="Y43" i="157"/>
  <c r="Z43" i="157"/>
  <c r="AA43" i="157"/>
  <c r="AB43" i="157"/>
  <c r="E16" i="157"/>
  <c r="F16" i="157"/>
  <c r="G16" i="157"/>
  <c r="H16" i="157"/>
  <c r="I16" i="157"/>
  <c r="J16" i="157"/>
  <c r="K16" i="157"/>
  <c r="L16" i="157"/>
  <c r="M16" i="157"/>
  <c r="N16" i="157"/>
  <c r="O16" i="157"/>
  <c r="P16" i="157"/>
  <c r="Q16" i="157"/>
  <c r="R16" i="157"/>
  <c r="S16" i="157"/>
  <c r="T16" i="157"/>
  <c r="U16" i="157"/>
  <c r="V16" i="157"/>
  <c r="W16" i="157"/>
  <c r="X16" i="157"/>
  <c r="Y16" i="157"/>
  <c r="Z16" i="157"/>
  <c r="AA16" i="157"/>
  <c r="AB16" i="157"/>
  <c r="E67" i="157"/>
  <c r="F67" i="157"/>
  <c r="G67" i="157"/>
  <c r="H67" i="157"/>
  <c r="I67" i="157"/>
  <c r="J67" i="157"/>
  <c r="K67" i="157"/>
  <c r="L67" i="157"/>
  <c r="M67" i="157"/>
  <c r="N67" i="157"/>
  <c r="O67" i="157"/>
  <c r="P67" i="157"/>
  <c r="Q67" i="157"/>
  <c r="R67" i="157"/>
  <c r="S67" i="157"/>
  <c r="T67" i="157"/>
  <c r="U67" i="157"/>
  <c r="V67" i="157"/>
  <c r="W67" i="157"/>
  <c r="X67" i="157"/>
  <c r="Y67" i="157"/>
  <c r="Z67" i="157"/>
  <c r="AA67" i="157"/>
  <c r="AB67" i="157"/>
  <c r="E44" i="157"/>
  <c r="F44" i="157"/>
  <c r="G44" i="157"/>
  <c r="H44" i="157"/>
  <c r="I44" i="157"/>
  <c r="J44" i="157"/>
  <c r="K44" i="157"/>
  <c r="L44" i="157"/>
  <c r="M44" i="157"/>
  <c r="N44" i="157"/>
  <c r="O44" i="157"/>
  <c r="P44" i="157"/>
  <c r="Q44" i="157"/>
  <c r="R44" i="157"/>
  <c r="S44" i="157"/>
  <c r="T44" i="157"/>
  <c r="U44" i="157"/>
  <c r="V44" i="157"/>
  <c r="W44" i="157"/>
  <c r="X44" i="157"/>
  <c r="Y44" i="157"/>
  <c r="Z44" i="157"/>
  <c r="AA44" i="157"/>
  <c r="AB44" i="157"/>
  <c r="E58" i="157"/>
  <c r="F58" i="157"/>
  <c r="G58" i="157"/>
  <c r="H58" i="157"/>
  <c r="I58" i="157"/>
  <c r="J58" i="157"/>
  <c r="K58" i="157"/>
  <c r="L58" i="157"/>
  <c r="M58" i="157"/>
  <c r="N58" i="157"/>
  <c r="O58" i="157"/>
  <c r="P58" i="157"/>
  <c r="Q58" i="157"/>
  <c r="R58" i="157"/>
  <c r="S58" i="157"/>
  <c r="T58" i="157"/>
  <c r="U58" i="157"/>
  <c r="V58" i="157"/>
  <c r="W58" i="157"/>
  <c r="X58" i="157"/>
  <c r="Y58" i="157"/>
  <c r="Z58" i="157"/>
  <c r="AA58" i="157"/>
  <c r="AB58" i="157"/>
  <c r="E8" i="157"/>
  <c r="E9" i="157" s="1"/>
  <c r="F8" i="157"/>
  <c r="F9" i="157" s="1"/>
  <c r="G8" i="157"/>
  <c r="G9" i="157" s="1"/>
  <c r="H8" i="157"/>
  <c r="H9" i="157" s="1"/>
  <c r="I8" i="157"/>
  <c r="I9" i="157" s="1"/>
  <c r="J8" i="157"/>
  <c r="J9" i="157" s="1"/>
  <c r="K8" i="157"/>
  <c r="K9" i="157" s="1"/>
  <c r="L8" i="157"/>
  <c r="L9" i="157" s="1"/>
  <c r="M8" i="157"/>
  <c r="M9" i="157" s="1"/>
  <c r="N8" i="157"/>
  <c r="N9" i="157" s="1"/>
  <c r="O8" i="157"/>
  <c r="O9" i="157" s="1"/>
  <c r="P8" i="157"/>
  <c r="P9" i="157" s="1"/>
  <c r="Q8" i="157"/>
  <c r="Q9" i="157" s="1"/>
  <c r="R8" i="157"/>
  <c r="R9" i="157" s="1"/>
  <c r="S8" i="157"/>
  <c r="S9" i="157" s="1"/>
  <c r="T8" i="157"/>
  <c r="T9" i="157" s="1"/>
  <c r="U8" i="157"/>
  <c r="U9" i="157" s="1"/>
  <c r="V8" i="157"/>
  <c r="V9" i="157" s="1"/>
  <c r="W8" i="157"/>
  <c r="W9" i="157" s="1"/>
  <c r="X8" i="157"/>
  <c r="X9" i="157" s="1"/>
  <c r="Y8" i="157"/>
  <c r="Y9" i="157" s="1"/>
  <c r="Z8" i="157"/>
  <c r="Z9" i="157" s="1"/>
  <c r="AA8" i="157"/>
  <c r="AB8" i="157"/>
  <c r="E45" i="157"/>
  <c r="F45" i="157"/>
  <c r="G45" i="157"/>
  <c r="H45" i="157"/>
  <c r="I45" i="157"/>
  <c r="J45" i="157"/>
  <c r="K45" i="157"/>
  <c r="L45" i="157"/>
  <c r="M45" i="157"/>
  <c r="N45" i="157"/>
  <c r="O45" i="157"/>
  <c r="P45" i="157"/>
  <c r="Q45" i="157"/>
  <c r="R45" i="157"/>
  <c r="S45" i="157"/>
  <c r="T45" i="157"/>
  <c r="U45" i="157"/>
  <c r="V45" i="157"/>
  <c r="W45" i="157"/>
  <c r="X45" i="157"/>
  <c r="Y45" i="157"/>
  <c r="Z45" i="157"/>
  <c r="AA45" i="157"/>
  <c r="AB45" i="157"/>
  <c r="E68" i="157"/>
  <c r="F68" i="157"/>
  <c r="G68" i="157"/>
  <c r="H68" i="157"/>
  <c r="I68" i="157"/>
  <c r="J68" i="157"/>
  <c r="K68" i="157"/>
  <c r="L68" i="157"/>
  <c r="M68" i="157"/>
  <c r="N68" i="157"/>
  <c r="O68" i="157"/>
  <c r="P68" i="157"/>
  <c r="Q68" i="157"/>
  <c r="R68" i="157"/>
  <c r="S68" i="157"/>
  <c r="T68" i="157"/>
  <c r="U68" i="157"/>
  <c r="V68" i="157"/>
  <c r="W68" i="157"/>
  <c r="X68" i="157"/>
  <c r="Y68" i="157"/>
  <c r="Z68" i="157"/>
  <c r="AA68" i="157"/>
  <c r="AB68" i="157"/>
  <c r="E72" i="157"/>
  <c r="F72" i="157"/>
  <c r="G72" i="157"/>
  <c r="H72" i="157"/>
  <c r="I72" i="157"/>
  <c r="J72" i="157"/>
  <c r="K72" i="157"/>
  <c r="L72" i="157"/>
  <c r="M72" i="157"/>
  <c r="N72" i="157"/>
  <c r="O72" i="157"/>
  <c r="P72" i="157"/>
  <c r="Q72" i="157"/>
  <c r="R72" i="157"/>
  <c r="S72" i="157"/>
  <c r="T72" i="157"/>
  <c r="U72" i="157"/>
  <c r="V72" i="157"/>
  <c r="W72" i="157"/>
  <c r="X72" i="157"/>
  <c r="Y72" i="157"/>
  <c r="Z72" i="157"/>
  <c r="AA72" i="157"/>
  <c r="AB72" i="157"/>
  <c r="E46" i="157"/>
  <c r="F46" i="157"/>
  <c r="G46" i="157"/>
  <c r="H46" i="157"/>
  <c r="I46" i="157"/>
  <c r="J46" i="157"/>
  <c r="K46" i="157"/>
  <c r="L46" i="157"/>
  <c r="M46" i="157"/>
  <c r="N46" i="157"/>
  <c r="O46" i="157"/>
  <c r="P46" i="157"/>
  <c r="Q46" i="157"/>
  <c r="R46" i="157"/>
  <c r="S46" i="157"/>
  <c r="T46" i="157"/>
  <c r="U46" i="157"/>
  <c r="V46" i="157"/>
  <c r="W46" i="157"/>
  <c r="X46" i="157"/>
  <c r="Y46" i="157"/>
  <c r="Z46" i="157"/>
  <c r="AA46" i="157"/>
  <c r="AB46" i="157"/>
  <c r="E63" i="157"/>
  <c r="F63" i="157"/>
  <c r="G63" i="157"/>
  <c r="H63" i="157"/>
  <c r="I63" i="157"/>
  <c r="J63" i="157"/>
  <c r="K63" i="157"/>
  <c r="L63" i="157"/>
  <c r="M63" i="157"/>
  <c r="N63" i="157"/>
  <c r="O63" i="157"/>
  <c r="P63" i="157"/>
  <c r="Q63" i="157"/>
  <c r="R63" i="157"/>
  <c r="S63" i="157"/>
  <c r="T63" i="157"/>
  <c r="U63" i="157"/>
  <c r="V63" i="157"/>
  <c r="W63" i="157"/>
  <c r="X63" i="157"/>
  <c r="Y63" i="157"/>
  <c r="Z63" i="157"/>
  <c r="AA63" i="157"/>
  <c r="AB63" i="157"/>
  <c r="E47" i="157"/>
  <c r="F47" i="157"/>
  <c r="G47" i="157"/>
  <c r="H47" i="157"/>
  <c r="I47" i="157"/>
  <c r="J47" i="157"/>
  <c r="K47" i="157"/>
  <c r="L47" i="157"/>
  <c r="M47" i="157"/>
  <c r="N47" i="157"/>
  <c r="O47" i="157"/>
  <c r="P47" i="157"/>
  <c r="Q47" i="157"/>
  <c r="R47" i="157"/>
  <c r="S47" i="157"/>
  <c r="T47" i="157"/>
  <c r="U47" i="157"/>
  <c r="V47" i="157"/>
  <c r="W47" i="157"/>
  <c r="X47" i="157"/>
  <c r="Y47" i="157"/>
  <c r="Z47" i="157"/>
  <c r="AA47" i="157"/>
  <c r="AB47" i="157"/>
  <c r="E48" i="157"/>
  <c r="F48" i="157"/>
  <c r="G48" i="157"/>
  <c r="H48" i="157"/>
  <c r="I48" i="157"/>
  <c r="J48" i="157"/>
  <c r="K48" i="157"/>
  <c r="L48" i="157"/>
  <c r="M48" i="157"/>
  <c r="N48" i="157"/>
  <c r="O48" i="157"/>
  <c r="P48" i="157"/>
  <c r="Q48" i="157"/>
  <c r="R48" i="157"/>
  <c r="S48" i="157"/>
  <c r="T48" i="157"/>
  <c r="U48" i="157"/>
  <c r="V48" i="157"/>
  <c r="X48" i="157"/>
  <c r="Y48" i="157"/>
  <c r="Z48" i="157"/>
  <c r="AA48" i="157"/>
  <c r="AB48" i="157"/>
  <c r="E61" i="157"/>
  <c r="F61" i="157"/>
  <c r="G61" i="157"/>
  <c r="H61" i="157"/>
  <c r="I61" i="157"/>
  <c r="J61" i="157"/>
  <c r="K61" i="157"/>
  <c r="L61" i="157"/>
  <c r="M61" i="157"/>
  <c r="N61" i="157"/>
  <c r="O61" i="157"/>
  <c r="P61" i="157"/>
  <c r="Q61" i="157"/>
  <c r="R61" i="157"/>
  <c r="S61" i="157"/>
  <c r="T61" i="157"/>
  <c r="U61" i="157"/>
  <c r="V61" i="157"/>
  <c r="W61" i="157"/>
  <c r="X61" i="157"/>
  <c r="Y61" i="157"/>
  <c r="Z61" i="157"/>
  <c r="AA61" i="157"/>
  <c r="AB61" i="157"/>
  <c r="E49" i="157"/>
  <c r="F49" i="157"/>
  <c r="G49" i="157"/>
  <c r="H49" i="157"/>
  <c r="I49" i="157"/>
  <c r="J49" i="157"/>
  <c r="K49" i="157"/>
  <c r="L49" i="157"/>
  <c r="M49" i="157"/>
  <c r="N49" i="157"/>
  <c r="O49" i="157"/>
  <c r="P49" i="157"/>
  <c r="Q49" i="157"/>
  <c r="R49" i="157"/>
  <c r="S49" i="157"/>
  <c r="T49" i="157"/>
  <c r="U49" i="157"/>
  <c r="V49" i="157"/>
  <c r="W49" i="157"/>
  <c r="X49" i="157"/>
  <c r="Y49" i="157"/>
  <c r="Z49" i="157"/>
  <c r="AA49" i="157"/>
  <c r="AB49" i="157"/>
  <c r="E50" i="157"/>
  <c r="F50" i="157"/>
  <c r="G50" i="157"/>
  <c r="H50" i="157"/>
  <c r="I50" i="157"/>
  <c r="J50" i="157"/>
  <c r="K50" i="157"/>
  <c r="L50" i="157"/>
  <c r="M50" i="157"/>
  <c r="N50" i="157"/>
  <c r="O50" i="157"/>
  <c r="P50" i="157"/>
  <c r="Q50" i="157"/>
  <c r="R50" i="157"/>
  <c r="S50" i="157"/>
  <c r="T50" i="157"/>
  <c r="U50" i="157"/>
  <c r="V50" i="157"/>
  <c r="W50" i="157"/>
  <c r="X50" i="157"/>
  <c r="Y50" i="157"/>
  <c r="Z50" i="157"/>
  <c r="AA50" i="157"/>
  <c r="AB50" i="157"/>
  <c r="E51" i="157"/>
  <c r="F51" i="157"/>
  <c r="G51" i="157"/>
  <c r="H51" i="157"/>
  <c r="I51" i="157"/>
  <c r="J51" i="157"/>
  <c r="K51" i="157"/>
  <c r="L51" i="157"/>
  <c r="M51" i="157"/>
  <c r="N51" i="157"/>
  <c r="O51" i="157"/>
  <c r="P51" i="157"/>
  <c r="Q51" i="157"/>
  <c r="R51" i="157"/>
  <c r="S51" i="157"/>
  <c r="T51" i="157"/>
  <c r="U51" i="157"/>
  <c r="V51" i="157"/>
  <c r="W51" i="157"/>
  <c r="X51" i="157"/>
  <c r="Y51" i="157"/>
  <c r="Z51" i="157"/>
  <c r="AA51" i="157"/>
  <c r="AB51" i="157"/>
  <c r="E69" i="157"/>
  <c r="F69" i="157"/>
  <c r="G69" i="157"/>
  <c r="H69" i="157"/>
  <c r="I69" i="157"/>
  <c r="J69" i="157"/>
  <c r="K69" i="157"/>
  <c r="L69" i="157"/>
  <c r="M69" i="157"/>
  <c r="N69" i="157"/>
  <c r="O69" i="157"/>
  <c r="P69" i="157"/>
  <c r="Q69" i="157"/>
  <c r="R69" i="157"/>
  <c r="S69" i="157"/>
  <c r="T69" i="157"/>
  <c r="U69" i="157"/>
  <c r="V69" i="157"/>
  <c r="W69" i="157"/>
  <c r="X69" i="157"/>
  <c r="Y69" i="157"/>
  <c r="Z69" i="157"/>
  <c r="AA69" i="157"/>
  <c r="AB69" i="157"/>
  <c r="E52" i="157"/>
  <c r="F52" i="157"/>
  <c r="G52" i="157"/>
  <c r="H52" i="157"/>
  <c r="I52" i="157"/>
  <c r="J52" i="157"/>
  <c r="K52" i="157"/>
  <c r="L52" i="157"/>
  <c r="M52" i="157"/>
  <c r="N52" i="157"/>
  <c r="O52" i="157"/>
  <c r="P52" i="157"/>
  <c r="Q52" i="157"/>
  <c r="R52" i="157"/>
  <c r="S52" i="157"/>
  <c r="T52" i="157"/>
  <c r="U52" i="157"/>
  <c r="V52" i="157"/>
  <c r="W52" i="157"/>
  <c r="X52" i="157"/>
  <c r="Y52" i="157"/>
  <c r="Z52" i="157"/>
  <c r="AA52" i="157"/>
  <c r="AB52" i="157"/>
  <c r="E77" i="157"/>
  <c r="F77" i="157"/>
  <c r="G77" i="157"/>
  <c r="H77" i="157"/>
  <c r="I77" i="157"/>
  <c r="J77" i="157"/>
  <c r="K77" i="157"/>
  <c r="L77" i="157"/>
  <c r="M77" i="157"/>
  <c r="N77" i="157"/>
  <c r="O77" i="157"/>
  <c r="P77" i="157"/>
  <c r="Q77" i="157"/>
  <c r="R77" i="157"/>
  <c r="S77" i="157"/>
  <c r="T77" i="157"/>
  <c r="U77" i="157"/>
  <c r="V77" i="157"/>
  <c r="W77" i="157"/>
  <c r="X77" i="157"/>
  <c r="Y77" i="157"/>
  <c r="Z77" i="157"/>
  <c r="AA77" i="157"/>
  <c r="AB77" i="157"/>
  <c r="E53" i="157"/>
  <c r="F53" i="157"/>
  <c r="G53" i="157"/>
  <c r="H53" i="157"/>
  <c r="I53" i="157"/>
  <c r="J53" i="157"/>
  <c r="K53" i="157"/>
  <c r="L53" i="157"/>
  <c r="M53" i="157"/>
  <c r="N53" i="157"/>
  <c r="O53" i="157"/>
  <c r="P53" i="157"/>
  <c r="Q53" i="157"/>
  <c r="R53" i="157"/>
  <c r="S53" i="157"/>
  <c r="T53" i="157"/>
  <c r="U53" i="157"/>
  <c r="V53" i="157"/>
  <c r="W53" i="157"/>
  <c r="X53" i="157"/>
  <c r="Y53" i="157"/>
  <c r="Z53" i="157"/>
  <c r="AA53" i="157"/>
  <c r="AB53" i="157"/>
  <c r="E54" i="157"/>
  <c r="F54" i="157"/>
  <c r="G54" i="157"/>
  <c r="H54" i="157"/>
  <c r="I54" i="157"/>
  <c r="J54" i="157"/>
  <c r="K54" i="157"/>
  <c r="L54" i="157"/>
  <c r="M54" i="157"/>
  <c r="N54" i="157"/>
  <c r="O54" i="157"/>
  <c r="P54" i="157"/>
  <c r="Q54" i="157"/>
  <c r="R54" i="157"/>
  <c r="S54" i="157"/>
  <c r="T54" i="157"/>
  <c r="U54" i="157"/>
  <c r="V54" i="157"/>
  <c r="W54" i="157"/>
  <c r="X54" i="157"/>
  <c r="Y54" i="157"/>
  <c r="Z54" i="157"/>
  <c r="AA54" i="157"/>
  <c r="AB54" i="157"/>
  <c r="E59" i="157"/>
  <c r="F59" i="157"/>
  <c r="G59" i="157"/>
  <c r="H59" i="157"/>
  <c r="I59" i="157"/>
  <c r="J59" i="157"/>
  <c r="K59" i="157"/>
  <c r="L59" i="157"/>
  <c r="M59" i="157"/>
  <c r="N59" i="157"/>
  <c r="O59" i="157"/>
  <c r="P59" i="157"/>
  <c r="Q59" i="157"/>
  <c r="R59" i="157"/>
  <c r="S59" i="157"/>
  <c r="T59" i="157"/>
  <c r="U59" i="157"/>
  <c r="V59" i="157"/>
  <c r="W59" i="157"/>
  <c r="X59" i="157"/>
  <c r="Y59" i="157"/>
  <c r="Z59" i="157"/>
  <c r="AA59" i="157"/>
  <c r="AB59" i="157"/>
  <c r="E78" i="157"/>
  <c r="F78" i="157"/>
  <c r="G78" i="157"/>
  <c r="H78" i="157"/>
  <c r="I78" i="157"/>
  <c r="J78" i="157"/>
  <c r="K78" i="157"/>
  <c r="L78" i="157"/>
  <c r="M78" i="157"/>
  <c r="N78" i="157"/>
  <c r="O78" i="157"/>
  <c r="P78" i="157"/>
  <c r="Q78" i="157"/>
  <c r="R78" i="157"/>
  <c r="S78" i="157"/>
  <c r="T78" i="157"/>
  <c r="U78" i="157"/>
  <c r="V78" i="157"/>
  <c r="W78" i="157"/>
  <c r="X78" i="157"/>
  <c r="Y78" i="157"/>
  <c r="Z78" i="157"/>
  <c r="AA78" i="157"/>
  <c r="AB78" i="157"/>
  <c r="E6" i="157"/>
  <c r="E7" i="157" s="1"/>
  <c r="F6" i="157"/>
  <c r="F7" i="157" s="1"/>
  <c r="G6" i="157"/>
  <c r="G7" i="157" s="1"/>
  <c r="H6" i="157"/>
  <c r="H7" i="157" s="1"/>
  <c r="I6" i="157"/>
  <c r="I7" i="157" s="1"/>
  <c r="J6" i="157"/>
  <c r="J7" i="157" s="1"/>
  <c r="K6" i="157"/>
  <c r="K7" i="157" s="1"/>
  <c r="L6" i="157"/>
  <c r="L7" i="157" s="1"/>
  <c r="M6" i="157"/>
  <c r="M7" i="157" s="1"/>
  <c r="N6" i="157"/>
  <c r="N7" i="157" s="1"/>
  <c r="O6" i="157"/>
  <c r="O7" i="157" s="1"/>
  <c r="P6" i="157"/>
  <c r="P7" i="157" s="1"/>
  <c r="Q6" i="157"/>
  <c r="Q7" i="157" s="1"/>
  <c r="R6" i="157"/>
  <c r="R7" i="157" s="1"/>
  <c r="S6" i="157"/>
  <c r="S7" i="157" s="1"/>
  <c r="T6" i="157"/>
  <c r="T7" i="157" s="1"/>
  <c r="U6" i="157"/>
  <c r="U7" i="157" s="1"/>
  <c r="V6" i="157"/>
  <c r="V7" i="157" s="1"/>
  <c r="W6" i="157"/>
  <c r="W7" i="157" s="1"/>
  <c r="X6" i="157"/>
  <c r="X7" i="157" s="1"/>
  <c r="Y6" i="157"/>
  <c r="Y7" i="157" s="1"/>
  <c r="Z6" i="157"/>
  <c r="Z7" i="157" s="1"/>
  <c r="AA6" i="157"/>
  <c r="AB6" i="157"/>
  <c r="E79" i="157"/>
  <c r="F79" i="157"/>
  <c r="G79" i="157"/>
  <c r="H79" i="157"/>
  <c r="I79" i="157"/>
  <c r="J79" i="157"/>
  <c r="K79" i="157"/>
  <c r="L79" i="157"/>
  <c r="M79" i="157"/>
  <c r="N79" i="157"/>
  <c r="O79" i="157"/>
  <c r="P79" i="157"/>
  <c r="Q79" i="157"/>
  <c r="R79" i="157"/>
  <c r="S79" i="157"/>
  <c r="T79" i="157"/>
  <c r="U79" i="157"/>
  <c r="V79" i="157"/>
  <c r="V80" i="157" s="1"/>
  <c r="X79" i="157"/>
  <c r="Y79" i="157"/>
  <c r="Z79" i="157"/>
  <c r="AA79" i="157"/>
  <c r="AB79" i="157"/>
  <c r="D19" i="157"/>
  <c r="D65" i="157"/>
  <c r="D21" i="157"/>
  <c r="D22" i="157"/>
  <c r="D74" i="157"/>
  <c r="D75" i="157"/>
  <c r="D23" i="157"/>
  <c r="D24" i="157"/>
  <c r="D25" i="157"/>
  <c r="D76" i="157"/>
  <c r="D26" i="157"/>
  <c r="D27" i="157"/>
  <c r="D14" i="157"/>
  <c r="D28" i="157"/>
  <c r="D55" i="157"/>
  <c r="D12" i="157"/>
  <c r="D17" i="157"/>
  <c r="D71" i="157"/>
  <c r="D29" i="157"/>
  <c r="D30" i="157"/>
  <c r="D31" i="157"/>
  <c r="D32" i="157"/>
  <c r="D33" i="157"/>
  <c r="D34" i="157"/>
  <c r="D18" i="157"/>
  <c r="D66" i="157"/>
  <c r="D13" i="157"/>
  <c r="D15" i="157"/>
  <c r="D35" i="157"/>
  <c r="D36" i="157"/>
  <c r="D57" i="157"/>
  <c r="D60" i="157" s="1"/>
  <c r="D37" i="157"/>
  <c r="D38" i="157"/>
  <c r="D39" i="157"/>
  <c r="D40" i="157"/>
  <c r="D41" i="157"/>
  <c r="D42" i="157"/>
  <c r="D43" i="157"/>
  <c r="D16" i="157"/>
  <c r="D67" i="157"/>
  <c r="D44" i="157"/>
  <c r="D58" i="157"/>
  <c r="D8" i="157"/>
  <c r="D9" i="157" s="1"/>
  <c r="D45" i="157"/>
  <c r="D68" i="157"/>
  <c r="D72" i="157"/>
  <c r="D46" i="157"/>
  <c r="D63" i="157"/>
  <c r="D47" i="157"/>
  <c r="D48" i="157"/>
  <c r="D61" i="157"/>
  <c r="D49" i="157"/>
  <c r="D50" i="157"/>
  <c r="D51" i="157"/>
  <c r="D69" i="157"/>
  <c r="D52" i="157"/>
  <c r="D77" i="157"/>
  <c r="D53" i="157"/>
  <c r="D54" i="157"/>
  <c r="D59" i="157"/>
  <c r="D78" i="157"/>
  <c r="D6" i="157"/>
  <c r="D7" i="157" s="1"/>
  <c r="B6" i="97" s="1"/>
  <c r="D79" i="157"/>
  <c r="D10" i="157"/>
  <c r="D11" i="157" s="1"/>
  <c r="E6" i="156"/>
  <c r="G6" i="156"/>
  <c r="H6" i="156"/>
  <c r="I6" i="156"/>
  <c r="J6" i="156"/>
  <c r="Q6" i="156"/>
  <c r="Q11" i="156" s="1"/>
  <c r="R6" i="156"/>
  <c r="V6" i="156"/>
  <c r="X6" i="156"/>
  <c r="Y6" i="156"/>
  <c r="Z6" i="156"/>
  <c r="AA6" i="156"/>
  <c r="AB6" i="156"/>
  <c r="E7" i="156"/>
  <c r="G7" i="156"/>
  <c r="H7" i="156"/>
  <c r="I7" i="156"/>
  <c r="J7" i="156"/>
  <c r="N7" i="156"/>
  <c r="Q7" i="156"/>
  <c r="R7" i="156"/>
  <c r="V7" i="156"/>
  <c r="X7" i="156"/>
  <c r="Y7" i="156"/>
  <c r="Z7" i="156"/>
  <c r="AA7" i="156"/>
  <c r="AB7" i="156"/>
  <c r="E8" i="156"/>
  <c r="G8" i="156"/>
  <c r="H8" i="156"/>
  <c r="I8" i="156"/>
  <c r="J8" i="156"/>
  <c r="N8" i="156"/>
  <c r="Q8" i="156"/>
  <c r="R8" i="156"/>
  <c r="V8" i="156"/>
  <c r="X8" i="156"/>
  <c r="Y8" i="156"/>
  <c r="Z8" i="156"/>
  <c r="AA8" i="156"/>
  <c r="AB8" i="156"/>
  <c r="E9" i="156"/>
  <c r="G9" i="156"/>
  <c r="H9" i="156"/>
  <c r="I9" i="156"/>
  <c r="J9" i="156"/>
  <c r="N9" i="156"/>
  <c r="Q9" i="156"/>
  <c r="R9" i="156"/>
  <c r="V9" i="156"/>
  <c r="X9" i="156"/>
  <c r="Y9" i="156"/>
  <c r="Y11" i="156" s="1"/>
  <c r="Z9" i="156"/>
  <c r="AA9" i="156"/>
  <c r="AB9" i="156"/>
  <c r="E10" i="156"/>
  <c r="G10" i="156"/>
  <c r="H10" i="156"/>
  <c r="I10" i="156"/>
  <c r="J10" i="156"/>
  <c r="N10" i="156"/>
  <c r="Q10" i="156"/>
  <c r="R10" i="156"/>
  <c r="V10" i="156"/>
  <c r="X10" i="156"/>
  <c r="Y10" i="156"/>
  <c r="Z10" i="156"/>
  <c r="AA10" i="156"/>
  <c r="AB10" i="156"/>
  <c r="D7" i="156"/>
  <c r="D8" i="156"/>
  <c r="D9" i="156"/>
  <c r="A7" i="156"/>
  <c r="A8" i="156" s="1"/>
  <c r="A9" i="156" s="1"/>
  <c r="A10" i="156" s="1"/>
  <c r="A11" i="156" s="1"/>
  <c r="E9" i="155"/>
  <c r="G9" i="155"/>
  <c r="H9" i="155"/>
  <c r="I9" i="155"/>
  <c r="J9" i="155"/>
  <c r="N9" i="155"/>
  <c r="Q9" i="155"/>
  <c r="R9" i="155"/>
  <c r="V9" i="155"/>
  <c r="X9" i="155"/>
  <c r="Y9" i="155"/>
  <c r="Z9" i="155"/>
  <c r="AA9" i="155"/>
  <c r="AB9" i="155"/>
  <c r="E10" i="155"/>
  <c r="G10" i="155"/>
  <c r="H10" i="155"/>
  <c r="I10" i="155"/>
  <c r="J10" i="155"/>
  <c r="N10" i="155"/>
  <c r="Q10" i="155"/>
  <c r="R10" i="155"/>
  <c r="V10" i="155"/>
  <c r="X10" i="155"/>
  <c r="Y10" i="155"/>
  <c r="Z10" i="155"/>
  <c r="AA10" i="155"/>
  <c r="AB10" i="155"/>
  <c r="E6" i="155"/>
  <c r="E7" i="155" s="1"/>
  <c r="G6" i="155"/>
  <c r="G7" i="155" s="1"/>
  <c r="H6" i="155"/>
  <c r="H7" i="155" s="1"/>
  <c r="I6" i="155"/>
  <c r="I7" i="155" s="1"/>
  <c r="J6" i="155"/>
  <c r="J7" i="155" s="1"/>
  <c r="N6" i="155"/>
  <c r="N7" i="155" s="1"/>
  <c r="Q6" i="155"/>
  <c r="Q7" i="155" s="1"/>
  <c r="R6" i="155"/>
  <c r="R7" i="155" s="1"/>
  <c r="V6" i="155"/>
  <c r="V7" i="155" s="1"/>
  <c r="X6" i="155"/>
  <c r="X7" i="155" s="1"/>
  <c r="Y6" i="155"/>
  <c r="Y7" i="155" s="1"/>
  <c r="Z6" i="155"/>
  <c r="Z7" i="155" s="1"/>
  <c r="AA6" i="155"/>
  <c r="AB6" i="155"/>
  <c r="E11" i="155"/>
  <c r="G11" i="155"/>
  <c r="H11" i="155"/>
  <c r="I11" i="155"/>
  <c r="J11" i="155"/>
  <c r="Q11" i="155"/>
  <c r="R11" i="155"/>
  <c r="V11" i="155"/>
  <c r="X11" i="155"/>
  <c r="Y11" i="155"/>
  <c r="Z11" i="155"/>
  <c r="AA11" i="155"/>
  <c r="AB11" i="155"/>
  <c r="E12" i="155"/>
  <c r="G12" i="155"/>
  <c r="H12" i="155"/>
  <c r="I12" i="155"/>
  <c r="J12" i="155"/>
  <c r="N12" i="155"/>
  <c r="Q12" i="155"/>
  <c r="R12" i="155"/>
  <c r="V12" i="155"/>
  <c r="X12" i="155"/>
  <c r="Y12" i="155"/>
  <c r="Z12" i="155"/>
  <c r="AA12" i="155"/>
  <c r="AB12" i="155"/>
  <c r="E13" i="155"/>
  <c r="G13" i="155"/>
  <c r="H13" i="155"/>
  <c r="I13" i="155"/>
  <c r="J13" i="155"/>
  <c r="Q13" i="155"/>
  <c r="R13" i="155"/>
  <c r="V13" i="155"/>
  <c r="X13" i="155"/>
  <c r="Y13" i="155"/>
  <c r="Z13" i="155"/>
  <c r="AA13" i="155"/>
  <c r="AB13" i="155"/>
  <c r="E14" i="155"/>
  <c r="G14" i="155"/>
  <c r="H14" i="155"/>
  <c r="I14" i="155"/>
  <c r="J14" i="155"/>
  <c r="N14" i="155"/>
  <c r="Q14" i="155"/>
  <c r="R14" i="155"/>
  <c r="V14" i="155"/>
  <c r="X14" i="155"/>
  <c r="Y14" i="155"/>
  <c r="Z14" i="155"/>
  <c r="AA14" i="155"/>
  <c r="AB14" i="155"/>
  <c r="E15" i="155"/>
  <c r="G15" i="155"/>
  <c r="H15" i="155"/>
  <c r="I15" i="155"/>
  <c r="J15" i="155"/>
  <c r="Q15" i="155"/>
  <c r="R15" i="155"/>
  <c r="V15" i="155"/>
  <c r="X15" i="155"/>
  <c r="Y15" i="155"/>
  <c r="Z15" i="155"/>
  <c r="AA15" i="155"/>
  <c r="AB15" i="155"/>
  <c r="E16" i="155"/>
  <c r="G16" i="155"/>
  <c r="H16" i="155"/>
  <c r="I16" i="155"/>
  <c r="J16" i="155"/>
  <c r="N16" i="155"/>
  <c r="Q16" i="155"/>
  <c r="R16" i="155"/>
  <c r="V16" i="155"/>
  <c r="X16" i="155"/>
  <c r="Y16" i="155"/>
  <c r="Z16" i="155"/>
  <c r="AA16" i="155"/>
  <c r="AB16" i="155"/>
  <c r="E8" i="155"/>
  <c r="G8" i="155"/>
  <c r="H8" i="155"/>
  <c r="I8" i="155"/>
  <c r="J8" i="155"/>
  <c r="Q8" i="155"/>
  <c r="R8" i="155"/>
  <c r="V8" i="155"/>
  <c r="X8" i="155"/>
  <c r="Y8" i="155"/>
  <c r="Z8" i="155"/>
  <c r="AA8" i="155"/>
  <c r="E17" i="155"/>
  <c r="G17" i="155"/>
  <c r="H17" i="155"/>
  <c r="I17" i="155"/>
  <c r="J17" i="155"/>
  <c r="N17" i="155"/>
  <c r="Q17" i="155"/>
  <c r="R17" i="155"/>
  <c r="V17" i="155"/>
  <c r="X17" i="155"/>
  <c r="Y17" i="155"/>
  <c r="Z17" i="155"/>
  <c r="AA17" i="155"/>
  <c r="AB17" i="155"/>
  <c r="E18" i="155"/>
  <c r="G18" i="155"/>
  <c r="H18" i="155"/>
  <c r="I18" i="155"/>
  <c r="J18" i="155"/>
  <c r="N18" i="155"/>
  <c r="Q18" i="155"/>
  <c r="R18" i="155"/>
  <c r="V18" i="155"/>
  <c r="X18" i="155"/>
  <c r="Y18" i="155"/>
  <c r="Z18" i="155"/>
  <c r="AA18" i="155"/>
  <c r="AB18" i="155"/>
  <c r="E19" i="155"/>
  <c r="G19" i="155"/>
  <c r="H19" i="155"/>
  <c r="I19" i="155"/>
  <c r="J19" i="155"/>
  <c r="N19" i="155"/>
  <c r="Q19" i="155"/>
  <c r="R19" i="155"/>
  <c r="V19" i="155"/>
  <c r="X19" i="155"/>
  <c r="Y19" i="155"/>
  <c r="Z19" i="155"/>
  <c r="AA19" i="155"/>
  <c r="AB19" i="155"/>
  <c r="E20" i="155"/>
  <c r="G20" i="155"/>
  <c r="H20" i="155"/>
  <c r="I20" i="155"/>
  <c r="J20" i="155"/>
  <c r="N20" i="155"/>
  <c r="Q20" i="155"/>
  <c r="R20" i="155"/>
  <c r="V20" i="155"/>
  <c r="X20" i="155"/>
  <c r="Y20" i="155"/>
  <c r="Z20" i="155"/>
  <c r="AA20" i="155"/>
  <c r="AB20" i="155"/>
  <c r="E21" i="155"/>
  <c r="G21" i="155"/>
  <c r="H21" i="155"/>
  <c r="I21" i="155"/>
  <c r="J21" i="155"/>
  <c r="Q21" i="155"/>
  <c r="R21" i="155"/>
  <c r="V21" i="155"/>
  <c r="X21" i="155"/>
  <c r="Y21" i="155"/>
  <c r="Z21" i="155"/>
  <c r="AA21" i="155"/>
  <c r="AB21" i="155"/>
  <c r="E22" i="155"/>
  <c r="G22" i="155"/>
  <c r="H22" i="155"/>
  <c r="I22" i="155"/>
  <c r="J22" i="155"/>
  <c r="Q22" i="155"/>
  <c r="R22" i="155"/>
  <c r="V22" i="155"/>
  <c r="X22" i="155"/>
  <c r="Y22" i="155"/>
  <c r="Z22" i="155"/>
  <c r="AA22" i="155"/>
  <c r="AB22" i="155"/>
  <c r="E23" i="155"/>
  <c r="G23" i="155"/>
  <c r="H23" i="155"/>
  <c r="I23" i="155"/>
  <c r="J23" i="155"/>
  <c r="Q23" i="155"/>
  <c r="R23" i="155"/>
  <c r="V23" i="155"/>
  <c r="X23" i="155"/>
  <c r="Y23" i="155"/>
  <c r="Z23" i="155"/>
  <c r="AA23" i="155"/>
  <c r="AB23" i="155"/>
  <c r="E24" i="155"/>
  <c r="G24" i="155"/>
  <c r="H24" i="155"/>
  <c r="I24" i="155"/>
  <c r="J24" i="155"/>
  <c r="N24" i="155"/>
  <c r="Q24" i="155"/>
  <c r="R24" i="155"/>
  <c r="V24" i="155"/>
  <c r="X24" i="155"/>
  <c r="Y24" i="155"/>
  <c r="Z24" i="155"/>
  <c r="AA24" i="155"/>
  <c r="AB24" i="155"/>
  <c r="E25" i="155"/>
  <c r="G25" i="155"/>
  <c r="H25" i="155"/>
  <c r="I25" i="155"/>
  <c r="J25" i="155"/>
  <c r="Q25" i="155"/>
  <c r="R25" i="155"/>
  <c r="V25" i="155"/>
  <c r="X25" i="155"/>
  <c r="Y25" i="155"/>
  <c r="AA25" i="155"/>
  <c r="AB25" i="155"/>
  <c r="E26" i="155"/>
  <c r="G26" i="155"/>
  <c r="H26" i="155"/>
  <c r="I26" i="155"/>
  <c r="J26" i="155"/>
  <c r="N26" i="155"/>
  <c r="Q26" i="155"/>
  <c r="R26" i="155"/>
  <c r="V26" i="155"/>
  <c r="X26" i="155"/>
  <c r="Y26" i="155"/>
  <c r="Z26" i="155"/>
  <c r="AA26" i="155"/>
  <c r="AB26" i="155"/>
  <c r="E27" i="155"/>
  <c r="G27" i="155"/>
  <c r="H27" i="155"/>
  <c r="I27" i="155"/>
  <c r="J27" i="155"/>
  <c r="N27" i="155"/>
  <c r="Q27" i="155"/>
  <c r="R27" i="155"/>
  <c r="V27" i="155"/>
  <c r="X27" i="155"/>
  <c r="Y27" i="155"/>
  <c r="Z27" i="155"/>
  <c r="AA27" i="155"/>
  <c r="AB27" i="155"/>
  <c r="E28" i="155"/>
  <c r="G28" i="155"/>
  <c r="H28" i="155"/>
  <c r="I28" i="155"/>
  <c r="J28" i="155"/>
  <c r="N28" i="155"/>
  <c r="Q28" i="155"/>
  <c r="R28" i="155"/>
  <c r="V28" i="155"/>
  <c r="X28" i="155"/>
  <c r="Y28" i="155"/>
  <c r="Z28" i="155"/>
  <c r="AA28" i="155"/>
  <c r="AB28" i="155"/>
  <c r="E29" i="155"/>
  <c r="G29" i="155"/>
  <c r="H29" i="155"/>
  <c r="I29" i="155"/>
  <c r="J29" i="155"/>
  <c r="N29" i="155"/>
  <c r="Q29" i="155"/>
  <c r="R29" i="155"/>
  <c r="V29" i="155"/>
  <c r="X29" i="155"/>
  <c r="Y29" i="155"/>
  <c r="Z29" i="155"/>
  <c r="AA29" i="155"/>
  <c r="AB29" i="155"/>
  <c r="D10" i="155"/>
  <c r="D6" i="155"/>
  <c r="D7" i="155" s="1"/>
  <c r="D11" i="155"/>
  <c r="D12" i="155"/>
  <c r="D13" i="155"/>
  <c r="D16" i="155"/>
  <c r="D17" i="155"/>
  <c r="D18" i="155"/>
  <c r="D19" i="155"/>
  <c r="D20" i="155"/>
  <c r="D24" i="155"/>
  <c r="D25" i="155"/>
  <c r="D26" i="155"/>
  <c r="D27" i="155"/>
  <c r="D28" i="155"/>
  <c r="D29" i="155"/>
  <c r="E16" i="154"/>
  <c r="G16" i="154"/>
  <c r="H16" i="154"/>
  <c r="I16" i="154"/>
  <c r="J16" i="154"/>
  <c r="K16" i="154"/>
  <c r="L16" i="154"/>
  <c r="M16" i="154"/>
  <c r="N16" i="154"/>
  <c r="P16" i="154"/>
  <c r="Q16" i="154"/>
  <c r="R16" i="154"/>
  <c r="S16" i="154"/>
  <c r="T16" i="154"/>
  <c r="U16" i="154"/>
  <c r="V16" i="154"/>
  <c r="W16" i="154"/>
  <c r="X16" i="154"/>
  <c r="Y16" i="154"/>
  <c r="Z16" i="154"/>
  <c r="AA16" i="154"/>
  <c r="AB16" i="154"/>
  <c r="E9" i="154"/>
  <c r="F9" i="154"/>
  <c r="G9" i="154"/>
  <c r="H9" i="154"/>
  <c r="I9" i="154"/>
  <c r="J9" i="154"/>
  <c r="K9" i="154"/>
  <c r="L9" i="154"/>
  <c r="M9" i="154"/>
  <c r="N9" i="154"/>
  <c r="O9" i="154"/>
  <c r="P9" i="154"/>
  <c r="Q9" i="154"/>
  <c r="R9" i="154"/>
  <c r="S9" i="154"/>
  <c r="T9" i="154"/>
  <c r="U9" i="154"/>
  <c r="V9" i="154"/>
  <c r="W9" i="154"/>
  <c r="X9" i="154"/>
  <c r="Y9" i="154"/>
  <c r="Z9" i="154"/>
  <c r="AA9" i="154"/>
  <c r="AB9" i="154"/>
  <c r="E10" i="154"/>
  <c r="F10" i="154"/>
  <c r="G10" i="154"/>
  <c r="H10" i="154"/>
  <c r="I10" i="154"/>
  <c r="J10" i="154"/>
  <c r="K10" i="154"/>
  <c r="L10" i="154"/>
  <c r="M10" i="154"/>
  <c r="N10" i="154"/>
  <c r="O10" i="154"/>
  <c r="P10" i="154"/>
  <c r="Q10" i="154"/>
  <c r="R10" i="154"/>
  <c r="S10" i="154"/>
  <c r="T10" i="154"/>
  <c r="U10" i="154"/>
  <c r="V10" i="154"/>
  <c r="W10" i="154"/>
  <c r="X10" i="154"/>
  <c r="Y10" i="154"/>
  <c r="Z10" i="154"/>
  <c r="AA10" i="154"/>
  <c r="AB10" i="154"/>
  <c r="E8" i="154"/>
  <c r="F8" i="154"/>
  <c r="G8" i="154"/>
  <c r="H8" i="154"/>
  <c r="I8" i="154"/>
  <c r="J8" i="154"/>
  <c r="K8" i="154"/>
  <c r="L8" i="154"/>
  <c r="M8" i="154"/>
  <c r="N8" i="154"/>
  <c r="O8" i="154"/>
  <c r="P8" i="154"/>
  <c r="Q8" i="154"/>
  <c r="R8" i="154"/>
  <c r="S8" i="154"/>
  <c r="T8" i="154"/>
  <c r="U8" i="154"/>
  <c r="V8" i="154"/>
  <c r="W8" i="154"/>
  <c r="X8" i="154"/>
  <c r="Y8" i="154"/>
  <c r="Z8" i="154"/>
  <c r="AA8" i="154"/>
  <c r="AB8" i="154"/>
  <c r="E11" i="154"/>
  <c r="F11" i="154"/>
  <c r="G11" i="154"/>
  <c r="H11" i="154"/>
  <c r="I11" i="154"/>
  <c r="J11" i="154"/>
  <c r="K11" i="154"/>
  <c r="L11" i="154"/>
  <c r="M11" i="154"/>
  <c r="N11" i="154"/>
  <c r="O11" i="154"/>
  <c r="P11" i="154"/>
  <c r="Q11" i="154"/>
  <c r="R11" i="154"/>
  <c r="S11" i="154"/>
  <c r="T11" i="154"/>
  <c r="U11" i="154"/>
  <c r="V11" i="154"/>
  <c r="W11" i="154"/>
  <c r="X11" i="154"/>
  <c r="Y11" i="154"/>
  <c r="Z11" i="154"/>
  <c r="AA11" i="154"/>
  <c r="AB11" i="154"/>
  <c r="E12" i="154"/>
  <c r="G12" i="154"/>
  <c r="H12" i="154"/>
  <c r="I12" i="154"/>
  <c r="J12" i="154"/>
  <c r="K12" i="154"/>
  <c r="L12" i="154"/>
  <c r="M12" i="154"/>
  <c r="N12" i="154"/>
  <c r="P12" i="154"/>
  <c r="Q12" i="154"/>
  <c r="R12" i="154"/>
  <c r="S12" i="154"/>
  <c r="T12" i="154"/>
  <c r="U12" i="154"/>
  <c r="V12" i="154"/>
  <c r="W12" i="154"/>
  <c r="X12" i="154"/>
  <c r="Y12" i="154"/>
  <c r="Z12" i="154"/>
  <c r="AA12" i="154"/>
  <c r="AB12" i="154"/>
  <c r="E13" i="154"/>
  <c r="F13" i="154"/>
  <c r="G13" i="154"/>
  <c r="H13" i="154"/>
  <c r="I13" i="154"/>
  <c r="J13" i="154"/>
  <c r="K13" i="154"/>
  <c r="L13" i="154"/>
  <c r="M13" i="154"/>
  <c r="N13" i="154"/>
  <c r="O13" i="154"/>
  <c r="P13" i="154"/>
  <c r="Q13" i="154"/>
  <c r="R13" i="154"/>
  <c r="S13" i="154"/>
  <c r="T13" i="154"/>
  <c r="U13" i="154"/>
  <c r="V13" i="154"/>
  <c r="W13" i="154"/>
  <c r="X13" i="154"/>
  <c r="Y13" i="154"/>
  <c r="Z13" i="154"/>
  <c r="AA13" i="154"/>
  <c r="AB13" i="154"/>
  <c r="E6" i="154"/>
  <c r="F6" i="154"/>
  <c r="G6" i="154"/>
  <c r="H6" i="154"/>
  <c r="I6" i="154"/>
  <c r="J6" i="154"/>
  <c r="K6" i="154"/>
  <c r="L6" i="154"/>
  <c r="M6" i="154"/>
  <c r="N6" i="154"/>
  <c r="O6" i="154"/>
  <c r="P6" i="154"/>
  <c r="Q6" i="154"/>
  <c r="R6" i="154"/>
  <c r="S6" i="154"/>
  <c r="T6" i="154"/>
  <c r="U6" i="154"/>
  <c r="V6" i="154"/>
  <c r="W6" i="154"/>
  <c r="X6" i="154"/>
  <c r="Y6" i="154"/>
  <c r="Z6" i="154"/>
  <c r="AA6" i="154"/>
  <c r="AB6" i="154"/>
  <c r="E14" i="154"/>
  <c r="F14" i="154"/>
  <c r="G14" i="154"/>
  <c r="H14" i="154"/>
  <c r="I14" i="154"/>
  <c r="J14" i="154"/>
  <c r="K14" i="154"/>
  <c r="L14" i="154"/>
  <c r="M14" i="154"/>
  <c r="N14" i="154"/>
  <c r="O14" i="154"/>
  <c r="P14" i="154"/>
  <c r="Q14" i="154"/>
  <c r="R14" i="154"/>
  <c r="S14" i="154"/>
  <c r="T14" i="154"/>
  <c r="U14" i="154"/>
  <c r="V14" i="154"/>
  <c r="V15" i="154" s="1"/>
  <c r="V18" i="154" s="1"/>
  <c r="X14" i="154"/>
  <c r="Y14" i="154"/>
  <c r="Z14" i="154"/>
  <c r="AA14" i="154"/>
  <c r="AB14" i="154"/>
  <c r="E7" i="154"/>
  <c r="F7" i="154"/>
  <c r="G7" i="154"/>
  <c r="H7" i="154"/>
  <c r="I7" i="154"/>
  <c r="J7" i="154"/>
  <c r="K7" i="154"/>
  <c r="L7" i="154"/>
  <c r="M7" i="154"/>
  <c r="N7" i="154"/>
  <c r="O7" i="154"/>
  <c r="P7" i="154"/>
  <c r="Q7" i="154"/>
  <c r="R7" i="154"/>
  <c r="S7" i="154"/>
  <c r="T7" i="154"/>
  <c r="U7" i="154"/>
  <c r="V7" i="154"/>
  <c r="W7" i="154"/>
  <c r="X7" i="154"/>
  <c r="Y7" i="154"/>
  <c r="Z7" i="154"/>
  <c r="AA7" i="154"/>
  <c r="AB7" i="154"/>
  <c r="D9" i="154"/>
  <c r="D10" i="154"/>
  <c r="D8" i="154"/>
  <c r="D11" i="154"/>
  <c r="D12" i="154"/>
  <c r="D15" i="154" s="1"/>
  <c r="D13" i="154"/>
  <c r="D6" i="154"/>
  <c r="D14" i="154"/>
  <c r="D7" i="154"/>
  <c r="D16" i="154"/>
  <c r="D17" i="154" s="1"/>
  <c r="D18" i="154" s="1"/>
  <c r="Z18" i="154"/>
  <c r="T5" i="154"/>
  <c r="U5" i="154" s="1"/>
  <c r="E32" i="153"/>
  <c r="E33" i="153" s="1"/>
  <c r="C9" i="97" s="1"/>
  <c r="G32" i="153"/>
  <c r="G33" i="153" s="1"/>
  <c r="E9" i="97" s="1"/>
  <c r="H32" i="153"/>
  <c r="H33" i="153" s="1"/>
  <c r="F9" i="97" s="1"/>
  <c r="I32" i="153"/>
  <c r="I33" i="153" s="1"/>
  <c r="G9" i="97" s="1"/>
  <c r="J32" i="153"/>
  <c r="J33" i="153" s="1"/>
  <c r="H9" i="97" s="1"/>
  <c r="N32" i="153"/>
  <c r="N33" i="153" s="1"/>
  <c r="L9" i="97" s="1"/>
  <c r="Q32" i="153"/>
  <c r="Q33" i="153" s="1"/>
  <c r="O9" i="97" s="1"/>
  <c r="R32" i="153"/>
  <c r="R33" i="153" s="1"/>
  <c r="P9" i="97" s="1"/>
  <c r="V32" i="153"/>
  <c r="V33" i="153" s="1"/>
  <c r="X32" i="153"/>
  <c r="X33" i="153" s="1"/>
  <c r="V9" i="97" s="1"/>
  <c r="Y32" i="153"/>
  <c r="Y33" i="153" s="1"/>
  <c r="W9" i="97" s="1"/>
  <c r="Z32" i="153"/>
  <c r="Z33" i="153" s="1"/>
  <c r="X9" i="97" s="1"/>
  <c r="AA32" i="153"/>
  <c r="AB32" i="153"/>
  <c r="E12" i="153"/>
  <c r="G12" i="153"/>
  <c r="H12" i="153"/>
  <c r="I12" i="153"/>
  <c r="J12" i="153"/>
  <c r="N12" i="153"/>
  <c r="Q12" i="153"/>
  <c r="R12" i="153"/>
  <c r="W12" i="153"/>
  <c r="X12" i="153"/>
  <c r="Y12" i="153"/>
  <c r="Z12" i="153"/>
  <c r="AA12" i="153"/>
  <c r="AB12" i="153"/>
  <c r="E13" i="153"/>
  <c r="G13" i="153"/>
  <c r="H13" i="153"/>
  <c r="I13" i="153"/>
  <c r="J13" i="153"/>
  <c r="N13" i="153"/>
  <c r="Q13" i="153"/>
  <c r="R13" i="153"/>
  <c r="V13" i="153"/>
  <c r="X13" i="153"/>
  <c r="Y13" i="153"/>
  <c r="Z13" i="153"/>
  <c r="AA13" i="153"/>
  <c r="AB13" i="153"/>
  <c r="E14" i="153"/>
  <c r="G14" i="153"/>
  <c r="H14" i="153"/>
  <c r="I14" i="153"/>
  <c r="J14" i="153"/>
  <c r="N14" i="153"/>
  <c r="Q14" i="153"/>
  <c r="R14" i="153"/>
  <c r="V14" i="153"/>
  <c r="X14" i="153"/>
  <c r="Y14" i="153"/>
  <c r="Z14" i="153"/>
  <c r="AA14" i="153"/>
  <c r="AB14" i="153"/>
  <c r="E36" i="153"/>
  <c r="G36" i="153"/>
  <c r="H36" i="153"/>
  <c r="I36" i="153"/>
  <c r="J36" i="153"/>
  <c r="N36" i="153"/>
  <c r="Q36" i="153"/>
  <c r="R36" i="153"/>
  <c r="V36" i="153"/>
  <c r="X36" i="153"/>
  <c r="Y36" i="153"/>
  <c r="Z36" i="153"/>
  <c r="AA36" i="153"/>
  <c r="AB36" i="153"/>
  <c r="E47" i="153"/>
  <c r="G47" i="153"/>
  <c r="H47" i="153"/>
  <c r="I47" i="153"/>
  <c r="J47" i="153"/>
  <c r="N47" i="153"/>
  <c r="Q47" i="153"/>
  <c r="R47" i="153"/>
  <c r="W47" i="153"/>
  <c r="X47" i="153"/>
  <c r="Y47" i="153"/>
  <c r="Z47" i="153"/>
  <c r="AA47" i="153"/>
  <c r="AB47" i="153"/>
  <c r="E48" i="153"/>
  <c r="C17" i="97" s="1"/>
  <c r="G48" i="153"/>
  <c r="E17" i="97" s="1"/>
  <c r="H48" i="153"/>
  <c r="F17" i="97" s="1"/>
  <c r="I48" i="153"/>
  <c r="G17" i="97" s="1"/>
  <c r="J48" i="153"/>
  <c r="H17" i="97" s="1"/>
  <c r="Q48" i="153"/>
  <c r="O17" i="97" s="1"/>
  <c r="R48" i="153"/>
  <c r="P17" i="97" s="1"/>
  <c r="V48" i="153"/>
  <c r="T17" i="97" s="1"/>
  <c r="W48" i="153"/>
  <c r="U17" i="97" s="1"/>
  <c r="X48" i="153"/>
  <c r="V17" i="97" s="1"/>
  <c r="Y48" i="153"/>
  <c r="W17" i="97" s="1"/>
  <c r="AA48" i="153"/>
  <c r="AB48" i="153"/>
  <c r="E15" i="153"/>
  <c r="G15" i="153"/>
  <c r="H15" i="153"/>
  <c r="I15" i="153"/>
  <c r="J15" i="153"/>
  <c r="Q15" i="153"/>
  <c r="R15" i="153"/>
  <c r="X15" i="153"/>
  <c r="Y15" i="153"/>
  <c r="Z15" i="153"/>
  <c r="AA15" i="153"/>
  <c r="AB15" i="153"/>
  <c r="E16" i="153"/>
  <c r="G16" i="153"/>
  <c r="H16" i="153"/>
  <c r="I16" i="153"/>
  <c r="J16" i="153"/>
  <c r="N16" i="153"/>
  <c r="Q16" i="153"/>
  <c r="R16" i="153"/>
  <c r="V16" i="153"/>
  <c r="X16" i="153"/>
  <c r="Y16" i="153"/>
  <c r="Z16" i="153"/>
  <c r="AA16" i="153"/>
  <c r="AB16" i="153"/>
  <c r="E17" i="153"/>
  <c r="G17" i="153"/>
  <c r="H17" i="153"/>
  <c r="I17" i="153"/>
  <c r="J17" i="153"/>
  <c r="Q17" i="153"/>
  <c r="R17" i="153"/>
  <c r="W17" i="153"/>
  <c r="X17" i="153"/>
  <c r="Y17" i="153"/>
  <c r="Z17" i="153"/>
  <c r="AA17" i="153"/>
  <c r="AB17" i="153"/>
  <c r="E18" i="153"/>
  <c r="G18" i="153"/>
  <c r="H18" i="153"/>
  <c r="I18" i="153"/>
  <c r="J18" i="153"/>
  <c r="N18" i="153"/>
  <c r="Q18" i="153"/>
  <c r="R18" i="153"/>
  <c r="W18" i="153"/>
  <c r="X18" i="153"/>
  <c r="Y18" i="153"/>
  <c r="Z18" i="153"/>
  <c r="AA18" i="153"/>
  <c r="AB18" i="153"/>
  <c r="E45" i="153"/>
  <c r="G45" i="153"/>
  <c r="H45" i="153"/>
  <c r="I45" i="153"/>
  <c r="J45" i="153"/>
  <c r="N45" i="153"/>
  <c r="Q45" i="153"/>
  <c r="R45" i="153"/>
  <c r="V45" i="153"/>
  <c r="X45" i="153"/>
  <c r="Y45" i="153"/>
  <c r="Z45" i="153"/>
  <c r="AA45" i="153"/>
  <c r="E43" i="153"/>
  <c r="E44" i="153" s="1"/>
  <c r="C16" i="97" s="1"/>
  <c r="H43" i="153"/>
  <c r="H44" i="153" s="1"/>
  <c r="F16" i="97" s="1"/>
  <c r="I43" i="153"/>
  <c r="I44" i="153" s="1"/>
  <c r="G16" i="97" s="1"/>
  <c r="J43" i="153"/>
  <c r="J44" i="153" s="1"/>
  <c r="H16" i="97" s="1"/>
  <c r="N43" i="153"/>
  <c r="N44" i="153" s="1"/>
  <c r="Q43" i="153"/>
  <c r="Q44" i="153" s="1"/>
  <c r="O16" i="97" s="1"/>
  <c r="R43" i="153"/>
  <c r="R44" i="153" s="1"/>
  <c r="P16" i="97" s="1"/>
  <c r="V43" i="153"/>
  <c r="V44" i="153" s="1"/>
  <c r="T16" i="97" s="1"/>
  <c r="X43" i="153"/>
  <c r="X44" i="153" s="1"/>
  <c r="V16" i="97" s="1"/>
  <c r="Y43" i="153"/>
  <c r="Y44" i="153" s="1"/>
  <c r="W16" i="97" s="1"/>
  <c r="Z43" i="153"/>
  <c r="Z44" i="153" s="1"/>
  <c r="X16" i="97" s="1"/>
  <c r="AA43" i="153"/>
  <c r="AB43" i="153"/>
  <c r="E19" i="153"/>
  <c r="G19" i="153"/>
  <c r="H19" i="153"/>
  <c r="I19" i="153"/>
  <c r="J19" i="153"/>
  <c r="N19" i="153"/>
  <c r="Q19" i="153"/>
  <c r="R19" i="153"/>
  <c r="V19" i="153"/>
  <c r="X19" i="153"/>
  <c r="Y19" i="153"/>
  <c r="Z19" i="153"/>
  <c r="AA19" i="153"/>
  <c r="AB19" i="153"/>
  <c r="E20" i="153"/>
  <c r="G20" i="153"/>
  <c r="H20" i="153"/>
  <c r="I20" i="153"/>
  <c r="J20" i="153"/>
  <c r="N20" i="153"/>
  <c r="Q20" i="153"/>
  <c r="R20" i="153"/>
  <c r="W20" i="153"/>
  <c r="X20" i="153"/>
  <c r="Y20" i="153"/>
  <c r="Z20" i="153"/>
  <c r="AA20" i="153"/>
  <c r="AB20" i="153"/>
  <c r="E49" i="153"/>
  <c r="G49" i="153"/>
  <c r="H49" i="153"/>
  <c r="I49" i="153"/>
  <c r="J49" i="153"/>
  <c r="N49" i="153"/>
  <c r="Q49" i="153"/>
  <c r="R49" i="153"/>
  <c r="V49" i="153"/>
  <c r="X49" i="153"/>
  <c r="Y49" i="153"/>
  <c r="Z49" i="153"/>
  <c r="AA49" i="153"/>
  <c r="AB49" i="153"/>
  <c r="E50" i="153"/>
  <c r="G50" i="153"/>
  <c r="H50" i="153"/>
  <c r="I50" i="153"/>
  <c r="J50" i="153"/>
  <c r="Q50" i="153"/>
  <c r="R50" i="153"/>
  <c r="V50" i="153"/>
  <c r="X50" i="153"/>
  <c r="Y50" i="153"/>
  <c r="Z50" i="153"/>
  <c r="AA50" i="153"/>
  <c r="AB50" i="153"/>
  <c r="E21" i="153"/>
  <c r="G21" i="153"/>
  <c r="H21" i="153"/>
  <c r="I21" i="153"/>
  <c r="J21" i="153"/>
  <c r="Q21" i="153"/>
  <c r="R21" i="153"/>
  <c r="V21" i="153"/>
  <c r="X21" i="153"/>
  <c r="Y21" i="153"/>
  <c r="Z21" i="153"/>
  <c r="AA21" i="153"/>
  <c r="AB21" i="153"/>
  <c r="E22" i="153"/>
  <c r="G22" i="153"/>
  <c r="H22" i="153"/>
  <c r="I22" i="153"/>
  <c r="J22" i="153"/>
  <c r="Q22" i="153"/>
  <c r="R22" i="153"/>
  <c r="V22" i="153"/>
  <c r="X22" i="153"/>
  <c r="Y22" i="153"/>
  <c r="Z22" i="153"/>
  <c r="AA22" i="153"/>
  <c r="AB22" i="153"/>
  <c r="E46" i="153"/>
  <c r="G46" i="153"/>
  <c r="H46" i="153"/>
  <c r="I46" i="153"/>
  <c r="J46" i="153"/>
  <c r="N46" i="153"/>
  <c r="Q46" i="153"/>
  <c r="R46" i="153"/>
  <c r="V46" i="153"/>
  <c r="X46" i="153"/>
  <c r="Y46" i="153"/>
  <c r="Z46" i="153"/>
  <c r="AA46" i="153"/>
  <c r="AB46" i="153"/>
  <c r="E6" i="153"/>
  <c r="E7" i="153" s="1"/>
  <c r="G6" i="153"/>
  <c r="G7" i="153" s="1"/>
  <c r="H6" i="153"/>
  <c r="H7" i="153" s="1"/>
  <c r="I6" i="153"/>
  <c r="I7" i="153" s="1"/>
  <c r="J6" i="153"/>
  <c r="J7" i="153" s="1"/>
  <c r="N6" i="153"/>
  <c r="N7" i="153" s="1"/>
  <c r="Q6" i="153"/>
  <c r="Q7" i="153" s="1"/>
  <c r="R6" i="153"/>
  <c r="R7" i="153" s="1"/>
  <c r="V6" i="153"/>
  <c r="V7" i="153" s="1"/>
  <c r="X6" i="153"/>
  <c r="X7" i="153" s="1"/>
  <c r="Y6" i="153"/>
  <c r="Y7" i="153" s="1"/>
  <c r="Z6" i="153"/>
  <c r="Z7" i="153" s="1"/>
  <c r="AA6" i="153"/>
  <c r="AB6" i="153"/>
  <c r="E51" i="153"/>
  <c r="G51" i="153"/>
  <c r="H51" i="153"/>
  <c r="I51" i="153"/>
  <c r="J51" i="153"/>
  <c r="N51" i="153"/>
  <c r="Q51" i="153"/>
  <c r="R51" i="153"/>
  <c r="V51" i="153"/>
  <c r="X51" i="153"/>
  <c r="Y51" i="153"/>
  <c r="Z51" i="153"/>
  <c r="AA51" i="153"/>
  <c r="AB51" i="153"/>
  <c r="E52" i="153"/>
  <c r="G52" i="153"/>
  <c r="H52" i="153"/>
  <c r="I52" i="153"/>
  <c r="J52" i="153"/>
  <c r="Q52" i="153"/>
  <c r="R52" i="153"/>
  <c r="V52" i="153"/>
  <c r="X52" i="153"/>
  <c r="Y52" i="153"/>
  <c r="Z52" i="153"/>
  <c r="AA52" i="153"/>
  <c r="AB52" i="153"/>
  <c r="E53" i="153"/>
  <c r="G53" i="153"/>
  <c r="H53" i="153"/>
  <c r="I53" i="153"/>
  <c r="J53" i="153"/>
  <c r="N53" i="153"/>
  <c r="Q53" i="153"/>
  <c r="R53" i="153"/>
  <c r="V53" i="153"/>
  <c r="X53" i="153"/>
  <c r="Y53" i="153"/>
  <c r="Z53" i="153"/>
  <c r="AA53" i="153"/>
  <c r="AB53" i="153"/>
  <c r="E23" i="153"/>
  <c r="G23" i="153"/>
  <c r="H23" i="153"/>
  <c r="I23" i="153"/>
  <c r="J23" i="153"/>
  <c r="N23" i="153"/>
  <c r="Q23" i="153"/>
  <c r="R23" i="153"/>
  <c r="V23" i="153"/>
  <c r="X23" i="153"/>
  <c r="Y23" i="153"/>
  <c r="Z23" i="153"/>
  <c r="AA23" i="153"/>
  <c r="AB23" i="153"/>
  <c r="E10" i="153"/>
  <c r="G10" i="153"/>
  <c r="H10" i="153"/>
  <c r="I10" i="153"/>
  <c r="J10" i="153"/>
  <c r="Q10" i="153"/>
  <c r="R10" i="153"/>
  <c r="V10" i="153"/>
  <c r="X10" i="153"/>
  <c r="Y10" i="153"/>
  <c r="Z10" i="153"/>
  <c r="AA10" i="153"/>
  <c r="AB10" i="153"/>
  <c r="E24" i="153"/>
  <c r="G24" i="153"/>
  <c r="H24" i="153"/>
  <c r="I24" i="153"/>
  <c r="J24" i="153"/>
  <c r="N24" i="153"/>
  <c r="Q24" i="153"/>
  <c r="R24" i="153"/>
  <c r="V24" i="153"/>
  <c r="X24" i="153"/>
  <c r="Y24" i="153"/>
  <c r="Z24" i="153"/>
  <c r="AA24" i="153"/>
  <c r="AB24" i="153"/>
  <c r="E25" i="153"/>
  <c r="G25" i="153"/>
  <c r="H25" i="153"/>
  <c r="I25" i="153"/>
  <c r="J25" i="153"/>
  <c r="N25" i="153"/>
  <c r="Q25" i="153"/>
  <c r="R25" i="153"/>
  <c r="W25" i="153"/>
  <c r="X25" i="153"/>
  <c r="Y25" i="153"/>
  <c r="Z25" i="153"/>
  <c r="AA25" i="153"/>
  <c r="AB25" i="153"/>
  <c r="E54" i="153"/>
  <c r="G54" i="153"/>
  <c r="H54" i="153"/>
  <c r="I54" i="153"/>
  <c r="J54" i="153"/>
  <c r="N54" i="153"/>
  <c r="Q54" i="153"/>
  <c r="R54" i="153"/>
  <c r="V54" i="153"/>
  <c r="X54" i="153"/>
  <c r="Y54" i="153"/>
  <c r="Z54" i="153"/>
  <c r="AA54" i="153"/>
  <c r="AB54" i="153"/>
  <c r="E26" i="153"/>
  <c r="G26" i="153"/>
  <c r="H26" i="153"/>
  <c r="I26" i="153"/>
  <c r="J26" i="153"/>
  <c r="N26" i="153"/>
  <c r="Q26" i="153"/>
  <c r="R26" i="153"/>
  <c r="V26" i="153"/>
  <c r="X26" i="153"/>
  <c r="Y26" i="153"/>
  <c r="Z26" i="153"/>
  <c r="AA26" i="153"/>
  <c r="AB26" i="153"/>
  <c r="E37" i="153"/>
  <c r="G37" i="153"/>
  <c r="H37" i="153"/>
  <c r="I37" i="153"/>
  <c r="J37" i="153"/>
  <c r="N37" i="153"/>
  <c r="Q37" i="153"/>
  <c r="R37" i="153"/>
  <c r="W37" i="153"/>
  <c r="X37" i="153"/>
  <c r="Y37" i="153"/>
  <c r="Z37" i="153"/>
  <c r="AA37" i="153"/>
  <c r="AB37" i="153"/>
  <c r="E55" i="153"/>
  <c r="G55" i="153"/>
  <c r="H55" i="153"/>
  <c r="I55" i="153"/>
  <c r="J55" i="153"/>
  <c r="Q55" i="153"/>
  <c r="R55" i="153"/>
  <c r="W55" i="153"/>
  <c r="X55" i="153"/>
  <c r="Y55" i="153"/>
  <c r="Z55" i="153"/>
  <c r="AA55" i="153"/>
  <c r="AB55" i="153"/>
  <c r="E38" i="153"/>
  <c r="H38" i="153"/>
  <c r="I38" i="153"/>
  <c r="J38" i="153"/>
  <c r="Q38" i="153"/>
  <c r="R38" i="153"/>
  <c r="W38" i="153"/>
  <c r="X38" i="153"/>
  <c r="Y38" i="153"/>
  <c r="Z38" i="153"/>
  <c r="AA38" i="153"/>
  <c r="AB38" i="153"/>
  <c r="E34" i="153"/>
  <c r="E35" i="153" s="1"/>
  <c r="G34" i="153"/>
  <c r="G35" i="153" s="1"/>
  <c r="H34" i="153"/>
  <c r="H35" i="153" s="1"/>
  <c r="I34" i="153"/>
  <c r="I35" i="153" s="1"/>
  <c r="J34" i="153"/>
  <c r="J35" i="153" s="1"/>
  <c r="N34" i="153"/>
  <c r="N35" i="153" s="1"/>
  <c r="Q34" i="153"/>
  <c r="Q35" i="153" s="1"/>
  <c r="R34" i="153"/>
  <c r="R35" i="153" s="1"/>
  <c r="V34" i="153"/>
  <c r="V35" i="153" s="1"/>
  <c r="X34" i="153"/>
  <c r="X35" i="153" s="1"/>
  <c r="Y34" i="153"/>
  <c r="Y35" i="153" s="1"/>
  <c r="Z34" i="153"/>
  <c r="Z35" i="153" s="1"/>
  <c r="AA34" i="153"/>
  <c r="AB34" i="153"/>
  <c r="E41" i="153"/>
  <c r="E42" i="153" s="1"/>
  <c r="C12" i="97" s="1"/>
  <c r="G41" i="153"/>
  <c r="G42" i="153" s="1"/>
  <c r="H41" i="153"/>
  <c r="H42" i="153" s="1"/>
  <c r="F12" i="97" s="1"/>
  <c r="I41" i="153"/>
  <c r="I42" i="153" s="1"/>
  <c r="G12" i="97" s="1"/>
  <c r="J41" i="153"/>
  <c r="J42" i="153" s="1"/>
  <c r="H12" i="97" s="1"/>
  <c r="N41" i="153"/>
  <c r="N42" i="153" s="1"/>
  <c r="Q41" i="153"/>
  <c r="Q42" i="153" s="1"/>
  <c r="R41" i="153"/>
  <c r="R42" i="153" s="1"/>
  <c r="P12" i="97" s="1"/>
  <c r="V41" i="153"/>
  <c r="V42" i="153" s="1"/>
  <c r="X41" i="153"/>
  <c r="X42" i="153" s="1"/>
  <c r="V12" i="97" s="1"/>
  <c r="Y41" i="153"/>
  <c r="Y42" i="153" s="1"/>
  <c r="Z41" i="153"/>
  <c r="Z42" i="153" s="1"/>
  <c r="X12" i="97" s="1"/>
  <c r="AA41" i="153"/>
  <c r="AB41" i="153"/>
  <c r="E39" i="153"/>
  <c r="G39" i="153"/>
  <c r="H39" i="153"/>
  <c r="I39" i="153"/>
  <c r="J39" i="153"/>
  <c r="N39" i="153"/>
  <c r="Q39" i="153"/>
  <c r="R39" i="153"/>
  <c r="V39" i="153"/>
  <c r="X39" i="153"/>
  <c r="Y39" i="153"/>
  <c r="Z39" i="153"/>
  <c r="AA39" i="153"/>
  <c r="AB39" i="153"/>
  <c r="E27" i="153"/>
  <c r="G27" i="153"/>
  <c r="H27" i="153"/>
  <c r="I27" i="153"/>
  <c r="J27" i="153"/>
  <c r="N27" i="153"/>
  <c r="Q27" i="153"/>
  <c r="R27" i="153"/>
  <c r="W27" i="153"/>
  <c r="X27" i="153"/>
  <c r="Y27" i="153"/>
  <c r="Z27" i="153"/>
  <c r="AA27" i="153"/>
  <c r="AB27" i="153"/>
  <c r="E28" i="153"/>
  <c r="G28" i="153"/>
  <c r="H28" i="153"/>
  <c r="I28" i="153"/>
  <c r="J28" i="153"/>
  <c r="N28" i="153"/>
  <c r="Q28" i="153"/>
  <c r="R28" i="153"/>
  <c r="W28" i="153"/>
  <c r="X28" i="153"/>
  <c r="Y28" i="153"/>
  <c r="Z28" i="153"/>
  <c r="AA28" i="153"/>
  <c r="AB28" i="153"/>
  <c r="E8" i="153"/>
  <c r="E9" i="153" s="1"/>
  <c r="G8" i="153"/>
  <c r="G9" i="153" s="1"/>
  <c r="H8" i="153"/>
  <c r="H9" i="153" s="1"/>
  <c r="I8" i="153"/>
  <c r="I9" i="153" s="1"/>
  <c r="J8" i="153"/>
  <c r="J9" i="153" s="1"/>
  <c r="N8" i="153"/>
  <c r="N9" i="153" s="1"/>
  <c r="Q8" i="153"/>
  <c r="Q9" i="153" s="1"/>
  <c r="R8" i="153"/>
  <c r="R9" i="153" s="1"/>
  <c r="V8" i="153"/>
  <c r="V9" i="153" s="1"/>
  <c r="X8" i="153"/>
  <c r="X9" i="153" s="1"/>
  <c r="V7" i="97" s="1"/>
  <c r="Y8" i="153"/>
  <c r="Y9" i="153" s="1"/>
  <c r="W7" i="97" s="1"/>
  <c r="Z8" i="153"/>
  <c r="Z9" i="153" s="1"/>
  <c r="AA8" i="153"/>
  <c r="AB8" i="153"/>
  <c r="E11" i="153"/>
  <c r="G11" i="153"/>
  <c r="H11" i="153"/>
  <c r="I11" i="153"/>
  <c r="J11" i="153"/>
  <c r="N11" i="153"/>
  <c r="Q11" i="153"/>
  <c r="R11" i="153"/>
  <c r="V11" i="153"/>
  <c r="X11" i="153"/>
  <c r="Y11" i="153"/>
  <c r="Z11" i="153"/>
  <c r="AA11" i="153"/>
  <c r="AB11" i="153"/>
  <c r="E29" i="153"/>
  <c r="G29" i="153"/>
  <c r="H29" i="153"/>
  <c r="I29" i="153"/>
  <c r="J29" i="153"/>
  <c r="N29" i="153"/>
  <c r="Q29" i="153"/>
  <c r="R29" i="153"/>
  <c r="W29" i="153"/>
  <c r="X29" i="153"/>
  <c r="Y29" i="153"/>
  <c r="Z29" i="153"/>
  <c r="AA29" i="153"/>
  <c r="AB29" i="153"/>
  <c r="E30" i="153"/>
  <c r="G30" i="153"/>
  <c r="H30" i="153"/>
  <c r="I30" i="153"/>
  <c r="J30" i="153"/>
  <c r="Q30" i="153"/>
  <c r="R30" i="153"/>
  <c r="W30" i="153"/>
  <c r="X30" i="153"/>
  <c r="Y30" i="153"/>
  <c r="Z30" i="153"/>
  <c r="AA30" i="153"/>
  <c r="AB30" i="153"/>
  <c r="D12" i="153"/>
  <c r="D47" i="153"/>
  <c r="D48" i="153"/>
  <c r="B17" i="97" s="1"/>
  <c r="D15" i="153"/>
  <c r="D16" i="153"/>
  <c r="D17" i="153"/>
  <c r="D18" i="153"/>
  <c r="D45" i="153"/>
  <c r="D43" i="153"/>
  <c r="D44" i="153" s="1"/>
  <c r="D20" i="153"/>
  <c r="D49" i="153"/>
  <c r="D22" i="153"/>
  <c r="D6" i="153"/>
  <c r="D7" i="153" s="1"/>
  <c r="D51" i="153"/>
  <c r="D52" i="153"/>
  <c r="D53" i="153"/>
  <c r="D23" i="153"/>
  <c r="D10" i="153"/>
  <c r="D24" i="153"/>
  <c r="D25" i="153"/>
  <c r="D54" i="153"/>
  <c r="D26" i="153"/>
  <c r="D37" i="153"/>
  <c r="D55" i="153"/>
  <c r="D38" i="153"/>
  <c r="D34" i="153"/>
  <c r="D35" i="153" s="1"/>
  <c r="D41" i="153"/>
  <c r="D42" i="153" s="1"/>
  <c r="D39" i="153"/>
  <c r="D27" i="153"/>
  <c r="D28" i="153"/>
  <c r="D8" i="153"/>
  <c r="D9" i="153" s="1"/>
  <c r="D11" i="153"/>
  <c r="D29" i="153"/>
  <c r="E6" i="152"/>
  <c r="G6" i="152"/>
  <c r="G25" i="152" s="1"/>
  <c r="H6" i="152"/>
  <c r="I6" i="152"/>
  <c r="J6" i="152"/>
  <c r="K6" i="152"/>
  <c r="K25" i="152" s="1"/>
  <c r="L26" i="152" s="1"/>
  <c r="L6" i="152"/>
  <c r="M6" i="152"/>
  <c r="N6" i="152"/>
  <c r="P6" i="152"/>
  <c r="Q6" i="152"/>
  <c r="R6" i="152"/>
  <c r="S6" i="152"/>
  <c r="T6" i="152"/>
  <c r="U6" i="152"/>
  <c r="V6" i="152"/>
  <c r="W6" i="152"/>
  <c r="X6" i="152"/>
  <c r="X25" i="152" s="1"/>
  <c r="Y6" i="152"/>
  <c r="Z6" i="152"/>
  <c r="AA6" i="152"/>
  <c r="AB6" i="152"/>
  <c r="E7" i="152"/>
  <c r="F7" i="152"/>
  <c r="G7" i="152"/>
  <c r="H7" i="152"/>
  <c r="I7" i="152"/>
  <c r="J7" i="152"/>
  <c r="K7" i="152"/>
  <c r="L7" i="152"/>
  <c r="M7" i="152"/>
  <c r="N7" i="152"/>
  <c r="O7" i="152"/>
  <c r="P7" i="152"/>
  <c r="Q7" i="152"/>
  <c r="R7" i="152"/>
  <c r="S7" i="152"/>
  <c r="T7" i="152"/>
  <c r="U7" i="152"/>
  <c r="V7" i="152"/>
  <c r="W7" i="152"/>
  <c r="X7" i="152"/>
  <c r="Y7" i="152"/>
  <c r="Z7" i="152"/>
  <c r="AA7" i="152"/>
  <c r="AB7" i="152"/>
  <c r="E8" i="152"/>
  <c r="F8" i="152"/>
  <c r="G8" i="152"/>
  <c r="H8" i="152"/>
  <c r="I8" i="152"/>
  <c r="J8" i="152"/>
  <c r="K8" i="152"/>
  <c r="L8" i="152"/>
  <c r="M8" i="152"/>
  <c r="N8" i="152"/>
  <c r="O8" i="152"/>
  <c r="P8" i="152"/>
  <c r="Q8" i="152"/>
  <c r="R8" i="152"/>
  <c r="S8" i="152"/>
  <c r="T8" i="152"/>
  <c r="U8" i="152"/>
  <c r="V8" i="152"/>
  <c r="W8" i="152"/>
  <c r="X8" i="152"/>
  <c r="Y8" i="152"/>
  <c r="Z8" i="152"/>
  <c r="AA8" i="152"/>
  <c r="AB8" i="152"/>
  <c r="E9" i="152"/>
  <c r="F9" i="152"/>
  <c r="G9" i="152"/>
  <c r="H9" i="152"/>
  <c r="I9" i="152"/>
  <c r="J9" i="152"/>
  <c r="K9" i="152"/>
  <c r="L9" i="152"/>
  <c r="M9" i="152"/>
  <c r="N9" i="152"/>
  <c r="O9" i="152"/>
  <c r="P9" i="152"/>
  <c r="Q9" i="152"/>
  <c r="R9" i="152"/>
  <c r="S9" i="152"/>
  <c r="T9" i="152"/>
  <c r="U9" i="152"/>
  <c r="V9" i="152"/>
  <c r="W9" i="152"/>
  <c r="X9" i="152"/>
  <c r="Y9" i="152"/>
  <c r="Z9" i="152"/>
  <c r="AA9" i="152"/>
  <c r="AB9" i="152"/>
  <c r="E10" i="152"/>
  <c r="F10" i="152"/>
  <c r="G10" i="152"/>
  <c r="H10" i="152"/>
  <c r="I10" i="152"/>
  <c r="J10" i="152"/>
  <c r="K10" i="152"/>
  <c r="L10" i="152"/>
  <c r="M10" i="152"/>
  <c r="N10" i="152"/>
  <c r="O10" i="152"/>
  <c r="P10" i="152"/>
  <c r="Q10" i="152"/>
  <c r="R10" i="152"/>
  <c r="S10" i="152"/>
  <c r="T10" i="152"/>
  <c r="U10" i="152"/>
  <c r="V10" i="152"/>
  <c r="W10" i="152"/>
  <c r="X10" i="152"/>
  <c r="Y10" i="152"/>
  <c r="Z10" i="152"/>
  <c r="AA10" i="152"/>
  <c r="AB10" i="152"/>
  <c r="E11" i="152"/>
  <c r="F11" i="152"/>
  <c r="G11" i="152"/>
  <c r="H11" i="152"/>
  <c r="I11" i="152"/>
  <c r="J11" i="152"/>
  <c r="K11" i="152"/>
  <c r="L11" i="152"/>
  <c r="M11" i="152"/>
  <c r="N11" i="152"/>
  <c r="O11" i="152"/>
  <c r="P11" i="152"/>
  <c r="Q11" i="152"/>
  <c r="R11" i="152"/>
  <c r="S11" i="152"/>
  <c r="T11" i="152"/>
  <c r="U11" i="152"/>
  <c r="V11" i="152"/>
  <c r="W11" i="152"/>
  <c r="X11" i="152"/>
  <c r="Y11" i="152"/>
  <c r="Z11" i="152"/>
  <c r="AA11" i="152"/>
  <c r="AB11" i="152"/>
  <c r="E12" i="152"/>
  <c r="F12" i="152"/>
  <c r="G12" i="152"/>
  <c r="H12" i="152"/>
  <c r="I12" i="152"/>
  <c r="J12" i="152"/>
  <c r="K12" i="152"/>
  <c r="L12" i="152"/>
  <c r="M12" i="152"/>
  <c r="N12" i="152"/>
  <c r="O12" i="152"/>
  <c r="P12" i="152"/>
  <c r="Q12" i="152"/>
  <c r="R12" i="152"/>
  <c r="S12" i="152"/>
  <c r="T12" i="152"/>
  <c r="U12" i="152"/>
  <c r="V12" i="152"/>
  <c r="W12" i="152"/>
  <c r="X12" i="152"/>
  <c r="Y12" i="152"/>
  <c r="Z12" i="152"/>
  <c r="AA12" i="152"/>
  <c r="AB12" i="152"/>
  <c r="E13" i="152"/>
  <c r="F13" i="152"/>
  <c r="G13" i="152"/>
  <c r="H13" i="152"/>
  <c r="I13" i="152"/>
  <c r="J13" i="152"/>
  <c r="K13" i="152"/>
  <c r="L13" i="152"/>
  <c r="M13" i="152"/>
  <c r="N13" i="152"/>
  <c r="O13" i="152"/>
  <c r="P13" i="152"/>
  <c r="Q13" i="152"/>
  <c r="R13" i="152"/>
  <c r="S13" i="152"/>
  <c r="T13" i="152"/>
  <c r="U13" i="152"/>
  <c r="V13" i="152"/>
  <c r="W13" i="152"/>
  <c r="X13" i="152"/>
  <c r="Y13" i="152"/>
  <c r="Z13" i="152"/>
  <c r="AA13" i="152"/>
  <c r="AB13" i="152"/>
  <c r="E14" i="152"/>
  <c r="G14" i="152"/>
  <c r="H14" i="152"/>
  <c r="I14" i="152"/>
  <c r="J14" i="152"/>
  <c r="K14" i="152"/>
  <c r="L14" i="152"/>
  <c r="M14" i="152"/>
  <c r="N14" i="152"/>
  <c r="P14" i="152"/>
  <c r="Q14" i="152"/>
  <c r="R14" i="152"/>
  <c r="S14" i="152"/>
  <c r="T14" i="152"/>
  <c r="U14" i="152"/>
  <c r="V14" i="152"/>
  <c r="W14" i="152"/>
  <c r="X14" i="152"/>
  <c r="Y14" i="152"/>
  <c r="Z14" i="152"/>
  <c r="AA14" i="152"/>
  <c r="AB14" i="152"/>
  <c r="E15" i="152"/>
  <c r="F15" i="152"/>
  <c r="G15" i="152"/>
  <c r="H15" i="152"/>
  <c r="I15" i="152"/>
  <c r="J15" i="152"/>
  <c r="K15" i="152"/>
  <c r="L15" i="152"/>
  <c r="M15" i="152"/>
  <c r="N15" i="152"/>
  <c r="O15" i="152"/>
  <c r="P15" i="152"/>
  <c r="Q15" i="152"/>
  <c r="R15" i="152"/>
  <c r="S15" i="152"/>
  <c r="T15" i="152"/>
  <c r="U15" i="152"/>
  <c r="V15" i="152"/>
  <c r="W15" i="152"/>
  <c r="X15" i="152"/>
  <c r="Y15" i="152"/>
  <c r="Z15" i="152"/>
  <c r="AA15" i="152"/>
  <c r="AB15" i="152"/>
  <c r="E16" i="152"/>
  <c r="F16" i="152"/>
  <c r="G16" i="152"/>
  <c r="H16" i="152"/>
  <c r="I16" i="152"/>
  <c r="J16" i="152"/>
  <c r="K16" i="152"/>
  <c r="L16" i="152"/>
  <c r="M16" i="152"/>
  <c r="N16" i="152"/>
  <c r="O16" i="152"/>
  <c r="P16" i="152"/>
  <c r="Q16" i="152"/>
  <c r="R16" i="152"/>
  <c r="S16" i="152"/>
  <c r="T16" i="152"/>
  <c r="U16" i="152"/>
  <c r="V16" i="152"/>
  <c r="W16" i="152"/>
  <c r="X16" i="152"/>
  <c r="Y16" i="152"/>
  <c r="Z16" i="152"/>
  <c r="AA16" i="152"/>
  <c r="AB16" i="152"/>
  <c r="E17" i="152"/>
  <c r="F17" i="152"/>
  <c r="G17" i="152"/>
  <c r="H17" i="152"/>
  <c r="I17" i="152"/>
  <c r="J17" i="152"/>
  <c r="K17" i="152"/>
  <c r="L17" i="152"/>
  <c r="M17" i="152"/>
  <c r="N17" i="152"/>
  <c r="O17" i="152"/>
  <c r="P17" i="152"/>
  <c r="Q17" i="152"/>
  <c r="R17" i="152"/>
  <c r="S17" i="152"/>
  <c r="T17" i="152"/>
  <c r="U17" i="152"/>
  <c r="V17" i="152"/>
  <c r="W17" i="152"/>
  <c r="X17" i="152"/>
  <c r="Y17" i="152"/>
  <c r="Z17" i="152"/>
  <c r="AA17" i="152"/>
  <c r="AB17" i="152"/>
  <c r="E18" i="152"/>
  <c r="F18" i="152"/>
  <c r="G18" i="152"/>
  <c r="H18" i="152"/>
  <c r="I18" i="152"/>
  <c r="J18" i="152"/>
  <c r="K18" i="152"/>
  <c r="L18" i="152"/>
  <c r="M18" i="152"/>
  <c r="N18" i="152"/>
  <c r="O18" i="152"/>
  <c r="P18" i="152"/>
  <c r="Q18" i="152"/>
  <c r="R18" i="152"/>
  <c r="S18" i="152"/>
  <c r="T18" i="152"/>
  <c r="U18" i="152"/>
  <c r="V18" i="152"/>
  <c r="W18" i="152"/>
  <c r="X18" i="152"/>
  <c r="Y18" i="152"/>
  <c r="Z18" i="152"/>
  <c r="AA18" i="152"/>
  <c r="AB18" i="152"/>
  <c r="E19" i="152"/>
  <c r="F19" i="152"/>
  <c r="G19" i="152"/>
  <c r="H19" i="152"/>
  <c r="I19" i="152"/>
  <c r="J19" i="152"/>
  <c r="K19" i="152"/>
  <c r="L19" i="152"/>
  <c r="M19" i="152"/>
  <c r="N19" i="152"/>
  <c r="O19" i="152"/>
  <c r="P19" i="152"/>
  <c r="Q19" i="152"/>
  <c r="R19" i="152"/>
  <c r="S19" i="152"/>
  <c r="T19" i="152"/>
  <c r="U19" i="152"/>
  <c r="V19" i="152"/>
  <c r="W19" i="152"/>
  <c r="X19" i="152"/>
  <c r="Y19" i="152"/>
  <c r="Z19" i="152"/>
  <c r="AA19" i="152"/>
  <c r="AB19" i="152"/>
  <c r="E20" i="152"/>
  <c r="F20" i="152"/>
  <c r="G20" i="152"/>
  <c r="H20" i="152"/>
  <c r="I20" i="152"/>
  <c r="J20" i="152"/>
  <c r="K20" i="152"/>
  <c r="L20" i="152"/>
  <c r="M20" i="152"/>
  <c r="N20" i="152"/>
  <c r="O20" i="152"/>
  <c r="P20" i="152"/>
  <c r="Q20" i="152"/>
  <c r="R20" i="152"/>
  <c r="S20" i="152"/>
  <c r="T20" i="152"/>
  <c r="U20" i="152"/>
  <c r="V20" i="152"/>
  <c r="W20" i="152"/>
  <c r="X20" i="152"/>
  <c r="Y20" i="152"/>
  <c r="Z20" i="152"/>
  <c r="AA20" i="152"/>
  <c r="AB20" i="152"/>
  <c r="E21" i="152"/>
  <c r="F21" i="152"/>
  <c r="G21" i="152"/>
  <c r="H21" i="152"/>
  <c r="I21" i="152"/>
  <c r="J21" i="152"/>
  <c r="K21" i="152"/>
  <c r="L21" i="152"/>
  <c r="M21" i="152"/>
  <c r="N21" i="152"/>
  <c r="O21" i="152"/>
  <c r="P21" i="152"/>
  <c r="Q21" i="152"/>
  <c r="R21" i="152"/>
  <c r="S21" i="152"/>
  <c r="T21" i="152"/>
  <c r="U21" i="152"/>
  <c r="V21" i="152"/>
  <c r="W21" i="152"/>
  <c r="X21" i="152"/>
  <c r="Y21" i="152"/>
  <c r="Z21" i="152"/>
  <c r="AA21" i="152"/>
  <c r="AB21" i="152"/>
  <c r="E22" i="152"/>
  <c r="F22" i="152"/>
  <c r="G22" i="152"/>
  <c r="H22" i="152"/>
  <c r="I22" i="152"/>
  <c r="J22" i="152"/>
  <c r="K22" i="152"/>
  <c r="L22" i="152"/>
  <c r="M22" i="152"/>
  <c r="N22" i="152"/>
  <c r="O22" i="152"/>
  <c r="P22" i="152"/>
  <c r="Q22" i="152"/>
  <c r="R22" i="152"/>
  <c r="S22" i="152"/>
  <c r="T22" i="152"/>
  <c r="U22" i="152"/>
  <c r="V22" i="152"/>
  <c r="W22" i="152"/>
  <c r="X22" i="152"/>
  <c r="Y22" i="152"/>
  <c r="Z22" i="152"/>
  <c r="AA22" i="152"/>
  <c r="AB22" i="152"/>
  <c r="E23" i="152"/>
  <c r="F23" i="152"/>
  <c r="G23" i="152"/>
  <c r="H23" i="152"/>
  <c r="I23" i="152"/>
  <c r="J23" i="152"/>
  <c r="K23" i="152"/>
  <c r="L23" i="152"/>
  <c r="M23" i="152"/>
  <c r="N23" i="152"/>
  <c r="O23" i="152"/>
  <c r="P23" i="152"/>
  <c r="Q23" i="152"/>
  <c r="R23" i="152"/>
  <c r="S23" i="152"/>
  <c r="T23" i="152"/>
  <c r="U23" i="152"/>
  <c r="V23" i="152"/>
  <c r="W23" i="152"/>
  <c r="X23" i="152"/>
  <c r="Y23" i="152"/>
  <c r="Z23" i="152"/>
  <c r="AA23" i="152"/>
  <c r="AB23" i="152"/>
  <c r="E24" i="152"/>
  <c r="F24" i="152"/>
  <c r="G24" i="152"/>
  <c r="H24" i="152"/>
  <c r="I24" i="152"/>
  <c r="J24" i="152"/>
  <c r="K24" i="152"/>
  <c r="L24" i="152"/>
  <c r="M24" i="152"/>
  <c r="N24" i="152"/>
  <c r="O24" i="152"/>
  <c r="P24" i="152"/>
  <c r="Q24" i="152"/>
  <c r="R24" i="152"/>
  <c r="S24" i="152"/>
  <c r="T24" i="152"/>
  <c r="U24" i="152"/>
  <c r="V24" i="152"/>
  <c r="W24" i="152"/>
  <c r="X24" i="152"/>
  <c r="Y24" i="152"/>
  <c r="Z24" i="152"/>
  <c r="AA24" i="152"/>
  <c r="AB24" i="152"/>
  <c r="D7" i="152"/>
  <c r="D8" i="152"/>
  <c r="D9" i="152"/>
  <c r="D10" i="152"/>
  <c r="D11" i="152"/>
  <c r="D12" i="152"/>
  <c r="D13" i="152"/>
  <c r="D14" i="152"/>
  <c r="D15" i="152"/>
  <c r="D16" i="152"/>
  <c r="D17" i="152"/>
  <c r="D18" i="152"/>
  <c r="D19" i="152"/>
  <c r="D20" i="152"/>
  <c r="D21" i="152"/>
  <c r="D22" i="152"/>
  <c r="D23" i="152"/>
  <c r="D24" i="152"/>
  <c r="D6" i="152"/>
  <c r="Z25" i="152"/>
  <c r="Y25" i="152"/>
  <c r="V25" i="152"/>
  <c r="R25" i="152"/>
  <c r="Q25" i="152"/>
  <c r="J25" i="152"/>
  <c r="I25" i="152"/>
  <c r="H25" i="152"/>
  <c r="E25" i="152"/>
  <c r="S25" i="152"/>
  <c r="N25" i="152"/>
  <c r="A6" i="152"/>
  <c r="A7" i="152" s="1"/>
  <c r="A8" i="152" s="1"/>
  <c r="A9" i="152" s="1"/>
  <c r="A10" i="152" s="1"/>
  <c r="A11" i="152" s="1"/>
  <c r="A12" i="152" s="1"/>
  <c r="A13" i="152" s="1"/>
  <c r="A14" i="152" s="1"/>
  <c r="A15" i="152" s="1"/>
  <c r="A16" i="152" s="1"/>
  <c r="A17" i="152" s="1"/>
  <c r="A18" i="152" s="1"/>
  <c r="A19" i="152" s="1"/>
  <c r="A20" i="152" s="1"/>
  <c r="A21" i="152" s="1"/>
  <c r="A22" i="152" s="1"/>
  <c r="A23" i="152" s="1"/>
  <c r="A24" i="152" s="1"/>
  <c r="A25" i="152" s="1"/>
  <c r="E6" i="151"/>
  <c r="E12" i="151" s="1"/>
  <c r="G6" i="151"/>
  <c r="H6" i="151"/>
  <c r="I6" i="151"/>
  <c r="J6" i="151"/>
  <c r="J12" i="151" s="1"/>
  <c r="N6" i="151"/>
  <c r="Q6" i="151"/>
  <c r="R6" i="151"/>
  <c r="W6" i="151"/>
  <c r="W12" i="151" s="1"/>
  <c r="X6" i="151"/>
  <c r="Y6" i="151"/>
  <c r="Z6" i="151"/>
  <c r="AA6" i="151"/>
  <c r="AB6" i="151"/>
  <c r="E7" i="151"/>
  <c r="H7" i="151"/>
  <c r="I7" i="151"/>
  <c r="J7" i="151"/>
  <c r="N7" i="151"/>
  <c r="Q7" i="151"/>
  <c r="R7" i="151"/>
  <c r="W7" i="151"/>
  <c r="X7" i="151"/>
  <c r="Y7" i="151"/>
  <c r="Z7" i="151"/>
  <c r="AA7" i="151"/>
  <c r="AB7" i="151"/>
  <c r="E13" i="151"/>
  <c r="G13" i="151"/>
  <c r="H13" i="151"/>
  <c r="I13" i="151"/>
  <c r="J13" i="151"/>
  <c r="N13" i="151"/>
  <c r="Q13" i="151"/>
  <c r="R13" i="151"/>
  <c r="W13" i="151"/>
  <c r="X13" i="151"/>
  <c r="Y13" i="151"/>
  <c r="Z13" i="151"/>
  <c r="AA13" i="151"/>
  <c r="AB13" i="151"/>
  <c r="E14" i="151"/>
  <c r="G14" i="151"/>
  <c r="H14" i="151"/>
  <c r="I14" i="151"/>
  <c r="J14" i="151"/>
  <c r="N14" i="151"/>
  <c r="Q14" i="151"/>
  <c r="R14" i="151"/>
  <c r="W14" i="151"/>
  <c r="X14" i="151"/>
  <c r="Y14" i="151"/>
  <c r="Z14" i="151"/>
  <c r="AA14" i="151"/>
  <c r="AB14" i="151"/>
  <c r="E16" i="151"/>
  <c r="G16" i="151"/>
  <c r="H16" i="151"/>
  <c r="I16" i="151"/>
  <c r="J16" i="151"/>
  <c r="N16" i="151"/>
  <c r="Q16" i="151"/>
  <c r="R16" i="151"/>
  <c r="W16" i="151"/>
  <c r="X16" i="151"/>
  <c r="Y16" i="151"/>
  <c r="Z16" i="151"/>
  <c r="AA16" i="151"/>
  <c r="AB16" i="151"/>
  <c r="E15" i="151"/>
  <c r="G15" i="151"/>
  <c r="H15" i="151"/>
  <c r="I15" i="151"/>
  <c r="J15" i="151"/>
  <c r="N15" i="151"/>
  <c r="Q15" i="151"/>
  <c r="R15" i="151"/>
  <c r="W15" i="151"/>
  <c r="X15" i="151"/>
  <c r="Y15" i="151"/>
  <c r="Z15" i="151"/>
  <c r="AA15" i="151"/>
  <c r="AB15" i="151"/>
  <c r="E8" i="151"/>
  <c r="G8" i="151"/>
  <c r="H8" i="151"/>
  <c r="I8" i="151"/>
  <c r="J8" i="151"/>
  <c r="N8" i="151"/>
  <c r="Q8" i="151"/>
  <c r="R8" i="151"/>
  <c r="W8" i="151"/>
  <c r="X8" i="151"/>
  <c r="Y8" i="151"/>
  <c r="Z8" i="151"/>
  <c r="AA8" i="151"/>
  <c r="AB8" i="151"/>
  <c r="E9" i="151"/>
  <c r="G9" i="151"/>
  <c r="H9" i="151"/>
  <c r="I9" i="151"/>
  <c r="J9" i="151"/>
  <c r="N9" i="151"/>
  <c r="Q9" i="151"/>
  <c r="R9" i="151"/>
  <c r="W9" i="151"/>
  <c r="X9" i="151"/>
  <c r="Y9" i="151"/>
  <c r="Z9" i="151"/>
  <c r="AA9" i="151"/>
  <c r="AB9" i="151"/>
  <c r="E10" i="151"/>
  <c r="G10" i="151"/>
  <c r="H10" i="151"/>
  <c r="I10" i="151"/>
  <c r="J10" i="151"/>
  <c r="N10" i="151"/>
  <c r="Q10" i="151"/>
  <c r="R10" i="151"/>
  <c r="W10" i="151"/>
  <c r="X10" i="151"/>
  <c r="Y10" i="151"/>
  <c r="Z10" i="151"/>
  <c r="AA10" i="151"/>
  <c r="AB10" i="151"/>
  <c r="E11" i="151"/>
  <c r="G11" i="151"/>
  <c r="H11" i="151"/>
  <c r="I11" i="151"/>
  <c r="J11" i="151"/>
  <c r="N11" i="151"/>
  <c r="Q11" i="151"/>
  <c r="R11" i="151"/>
  <c r="W11" i="151"/>
  <c r="X11" i="151"/>
  <c r="Y11" i="151"/>
  <c r="Z11" i="151"/>
  <c r="AA11" i="151"/>
  <c r="AB11" i="151"/>
  <c r="E18" i="151"/>
  <c r="G18" i="151"/>
  <c r="H18" i="151"/>
  <c r="I18" i="151"/>
  <c r="J18" i="151"/>
  <c r="N18" i="151"/>
  <c r="Q18" i="151"/>
  <c r="R18" i="151"/>
  <c r="W18" i="151"/>
  <c r="X18" i="151"/>
  <c r="Y18" i="151"/>
  <c r="Z18" i="151"/>
  <c r="AA18" i="151"/>
  <c r="AB18" i="151"/>
  <c r="E19" i="151"/>
  <c r="G19" i="151"/>
  <c r="H19" i="151"/>
  <c r="I19" i="151"/>
  <c r="J19" i="151"/>
  <c r="N19" i="151"/>
  <c r="Q19" i="151"/>
  <c r="R19" i="151"/>
  <c r="W19" i="151"/>
  <c r="X19" i="151"/>
  <c r="Y19" i="151"/>
  <c r="Z19" i="151"/>
  <c r="AA19" i="151"/>
  <c r="AB19" i="151"/>
  <c r="E17" i="151"/>
  <c r="G17" i="151"/>
  <c r="H17" i="151"/>
  <c r="I17" i="151"/>
  <c r="J17" i="151"/>
  <c r="N17" i="151"/>
  <c r="Q17" i="151"/>
  <c r="R17" i="151"/>
  <c r="W17" i="151"/>
  <c r="X17" i="151"/>
  <c r="Y17" i="151"/>
  <c r="Z17" i="151"/>
  <c r="AA17" i="151"/>
  <c r="AB17" i="151"/>
  <c r="D7" i="151"/>
  <c r="D13" i="151"/>
  <c r="D14" i="151"/>
  <c r="D16" i="151"/>
  <c r="D15" i="151"/>
  <c r="D8" i="151"/>
  <c r="D9" i="151"/>
  <c r="D10" i="151"/>
  <c r="D11" i="151"/>
  <c r="D18" i="151"/>
  <c r="D19" i="151"/>
  <c r="D17" i="151"/>
  <c r="D6" i="151"/>
  <c r="A6" i="151"/>
  <c r="A7" i="151" s="1"/>
  <c r="E10" i="150"/>
  <c r="G10" i="150"/>
  <c r="H10" i="150"/>
  <c r="I10" i="150"/>
  <c r="J10" i="150"/>
  <c r="N10" i="150"/>
  <c r="Q10" i="150"/>
  <c r="R10" i="150"/>
  <c r="V10" i="150"/>
  <c r="X10" i="150"/>
  <c r="Y10" i="150"/>
  <c r="Z10" i="150"/>
  <c r="AA10" i="150"/>
  <c r="AB10" i="150"/>
  <c r="E6" i="150"/>
  <c r="E7" i="150" s="1"/>
  <c r="G6" i="150"/>
  <c r="G7" i="150" s="1"/>
  <c r="H6" i="150"/>
  <c r="H7" i="150" s="1"/>
  <c r="I6" i="150"/>
  <c r="I7" i="150" s="1"/>
  <c r="J6" i="150"/>
  <c r="J7" i="150" s="1"/>
  <c r="Q6" i="150"/>
  <c r="Q7" i="150" s="1"/>
  <c r="R6" i="150"/>
  <c r="R7" i="150" s="1"/>
  <c r="V6" i="150"/>
  <c r="V7" i="150" s="1"/>
  <c r="X6" i="150"/>
  <c r="X7" i="150" s="1"/>
  <c r="Y6" i="150"/>
  <c r="Y7" i="150" s="1"/>
  <c r="Z6" i="150"/>
  <c r="Z7" i="150" s="1"/>
  <c r="AA6" i="150"/>
  <c r="AB6" i="150"/>
  <c r="E15" i="150"/>
  <c r="G15" i="150"/>
  <c r="H15" i="150"/>
  <c r="H17" i="150" s="1"/>
  <c r="I15" i="150"/>
  <c r="J15" i="150"/>
  <c r="Q15" i="150"/>
  <c r="R15" i="150"/>
  <c r="X15" i="150"/>
  <c r="Y15" i="150"/>
  <c r="Z15" i="150"/>
  <c r="AA15" i="150"/>
  <c r="AB15" i="150"/>
  <c r="E11" i="150"/>
  <c r="G11" i="150"/>
  <c r="H11" i="150"/>
  <c r="I11" i="150"/>
  <c r="J11" i="150"/>
  <c r="Q11" i="150"/>
  <c r="R11" i="150"/>
  <c r="W11" i="150"/>
  <c r="X11" i="150"/>
  <c r="Y11" i="150"/>
  <c r="Z11" i="150"/>
  <c r="AA11" i="150"/>
  <c r="AB11" i="150"/>
  <c r="E8" i="150"/>
  <c r="E9" i="150" s="1"/>
  <c r="G8" i="150"/>
  <c r="G9" i="150" s="1"/>
  <c r="H8" i="150"/>
  <c r="H9" i="150" s="1"/>
  <c r="I8" i="150"/>
  <c r="I9" i="150" s="1"/>
  <c r="J8" i="150"/>
  <c r="J9" i="150" s="1"/>
  <c r="Q8" i="150"/>
  <c r="Q9" i="150" s="1"/>
  <c r="X8" i="150"/>
  <c r="X9" i="150" s="1"/>
  <c r="Y8" i="150"/>
  <c r="Y9" i="150" s="1"/>
  <c r="Z8" i="150"/>
  <c r="Z9" i="150" s="1"/>
  <c r="AA8" i="150"/>
  <c r="AB8" i="150"/>
  <c r="E12" i="150"/>
  <c r="G12" i="150"/>
  <c r="H12" i="150"/>
  <c r="I12" i="150"/>
  <c r="J12" i="150"/>
  <c r="Q12" i="150"/>
  <c r="R12" i="150"/>
  <c r="V12" i="150"/>
  <c r="X12" i="150"/>
  <c r="Y12" i="150"/>
  <c r="Z12" i="150"/>
  <c r="AA12" i="150"/>
  <c r="AB12" i="150"/>
  <c r="E13" i="150"/>
  <c r="G13" i="150"/>
  <c r="H13" i="150"/>
  <c r="I13" i="150"/>
  <c r="J13" i="150"/>
  <c r="Q13" i="150"/>
  <c r="R13" i="150"/>
  <c r="W13" i="150"/>
  <c r="X13" i="150"/>
  <c r="Y13" i="150"/>
  <c r="Z13" i="150"/>
  <c r="AA13" i="150"/>
  <c r="AB13" i="150"/>
  <c r="E16" i="150"/>
  <c r="G16" i="150"/>
  <c r="H16" i="150"/>
  <c r="I16" i="150"/>
  <c r="J16" i="150"/>
  <c r="Q16" i="150"/>
  <c r="R16" i="150"/>
  <c r="V16" i="150"/>
  <c r="X16" i="150"/>
  <c r="Y16" i="150"/>
  <c r="Z16" i="150"/>
  <c r="AA16" i="150"/>
  <c r="AB16" i="150"/>
  <c r="D6" i="150"/>
  <c r="D7" i="150" s="1"/>
  <c r="D15" i="150"/>
  <c r="D17" i="150" s="1"/>
  <c r="D11" i="150"/>
  <c r="D8" i="150"/>
  <c r="D9" i="150" s="1"/>
  <c r="D12" i="150"/>
  <c r="D13" i="150"/>
  <c r="D16" i="150"/>
  <c r="D10" i="150"/>
  <c r="A6" i="150"/>
  <c r="T5" i="150"/>
  <c r="U5" i="150" s="1"/>
  <c r="E6" i="149"/>
  <c r="E23" i="149" s="1"/>
  <c r="G6" i="149"/>
  <c r="H6" i="149"/>
  <c r="I6" i="149"/>
  <c r="J6" i="149"/>
  <c r="N6" i="149"/>
  <c r="Q6" i="149"/>
  <c r="R6" i="149"/>
  <c r="W6" i="149"/>
  <c r="X6" i="149"/>
  <c r="Y6" i="149"/>
  <c r="Z6" i="149"/>
  <c r="AA6" i="149"/>
  <c r="AB6" i="149"/>
  <c r="E7" i="149"/>
  <c r="G7" i="149"/>
  <c r="H7" i="149"/>
  <c r="I7" i="149"/>
  <c r="J7" i="149"/>
  <c r="N7" i="149"/>
  <c r="Q7" i="149"/>
  <c r="R7" i="149"/>
  <c r="W7" i="149"/>
  <c r="X7" i="149"/>
  <c r="Y7" i="149"/>
  <c r="Y23" i="149" s="1"/>
  <c r="Z7" i="149"/>
  <c r="AA7" i="149"/>
  <c r="AB7" i="149"/>
  <c r="E8" i="149"/>
  <c r="G8" i="149"/>
  <c r="H8" i="149"/>
  <c r="I8" i="149"/>
  <c r="J8" i="149"/>
  <c r="N8" i="149"/>
  <c r="Q8" i="149"/>
  <c r="R8" i="149"/>
  <c r="W8" i="149"/>
  <c r="X8" i="149"/>
  <c r="Y8" i="149"/>
  <c r="Z8" i="149"/>
  <c r="AA8" i="149"/>
  <c r="AB8" i="149"/>
  <c r="E9" i="149"/>
  <c r="G9" i="149"/>
  <c r="H9" i="149"/>
  <c r="I9" i="149"/>
  <c r="J9" i="149"/>
  <c r="N9" i="149"/>
  <c r="Q9" i="149"/>
  <c r="R9" i="149"/>
  <c r="W9" i="149"/>
  <c r="X9" i="149"/>
  <c r="Y9" i="149"/>
  <c r="Z9" i="149"/>
  <c r="AA9" i="149"/>
  <c r="AB9" i="149"/>
  <c r="E10" i="149"/>
  <c r="G10" i="149"/>
  <c r="H10" i="149"/>
  <c r="I10" i="149"/>
  <c r="J10" i="149"/>
  <c r="N10" i="149"/>
  <c r="Q10" i="149"/>
  <c r="R10" i="149"/>
  <c r="W10" i="149"/>
  <c r="X10" i="149"/>
  <c r="Y10" i="149"/>
  <c r="Z10" i="149"/>
  <c r="AA10" i="149"/>
  <c r="AB10" i="149"/>
  <c r="E11" i="149"/>
  <c r="G11" i="149"/>
  <c r="H11" i="149"/>
  <c r="I11" i="149"/>
  <c r="J11" i="149"/>
  <c r="N11" i="149"/>
  <c r="Q11" i="149"/>
  <c r="R11" i="149"/>
  <c r="W11" i="149"/>
  <c r="X11" i="149"/>
  <c r="Y11" i="149"/>
  <c r="Z11" i="149"/>
  <c r="AA11" i="149"/>
  <c r="AB11" i="149"/>
  <c r="E12" i="149"/>
  <c r="G12" i="149"/>
  <c r="H12" i="149"/>
  <c r="I12" i="149"/>
  <c r="J12" i="149"/>
  <c r="N12" i="149"/>
  <c r="Q12" i="149"/>
  <c r="R12" i="149"/>
  <c r="W12" i="149"/>
  <c r="X12" i="149"/>
  <c r="Y12" i="149"/>
  <c r="Z12" i="149"/>
  <c r="AA12" i="149"/>
  <c r="AB12" i="149"/>
  <c r="E13" i="149"/>
  <c r="G13" i="149"/>
  <c r="H13" i="149"/>
  <c r="I13" i="149"/>
  <c r="J13" i="149"/>
  <c r="N13" i="149"/>
  <c r="Q13" i="149"/>
  <c r="R13" i="149"/>
  <c r="W13" i="149"/>
  <c r="X13" i="149"/>
  <c r="Y13" i="149"/>
  <c r="Z13" i="149"/>
  <c r="AA13" i="149"/>
  <c r="AB13" i="149"/>
  <c r="E14" i="149"/>
  <c r="G14" i="149"/>
  <c r="H14" i="149"/>
  <c r="I14" i="149"/>
  <c r="J14" i="149"/>
  <c r="N14" i="149"/>
  <c r="Q14" i="149"/>
  <c r="R14" i="149"/>
  <c r="W14" i="149"/>
  <c r="X14" i="149"/>
  <c r="Y14" i="149"/>
  <c r="Z14" i="149"/>
  <c r="AA14" i="149"/>
  <c r="AB14" i="149"/>
  <c r="E15" i="149"/>
  <c r="G15" i="149"/>
  <c r="H15" i="149"/>
  <c r="I15" i="149"/>
  <c r="J15" i="149"/>
  <c r="N15" i="149"/>
  <c r="Q15" i="149"/>
  <c r="R15" i="149"/>
  <c r="W15" i="149"/>
  <c r="X15" i="149"/>
  <c r="Y15" i="149"/>
  <c r="Z15" i="149"/>
  <c r="AA15" i="149"/>
  <c r="AB15" i="149"/>
  <c r="E16" i="149"/>
  <c r="H16" i="149"/>
  <c r="I16" i="149"/>
  <c r="J16" i="149"/>
  <c r="N16" i="149"/>
  <c r="Q16" i="149"/>
  <c r="R16" i="149"/>
  <c r="W16" i="149"/>
  <c r="X16" i="149"/>
  <c r="Y16" i="149"/>
  <c r="Z16" i="149"/>
  <c r="AA16" i="149"/>
  <c r="AB16" i="149"/>
  <c r="E17" i="149"/>
  <c r="G17" i="149"/>
  <c r="H17" i="149"/>
  <c r="I17" i="149"/>
  <c r="I23" i="149" s="1"/>
  <c r="J17" i="149"/>
  <c r="Q17" i="149"/>
  <c r="R17" i="149"/>
  <c r="W17" i="149"/>
  <c r="X17" i="149"/>
  <c r="Y17" i="149"/>
  <c r="Z17" i="149"/>
  <c r="AA17" i="149"/>
  <c r="AB17" i="149"/>
  <c r="E18" i="149"/>
  <c r="G18" i="149"/>
  <c r="H18" i="149"/>
  <c r="I18" i="149"/>
  <c r="J18" i="149"/>
  <c r="N18" i="149"/>
  <c r="Q18" i="149"/>
  <c r="R18" i="149"/>
  <c r="W18" i="149"/>
  <c r="X18" i="149"/>
  <c r="Y18" i="149"/>
  <c r="Z18" i="149"/>
  <c r="AA18" i="149"/>
  <c r="AB18" i="149"/>
  <c r="E19" i="149"/>
  <c r="G19" i="149"/>
  <c r="H19" i="149"/>
  <c r="I19" i="149"/>
  <c r="J19" i="149"/>
  <c r="Q19" i="149"/>
  <c r="R19" i="149"/>
  <c r="W19" i="149"/>
  <c r="X19" i="149"/>
  <c r="Y19" i="149"/>
  <c r="Z19" i="149"/>
  <c r="AA19" i="149"/>
  <c r="AB19" i="149"/>
  <c r="E20" i="149"/>
  <c r="G20" i="149"/>
  <c r="H20" i="149"/>
  <c r="I20" i="149"/>
  <c r="J20" i="149"/>
  <c r="N20" i="149"/>
  <c r="Q20" i="149"/>
  <c r="R20" i="149"/>
  <c r="W20" i="149"/>
  <c r="X20" i="149"/>
  <c r="Y20" i="149"/>
  <c r="Z20" i="149"/>
  <c r="AA20" i="149"/>
  <c r="AB20" i="149"/>
  <c r="E21" i="149"/>
  <c r="G21" i="149"/>
  <c r="H21" i="149"/>
  <c r="I21" i="149"/>
  <c r="J21" i="149"/>
  <c r="N21" i="149"/>
  <c r="Q21" i="149"/>
  <c r="R21" i="149"/>
  <c r="W21" i="149"/>
  <c r="X21" i="149"/>
  <c r="Y21" i="149"/>
  <c r="Z21" i="149"/>
  <c r="AA21" i="149"/>
  <c r="AB21" i="149"/>
  <c r="E22" i="149"/>
  <c r="G22" i="149"/>
  <c r="H22" i="149"/>
  <c r="I22" i="149"/>
  <c r="J22" i="149"/>
  <c r="N22" i="149"/>
  <c r="Q22" i="149"/>
  <c r="R22" i="149"/>
  <c r="R23" i="149" s="1"/>
  <c r="W22" i="149"/>
  <c r="X22" i="149"/>
  <c r="Y22" i="149"/>
  <c r="Z22" i="149"/>
  <c r="AA22" i="149"/>
  <c r="AB22" i="149"/>
  <c r="D7" i="149"/>
  <c r="D8" i="149"/>
  <c r="D9" i="149"/>
  <c r="D10" i="149"/>
  <c r="D11" i="149"/>
  <c r="D13" i="149"/>
  <c r="D14" i="149"/>
  <c r="D15" i="149"/>
  <c r="D16" i="149"/>
  <c r="D17" i="149"/>
  <c r="D18" i="149"/>
  <c r="D19" i="149"/>
  <c r="D20" i="149"/>
  <c r="D21" i="149"/>
  <c r="D22" i="149"/>
  <c r="D6" i="149"/>
  <c r="Q23" i="149"/>
  <c r="A7" i="149"/>
  <c r="A8" i="149" s="1"/>
  <c r="A9" i="149" s="1"/>
  <c r="A10" i="149" s="1"/>
  <c r="A11" i="149" s="1"/>
  <c r="A12" i="149" s="1"/>
  <c r="A13" i="149" s="1"/>
  <c r="A14" i="149" s="1"/>
  <c r="A15" i="149" s="1"/>
  <c r="A16" i="149" s="1"/>
  <c r="A17" i="149" s="1"/>
  <c r="A18" i="149" s="1"/>
  <c r="A19" i="149" s="1"/>
  <c r="A20" i="149" s="1"/>
  <c r="A21" i="149" s="1"/>
  <c r="A22" i="149" s="1"/>
  <c r="A23" i="149" s="1"/>
  <c r="A6" i="149"/>
  <c r="T5" i="149"/>
  <c r="U5" i="149" s="1"/>
  <c r="O5" i="149"/>
  <c r="H17" i="148"/>
  <c r="I17" i="148"/>
  <c r="J17" i="148"/>
  <c r="N17" i="148"/>
  <c r="Q17" i="148"/>
  <c r="R17" i="148"/>
  <c r="W17" i="148"/>
  <c r="X17" i="148"/>
  <c r="Y17" i="148"/>
  <c r="Z17" i="148"/>
  <c r="AA17" i="148"/>
  <c r="AB17" i="148"/>
  <c r="E8" i="148"/>
  <c r="H8" i="148"/>
  <c r="I8" i="148"/>
  <c r="J8" i="148"/>
  <c r="Q8" i="148"/>
  <c r="R8" i="148"/>
  <c r="W8" i="148"/>
  <c r="X8" i="148"/>
  <c r="Y8" i="148"/>
  <c r="Z8" i="148"/>
  <c r="AA8" i="148"/>
  <c r="AB8" i="148"/>
  <c r="E9" i="148"/>
  <c r="G9" i="148"/>
  <c r="H9" i="148"/>
  <c r="I9" i="148"/>
  <c r="J9" i="148"/>
  <c r="N9" i="148"/>
  <c r="Q9" i="148"/>
  <c r="R9" i="148"/>
  <c r="W9" i="148"/>
  <c r="X9" i="148"/>
  <c r="Y9" i="148"/>
  <c r="Z9" i="148"/>
  <c r="AA9" i="148"/>
  <c r="AB9" i="148"/>
  <c r="E14" i="148"/>
  <c r="G14" i="148"/>
  <c r="H14" i="148"/>
  <c r="I14" i="148"/>
  <c r="J14" i="148"/>
  <c r="N14" i="148"/>
  <c r="Q14" i="148"/>
  <c r="R14" i="148"/>
  <c r="W14" i="148"/>
  <c r="X14" i="148"/>
  <c r="Y14" i="148"/>
  <c r="Z14" i="148"/>
  <c r="AA14" i="148"/>
  <c r="AB14" i="148"/>
  <c r="E15" i="148"/>
  <c r="G15" i="148"/>
  <c r="H15" i="148"/>
  <c r="I15" i="148"/>
  <c r="J15" i="148"/>
  <c r="N15" i="148"/>
  <c r="Q15" i="148"/>
  <c r="R15" i="148"/>
  <c r="W15" i="148"/>
  <c r="X15" i="148"/>
  <c r="Y15" i="148"/>
  <c r="Z15" i="148"/>
  <c r="AA15" i="148"/>
  <c r="AB15" i="148"/>
  <c r="E6" i="148"/>
  <c r="E7" i="148" s="1"/>
  <c r="C7" i="97" s="1"/>
  <c r="G6" i="148"/>
  <c r="G7" i="148" s="1"/>
  <c r="E7" i="97" s="1"/>
  <c r="H6" i="148"/>
  <c r="H7" i="148" s="1"/>
  <c r="I6" i="148"/>
  <c r="I7" i="148" s="1"/>
  <c r="G7" i="97" s="1"/>
  <c r="J6" i="148"/>
  <c r="J7" i="148" s="1"/>
  <c r="N6" i="148"/>
  <c r="N7" i="148" s="1"/>
  <c r="Q6" i="148"/>
  <c r="Q7" i="148" s="1"/>
  <c r="O7" i="97" s="1"/>
  <c r="R6" i="148"/>
  <c r="R7" i="148" s="1"/>
  <c r="W6" i="148"/>
  <c r="W7" i="148" s="1"/>
  <c r="X6" i="148"/>
  <c r="Y6" i="148"/>
  <c r="Z6" i="148"/>
  <c r="AA6" i="148"/>
  <c r="AB6" i="148"/>
  <c r="E19" i="148"/>
  <c r="E20" i="148" s="1"/>
  <c r="C19" i="97" s="1"/>
  <c r="G19" i="148"/>
  <c r="G20" i="148" s="1"/>
  <c r="E19" i="97" s="1"/>
  <c r="H19" i="148"/>
  <c r="H20" i="148" s="1"/>
  <c r="F19" i="97" s="1"/>
  <c r="I19" i="148"/>
  <c r="I20" i="148" s="1"/>
  <c r="G19" i="97" s="1"/>
  <c r="J19" i="148"/>
  <c r="J20" i="148" s="1"/>
  <c r="H19" i="97" s="1"/>
  <c r="N19" i="148"/>
  <c r="N20" i="148" s="1"/>
  <c r="L19" i="97" s="1"/>
  <c r="Q19" i="148"/>
  <c r="Q20" i="148" s="1"/>
  <c r="O19" i="97" s="1"/>
  <c r="R19" i="148"/>
  <c r="R20" i="148" s="1"/>
  <c r="P19" i="97" s="1"/>
  <c r="W19" i="148"/>
  <c r="W20" i="148" s="1"/>
  <c r="U19" i="97" s="1"/>
  <c r="X19" i="148"/>
  <c r="Y19" i="148"/>
  <c r="Z19" i="148"/>
  <c r="AA19" i="148"/>
  <c r="AB19" i="148"/>
  <c r="E10" i="148"/>
  <c r="G10" i="148"/>
  <c r="H10" i="148"/>
  <c r="I10" i="148"/>
  <c r="J10" i="148"/>
  <c r="N10" i="148"/>
  <c r="Q10" i="148"/>
  <c r="R10" i="148"/>
  <c r="W10" i="148"/>
  <c r="X10" i="148"/>
  <c r="Y10" i="148"/>
  <c r="Z10" i="148"/>
  <c r="AA10" i="148"/>
  <c r="AB10" i="148"/>
  <c r="E11" i="148"/>
  <c r="G11" i="148"/>
  <c r="H11" i="148"/>
  <c r="I11" i="148"/>
  <c r="N11" i="148"/>
  <c r="Q11" i="148"/>
  <c r="R11" i="148"/>
  <c r="W11" i="148"/>
  <c r="X11" i="148"/>
  <c r="Y11" i="148"/>
  <c r="Z11" i="148"/>
  <c r="AA11" i="148"/>
  <c r="AB11" i="148"/>
  <c r="E12" i="148"/>
  <c r="G12" i="148"/>
  <c r="H12" i="148"/>
  <c r="I12" i="148"/>
  <c r="J12" i="148"/>
  <c r="N12" i="148"/>
  <c r="Q12" i="148"/>
  <c r="R12" i="148"/>
  <c r="W12" i="148"/>
  <c r="X12" i="148"/>
  <c r="Y12" i="148"/>
  <c r="Z12" i="148"/>
  <c r="AA12" i="148"/>
  <c r="AB12" i="148"/>
  <c r="D9" i="148"/>
  <c r="D14" i="148"/>
  <c r="D15" i="148"/>
  <c r="D6" i="148"/>
  <c r="D7" i="148" s="1"/>
  <c r="D19" i="148"/>
  <c r="D20" i="148" s="1"/>
  <c r="B19" i="97" s="1"/>
  <c r="D11" i="148"/>
  <c r="D12" i="148"/>
  <c r="D8" i="148"/>
  <c r="L7" i="97" l="1"/>
  <c r="H7" i="97"/>
  <c r="P7" i="97"/>
  <c r="G31" i="153"/>
  <c r="X10" i="97"/>
  <c r="P10" i="97"/>
  <c r="Q56" i="153"/>
  <c r="O15" i="97" s="1"/>
  <c r="E56" i="153"/>
  <c r="Z31" i="153"/>
  <c r="R31" i="153"/>
  <c r="J31" i="153"/>
  <c r="X56" i="153"/>
  <c r="H56" i="153"/>
  <c r="F15" i="97" s="1"/>
  <c r="C15" i="97"/>
  <c r="Y40" i="153"/>
  <c r="Q40" i="153"/>
  <c r="I40" i="153"/>
  <c r="E40" i="153"/>
  <c r="W10" i="97"/>
  <c r="O10" i="97"/>
  <c r="F10" i="97"/>
  <c r="Y56" i="153"/>
  <c r="I56" i="153"/>
  <c r="J40" i="153"/>
  <c r="Y31" i="153"/>
  <c r="Q31" i="153"/>
  <c r="I31" i="153"/>
  <c r="E31" i="153"/>
  <c r="G56" i="153"/>
  <c r="G15" i="97"/>
  <c r="X40" i="153"/>
  <c r="H40" i="153"/>
  <c r="B10" i="97"/>
  <c r="V10" i="97"/>
  <c r="L10" i="97"/>
  <c r="E10" i="97"/>
  <c r="V15" i="97"/>
  <c r="Z40" i="153"/>
  <c r="R40" i="153"/>
  <c r="G10" i="97"/>
  <c r="F7" i="97"/>
  <c r="X31" i="153"/>
  <c r="V8" i="97" s="1"/>
  <c r="H31" i="153"/>
  <c r="R56" i="153"/>
  <c r="J56" i="153"/>
  <c r="W15" i="97"/>
  <c r="H10" i="97"/>
  <c r="C10" i="97"/>
  <c r="Y30" i="155"/>
  <c r="Y31" i="155" s="1"/>
  <c r="J30" i="155"/>
  <c r="J31" i="155" s="1"/>
  <c r="E30" i="155"/>
  <c r="I30" i="155"/>
  <c r="X30" i="155"/>
  <c r="R30" i="155"/>
  <c r="H30" i="155"/>
  <c r="H31" i="155" s="1"/>
  <c r="V30" i="155"/>
  <c r="V31" i="155" s="1"/>
  <c r="Q30" i="155"/>
  <c r="Q31" i="155" s="1"/>
  <c r="G30" i="155"/>
  <c r="G31" i="155" s="1"/>
  <c r="R13" i="148"/>
  <c r="D56" i="157"/>
  <c r="W20" i="157"/>
  <c r="S20" i="157"/>
  <c r="K20" i="157"/>
  <c r="G20" i="157"/>
  <c r="S80" i="157"/>
  <c r="O80" i="157"/>
  <c r="K80" i="157"/>
  <c r="G80" i="157"/>
  <c r="S56" i="157"/>
  <c r="O56" i="157"/>
  <c r="K56" i="157"/>
  <c r="G56" i="157"/>
  <c r="W70" i="157"/>
  <c r="S70" i="157"/>
  <c r="O70" i="157"/>
  <c r="K70" i="157"/>
  <c r="G70" i="157"/>
  <c r="D73" i="157"/>
  <c r="D70" i="157"/>
  <c r="B14" i="97" s="1"/>
  <c r="Z20" i="157"/>
  <c r="V20" i="157"/>
  <c r="R20" i="157"/>
  <c r="N20" i="157"/>
  <c r="J20" i="157"/>
  <c r="Z80" i="157"/>
  <c r="R80" i="157"/>
  <c r="N80" i="157"/>
  <c r="J80" i="157"/>
  <c r="F80" i="157"/>
  <c r="Z56" i="157"/>
  <c r="R56" i="157"/>
  <c r="N56" i="157"/>
  <c r="J56" i="157"/>
  <c r="F56" i="157"/>
  <c r="Z70" i="157"/>
  <c r="V70" i="157"/>
  <c r="R70" i="157"/>
  <c r="N70" i="157"/>
  <c r="J70" i="157"/>
  <c r="F70" i="157"/>
  <c r="D80" i="157"/>
  <c r="Z60" i="157"/>
  <c r="V60" i="157"/>
  <c r="R60" i="157"/>
  <c r="N60" i="157"/>
  <c r="J60" i="157"/>
  <c r="F60" i="157"/>
  <c r="Y73" i="157"/>
  <c r="U73" i="157"/>
  <c r="Q73" i="157"/>
  <c r="M73" i="157"/>
  <c r="I73" i="157"/>
  <c r="E73" i="157"/>
  <c r="Y20" i="157"/>
  <c r="U20" i="157"/>
  <c r="Q20" i="157"/>
  <c r="M20" i="157"/>
  <c r="I20" i="157"/>
  <c r="E20" i="157"/>
  <c r="Y80" i="157"/>
  <c r="U80" i="157"/>
  <c r="Q80" i="157"/>
  <c r="M80" i="157"/>
  <c r="I80" i="157"/>
  <c r="E80" i="157"/>
  <c r="Y56" i="157"/>
  <c r="U56" i="157"/>
  <c r="Q56" i="157"/>
  <c r="M56" i="157"/>
  <c r="I56" i="157"/>
  <c r="E56" i="157"/>
  <c r="Y70" i="157"/>
  <c r="U70" i="157"/>
  <c r="Q70" i="157"/>
  <c r="M70" i="157"/>
  <c r="I70" i="157"/>
  <c r="E70" i="157"/>
  <c r="D20" i="157"/>
  <c r="Y60" i="157"/>
  <c r="U60" i="157"/>
  <c r="Q60" i="157"/>
  <c r="M60" i="157"/>
  <c r="I60" i="157"/>
  <c r="E60" i="157"/>
  <c r="X73" i="157"/>
  <c r="T73" i="157"/>
  <c r="P73" i="157"/>
  <c r="L73" i="157"/>
  <c r="H73" i="157"/>
  <c r="X20" i="157"/>
  <c r="T20" i="157"/>
  <c r="P20" i="157"/>
  <c r="L20" i="157"/>
  <c r="H20" i="157"/>
  <c r="X80" i="157"/>
  <c r="T80" i="157"/>
  <c r="P80" i="157"/>
  <c r="L80" i="157"/>
  <c r="H80" i="157"/>
  <c r="X56" i="157"/>
  <c r="T56" i="157"/>
  <c r="P56" i="157"/>
  <c r="L56" i="157"/>
  <c r="H56" i="157"/>
  <c r="X70" i="157"/>
  <c r="T70" i="157"/>
  <c r="P70" i="157"/>
  <c r="L70" i="157"/>
  <c r="H70" i="157"/>
  <c r="G20" i="151"/>
  <c r="D20" i="151"/>
  <c r="Z20" i="151"/>
  <c r="R20" i="151"/>
  <c r="I20" i="151"/>
  <c r="Y12" i="151"/>
  <c r="Q12" i="151"/>
  <c r="H12" i="151"/>
  <c r="X20" i="151"/>
  <c r="D12" i="151"/>
  <c r="Y20" i="151"/>
  <c r="Q20" i="151"/>
  <c r="Q21" i="151" s="1"/>
  <c r="H20" i="151"/>
  <c r="H21" i="151" s="1"/>
  <c r="X12" i="151"/>
  <c r="N12" i="151"/>
  <c r="N20" i="151"/>
  <c r="N21" i="151" s="1"/>
  <c r="W20" i="151"/>
  <c r="W21" i="151" s="1"/>
  <c r="J20" i="151"/>
  <c r="J21" i="151" s="1"/>
  <c r="E20" i="151"/>
  <c r="E21" i="151" s="1"/>
  <c r="Z12" i="151"/>
  <c r="R12" i="151"/>
  <c r="I12" i="151"/>
  <c r="Q13" i="148"/>
  <c r="E13" i="148"/>
  <c r="C8" i="97" s="1"/>
  <c r="W13" i="148"/>
  <c r="I13" i="148"/>
  <c r="Z23" i="149"/>
  <c r="W23" i="149"/>
  <c r="J23" i="149"/>
  <c r="Q17" i="150"/>
  <c r="Y17" i="150"/>
  <c r="E17" i="150"/>
  <c r="X17" i="150"/>
  <c r="I17" i="150"/>
  <c r="H13" i="148"/>
  <c r="H23" i="149"/>
  <c r="X23" i="149"/>
  <c r="E18" i="150"/>
  <c r="Y14" i="150"/>
  <c r="Y18" i="150" s="1"/>
  <c r="E14" i="150"/>
  <c r="X14" i="150"/>
  <c r="X18" i="150" s="1"/>
  <c r="D14" i="150"/>
  <c r="D18" i="150" s="1"/>
  <c r="G17" i="150"/>
  <c r="G18" i="150" s="1"/>
  <c r="G14" i="150"/>
  <c r="I18" i="150"/>
  <c r="Q14" i="150"/>
  <c r="Q18" i="150" s="1"/>
  <c r="I14" i="150"/>
  <c r="H14" i="150"/>
  <c r="H18" i="150" s="1"/>
  <c r="Z17" i="150"/>
  <c r="R17" i="150"/>
  <c r="J17" i="150"/>
  <c r="Z14" i="150"/>
  <c r="R14" i="150"/>
  <c r="J14" i="150"/>
  <c r="Y18" i="154"/>
  <c r="X18" i="154"/>
  <c r="Z11" i="156"/>
  <c r="R11" i="156"/>
  <c r="G11" i="156"/>
  <c r="V11" i="156"/>
  <c r="E11" i="156"/>
  <c r="J11" i="156"/>
  <c r="X11" i="156"/>
  <c r="H11" i="156"/>
  <c r="I11" i="156"/>
  <c r="L19" i="154"/>
  <c r="D25" i="152"/>
  <c r="G8" i="97" l="1"/>
  <c r="H15" i="97"/>
  <c r="J57" i="153"/>
  <c r="E15" i="97"/>
  <c r="I57" i="153"/>
  <c r="H57" i="153"/>
  <c r="X57" i="153"/>
  <c r="E57" i="153"/>
  <c r="P15" i="97"/>
  <c r="R57" i="153"/>
  <c r="Y57" i="153"/>
  <c r="Q57" i="153"/>
  <c r="V11" i="97"/>
  <c r="X31" i="155"/>
  <c r="G11" i="97"/>
  <c r="I31" i="155"/>
  <c r="C11" i="97"/>
  <c r="E31" i="155"/>
  <c r="P11" i="97"/>
  <c r="R31" i="155"/>
  <c r="F8" i="97"/>
  <c r="D81" i="157"/>
  <c r="D21" i="151"/>
  <c r="R21" i="151"/>
  <c r="Y21" i="151"/>
  <c r="Z21" i="151"/>
  <c r="X21" i="151"/>
  <c r="I21" i="151"/>
  <c r="Z18" i="150"/>
  <c r="J18" i="150"/>
  <c r="P19" i="154"/>
  <c r="L82" i="157"/>
  <c r="P82" i="157"/>
  <c r="L25" i="152"/>
  <c r="P26" i="152" s="1"/>
  <c r="P25" i="152" l="1"/>
  <c r="U82" i="157" l="1"/>
  <c r="M25" i="152"/>
  <c r="T25" i="152"/>
  <c r="U26" i="152" s="1"/>
  <c r="M82" i="157" l="1"/>
  <c r="U19" i="154"/>
  <c r="M19" i="154"/>
  <c r="W25" i="152"/>
  <c r="U25" i="152"/>
  <c r="M26" i="152"/>
  <c r="Z21" i="148" l="1"/>
  <c r="Y21" i="148"/>
  <c r="X21" i="148"/>
  <c r="U5" i="148"/>
  <c r="O5" i="148"/>
  <c r="J14" i="127"/>
  <c r="J11" i="148" s="1"/>
  <c r="J13" i="148" s="1"/>
  <c r="H8" i="97" l="1"/>
  <c r="S103" i="116"/>
  <c r="S94" i="162" s="1"/>
  <c r="P103" i="116"/>
  <c r="P94" i="162" s="1"/>
  <c r="O103" i="116"/>
  <c r="O94" i="162" s="1"/>
  <c r="F103" i="116"/>
  <c r="F94" i="162" s="1"/>
  <c r="T103" i="116" l="1"/>
  <c r="U103" i="116" l="1"/>
  <c r="T94" i="162"/>
  <c r="V103" i="116" l="1"/>
  <c r="V94" i="162" s="1"/>
  <c r="U94" i="162"/>
  <c r="U17" i="122"/>
  <c r="P17" i="122"/>
  <c r="M17" i="122"/>
  <c r="L17" i="122"/>
  <c r="U71" i="119"/>
  <c r="P71" i="119"/>
  <c r="M71" i="119"/>
  <c r="L71" i="119"/>
  <c r="K5" i="44" l="1"/>
  <c r="H13" i="44"/>
  <c r="L11" i="44"/>
  <c r="I8" i="44"/>
  <c r="S99" i="116" l="1"/>
  <c r="S91" i="162" s="1"/>
  <c r="P99" i="116"/>
  <c r="P91" i="162" s="1"/>
  <c r="O99" i="116"/>
  <c r="O91" i="162" s="1"/>
  <c r="F99" i="116"/>
  <c r="F91" i="162" s="1"/>
  <c r="S98" i="116"/>
  <c r="S101" i="162" s="1"/>
  <c r="P98" i="116"/>
  <c r="P101" i="162" s="1"/>
  <c r="O98" i="116"/>
  <c r="O101" i="162" s="1"/>
  <c r="F98" i="116"/>
  <c r="F101" i="162" s="1"/>
  <c r="S97" i="116"/>
  <c r="S48" i="162" s="1"/>
  <c r="P97" i="116"/>
  <c r="P48" i="162" s="1"/>
  <c r="O97" i="116"/>
  <c r="O48" i="162" s="1"/>
  <c r="F97" i="116"/>
  <c r="F48" i="162" s="1"/>
  <c r="S96" i="116"/>
  <c r="S47" i="162" s="1"/>
  <c r="P96" i="116"/>
  <c r="P47" i="162" s="1"/>
  <c r="N96" i="116"/>
  <c r="F96" i="116"/>
  <c r="F47" i="162" s="1"/>
  <c r="S95" i="116"/>
  <c r="S46" i="162" s="1"/>
  <c r="P95" i="116"/>
  <c r="P46" i="162" s="1"/>
  <c r="O95" i="116"/>
  <c r="O46" i="162" s="1"/>
  <c r="F95" i="116"/>
  <c r="F46" i="162" s="1"/>
  <c r="S94" i="116"/>
  <c r="S45" i="162" s="1"/>
  <c r="K94" i="116"/>
  <c r="K45" i="162" s="1"/>
  <c r="F94" i="116"/>
  <c r="F45" i="162" s="1"/>
  <c r="S93" i="116"/>
  <c r="S44" i="162" s="1"/>
  <c r="K93" i="116"/>
  <c r="F93" i="116"/>
  <c r="F44" i="162" s="1"/>
  <c r="S92" i="116"/>
  <c r="S43" i="162" s="1"/>
  <c r="K92" i="116"/>
  <c r="F92" i="116"/>
  <c r="F43" i="162" s="1"/>
  <c r="S91" i="116"/>
  <c r="S90" i="162" s="1"/>
  <c r="N91" i="116"/>
  <c r="N90" i="162" s="1"/>
  <c r="K91" i="116"/>
  <c r="F91" i="116"/>
  <c r="F90" i="162" s="1"/>
  <c r="S90" i="116"/>
  <c r="S89" i="162" s="1"/>
  <c r="N90" i="116"/>
  <c r="N89" i="162" s="1"/>
  <c r="K90" i="116"/>
  <c r="F90" i="116"/>
  <c r="F89" i="162" s="1"/>
  <c r="S89" i="116"/>
  <c r="S88" i="162" s="1"/>
  <c r="K89" i="116"/>
  <c r="F89" i="116"/>
  <c r="F88" i="162" s="1"/>
  <c r="S88" i="116"/>
  <c r="S100" i="162" s="1"/>
  <c r="K88" i="116"/>
  <c r="D88" i="116"/>
  <c r="D100" i="162" s="1"/>
  <c r="S87" i="116"/>
  <c r="S87" i="162" s="1"/>
  <c r="K87" i="116"/>
  <c r="F87" i="116"/>
  <c r="F87" i="162" s="1"/>
  <c r="S86" i="116"/>
  <c r="S86" i="162" s="1"/>
  <c r="K86" i="116"/>
  <c r="F86" i="116"/>
  <c r="F86" i="162" s="1"/>
  <c r="S85" i="116"/>
  <c r="S85" i="162" s="1"/>
  <c r="K85" i="116"/>
  <c r="F85" i="116"/>
  <c r="F85" i="162" s="1"/>
  <c r="S84" i="116"/>
  <c r="S84" i="162" s="1"/>
  <c r="K84" i="116"/>
  <c r="F84" i="116"/>
  <c r="F84" i="162" s="1"/>
  <c r="U83" i="116"/>
  <c r="K83" i="116"/>
  <c r="F83" i="116"/>
  <c r="F83" i="162" s="1"/>
  <c r="N92" i="117"/>
  <c r="D92" i="117"/>
  <c r="U91" i="117"/>
  <c r="O91" i="117"/>
  <c r="O89" i="167" s="1"/>
  <c r="F91" i="117"/>
  <c r="F89" i="167" s="1"/>
  <c r="U90" i="117"/>
  <c r="O90" i="117"/>
  <c r="O110" i="167" s="1"/>
  <c r="F90" i="117"/>
  <c r="F110" i="167" s="1"/>
  <c r="S89" i="117"/>
  <c r="S88" i="167" s="1"/>
  <c r="N89" i="117"/>
  <c r="N88" i="167" s="1"/>
  <c r="K89" i="117"/>
  <c r="F89" i="117"/>
  <c r="F88" i="167" s="1"/>
  <c r="S88" i="117"/>
  <c r="S76" i="167" s="1"/>
  <c r="K88" i="117"/>
  <c r="F88" i="117"/>
  <c r="F76" i="167" s="1"/>
  <c r="S87" i="117"/>
  <c r="S75" i="167" s="1"/>
  <c r="K87" i="117"/>
  <c r="F87" i="117"/>
  <c r="F75" i="167" s="1"/>
  <c r="S86" i="117"/>
  <c r="S57" i="167" s="1"/>
  <c r="S58" i="167" s="1"/>
  <c r="K86" i="117"/>
  <c r="F86" i="117"/>
  <c r="F57" i="167" s="1"/>
  <c r="F58" i="167" s="1"/>
  <c r="S69" i="119"/>
  <c r="N69" i="119"/>
  <c r="K69" i="119"/>
  <c r="L69" i="119" s="1"/>
  <c r="P69" i="119" s="1"/>
  <c r="D69" i="119"/>
  <c r="F69" i="119" s="1"/>
  <c r="S68" i="119"/>
  <c r="K68" i="119"/>
  <c r="L68" i="119" s="1"/>
  <c r="F68" i="119"/>
  <c r="S67" i="119"/>
  <c r="N67" i="119"/>
  <c r="K67" i="119"/>
  <c r="L67" i="119" s="1"/>
  <c r="D67" i="119"/>
  <c r="F67" i="119" s="1"/>
  <c r="S10" i="120"/>
  <c r="S10" i="156" s="1"/>
  <c r="K10" i="120"/>
  <c r="D10" i="120"/>
  <c r="D10" i="156" s="1"/>
  <c r="S9" i="120"/>
  <c r="S9" i="156" s="1"/>
  <c r="K9" i="120"/>
  <c r="F9" i="120"/>
  <c r="F9" i="156" s="1"/>
  <c r="S8" i="120"/>
  <c r="S8" i="156" s="1"/>
  <c r="K8" i="120"/>
  <c r="F8" i="120"/>
  <c r="F8" i="156" s="1"/>
  <c r="S28" i="121"/>
  <c r="S29" i="155" s="1"/>
  <c r="K28" i="121"/>
  <c r="F28" i="121"/>
  <c r="F29" i="155" s="1"/>
  <c r="S27" i="121"/>
  <c r="S28" i="155" s="1"/>
  <c r="K27" i="121"/>
  <c r="S26" i="121"/>
  <c r="S27" i="155" s="1"/>
  <c r="K26" i="121"/>
  <c r="S25" i="121"/>
  <c r="S26" i="155" s="1"/>
  <c r="K25" i="121"/>
  <c r="F25" i="121"/>
  <c r="F26" i="155" s="1"/>
  <c r="S15" i="122"/>
  <c r="Q15" i="122"/>
  <c r="K15" i="122"/>
  <c r="L15" i="122" s="1"/>
  <c r="F15" i="122"/>
  <c r="S14" i="122"/>
  <c r="K14" i="122"/>
  <c r="L14" i="122" s="1"/>
  <c r="F14" i="122"/>
  <c r="S48" i="123"/>
  <c r="S30" i="153" s="1"/>
  <c r="N48" i="123"/>
  <c r="N30" i="153" s="1"/>
  <c r="K48" i="123"/>
  <c r="D48" i="123"/>
  <c r="D30" i="153" s="1"/>
  <c r="S47" i="123"/>
  <c r="S29" i="153" s="1"/>
  <c r="K47" i="123"/>
  <c r="F47" i="123"/>
  <c r="F29" i="153" s="1"/>
  <c r="S46" i="123"/>
  <c r="S11" i="153" s="1"/>
  <c r="K46" i="123"/>
  <c r="F46" i="123"/>
  <c r="F11" i="153" s="1"/>
  <c r="L48" i="123" l="1"/>
  <c r="K30" i="153"/>
  <c r="L47" i="123"/>
  <c r="K29" i="153"/>
  <c r="L46" i="123"/>
  <c r="K11" i="153"/>
  <c r="L26" i="121"/>
  <c r="K27" i="155"/>
  <c r="L25" i="121"/>
  <c r="K26" i="155"/>
  <c r="L27" i="121"/>
  <c r="K28" i="155"/>
  <c r="L28" i="121"/>
  <c r="K29" i="155"/>
  <c r="L87" i="117"/>
  <c r="L75" i="167" s="1"/>
  <c r="K75" i="167"/>
  <c r="U92" i="117"/>
  <c r="N112" i="167"/>
  <c r="N113" i="167" s="1"/>
  <c r="L16" i="97" s="1"/>
  <c r="L86" i="117"/>
  <c r="K57" i="167"/>
  <c r="K58" i="167" s="1"/>
  <c r="L89" i="117"/>
  <c r="L88" i="167" s="1"/>
  <c r="K88" i="167"/>
  <c r="V91" i="117"/>
  <c r="V89" i="167" s="1"/>
  <c r="U89" i="167"/>
  <c r="L88" i="117"/>
  <c r="K76" i="167"/>
  <c r="V90" i="117"/>
  <c r="V110" i="167" s="1"/>
  <c r="U110" i="167"/>
  <c r="F92" i="117"/>
  <c r="F112" i="167" s="1"/>
  <c r="F113" i="167" s="1"/>
  <c r="D112" i="167"/>
  <c r="D113" i="167" s="1"/>
  <c r="B16" i="97" s="1"/>
  <c r="L92" i="116"/>
  <c r="L43" i="162" s="1"/>
  <c r="K43" i="162"/>
  <c r="L89" i="116"/>
  <c r="K88" i="162"/>
  <c r="O96" i="116"/>
  <c r="O47" i="162" s="1"/>
  <c r="N47" i="162"/>
  <c r="L84" i="116"/>
  <c r="L84" i="162" s="1"/>
  <c r="K84" i="162"/>
  <c r="L88" i="116"/>
  <c r="K100" i="162"/>
  <c r="V83" i="116"/>
  <c r="V83" i="162" s="1"/>
  <c r="U83" i="162"/>
  <c r="L86" i="116"/>
  <c r="K86" i="162"/>
  <c r="L90" i="116"/>
  <c r="L89" i="162" s="1"/>
  <c r="K89" i="162"/>
  <c r="L91" i="116"/>
  <c r="L90" i="162" s="1"/>
  <c r="K90" i="162"/>
  <c r="L85" i="116"/>
  <c r="L85" i="162" s="1"/>
  <c r="K85" i="162"/>
  <c r="L83" i="116"/>
  <c r="L83" i="162" s="1"/>
  <c r="K83" i="162"/>
  <c r="L87" i="116"/>
  <c r="L87" i="162" s="1"/>
  <c r="K87" i="162"/>
  <c r="L93" i="116"/>
  <c r="L44" i="162" s="1"/>
  <c r="K44" i="162"/>
  <c r="L9" i="120"/>
  <c r="K9" i="156"/>
  <c r="L10" i="120"/>
  <c r="K10" i="156"/>
  <c r="L8" i="120"/>
  <c r="L8" i="156" s="1"/>
  <c r="K8" i="156"/>
  <c r="T95" i="116"/>
  <c r="T96" i="116"/>
  <c r="T97" i="116"/>
  <c r="T98" i="116"/>
  <c r="T99" i="116"/>
  <c r="P91" i="116"/>
  <c r="P90" i="162" s="1"/>
  <c r="P93" i="116"/>
  <c r="P44" i="162" s="1"/>
  <c r="P92" i="116"/>
  <c r="P43" i="162" s="1"/>
  <c r="P87" i="116"/>
  <c r="P87" i="162" s="1"/>
  <c r="L94" i="116"/>
  <c r="L45" i="162" s="1"/>
  <c r="F88" i="116"/>
  <c r="F100" i="162" s="1"/>
  <c r="P83" i="116"/>
  <c r="O92" i="117"/>
  <c r="O112" i="167" s="1"/>
  <c r="O113" i="167" s="1"/>
  <c r="M69" i="119"/>
  <c r="T69" i="119" s="1"/>
  <c r="U69" i="119" s="1"/>
  <c r="W69" i="119" s="1"/>
  <c r="W79" i="157" s="1"/>
  <c r="W80" i="157" s="1"/>
  <c r="P68" i="119"/>
  <c r="P67" i="119"/>
  <c r="F10" i="120"/>
  <c r="F10" i="156" s="1"/>
  <c r="P8" i="120"/>
  <c r="P8" i="156" s="1"/>
  <c r="F26" i="121"/>
  <c r="F27" i="155" s="1"/>
  <c r="F27" i="121"/>
  <c r="F28" i="155" s="1"/>
  <c r="P15" i="122"/>
  <c r="P14" i="122"/>
  <c r="F48" i="123"/>
  <c r="F30" i="153" s="1"/>
  <c r="U26" i="124"/>
  <c r="P26" i="124"/>
  <c r="M26" i="124"/>
  <c r="L26" i="124"/>
  <c r="D25" i="124"/>
  <c r="S24" i="124"/>
  <c r="K24" i="124"/>
  <c r="L24" i="124" s="1"/>
  <c r="P24" i="124" s="1"/>
  <c r="F24" i="124"/>
  <c r="S23" i="124"/>
  <c r="K23" i="124"/>
  <c r="L23" i="124" s="1"/>
  <c r="F23" i="124"/>
  <c r="S22" i="124"/>
  <c r="K22" i="124"/>
  <c r="L22" i="124" s="1"/>
  <c r="F22" i="124"/>
  <c r="S21" i="124"/>
  <c r="K21" i="124"/>
  <c r="L21" i="124" s="1"/>
  <c r="F21" i="124"/>
  <c r="P47" i="123" l="1"/>
  <c r="L29" i="153"/>
  <c r="P46" i="123"/>
  <c r="L11" i="153"/>
  <c r="P48" i="123"/>
  <c r="L30" i="153"/>
  <c r="P25" i="121"/>
  <c r="L26" i="155"/>
  <c r="P28" i="121"/>
  <c r="L29" i="155"/>
  <c r="P27" i="121"/>
  <c r="L28" i="155"/>
  <c r="P26" i="121"/>
  <c r="L27" i="155"/>
  <c r="P86" i="117"/>
  <c r="L57" i="167"/>
  <c r="L58" i="167" s="1"/>
  <c r="P87" i="117"/>
  <c r="P75" i="167" s="1"/>
  <c r="P88" i="117"/>
  <c r="L76" i="167"/>
  <c r="W92" i="117"/>
  <c r="W112" i="167" s="1"/>
  <c r="W113" i="167" s="1"/>
  <c r="U112" i="167"/>
  <c r="U113" i="167" s="1"/>
  <c r="P89" i="117"/>
  <c r="P88" i="167" s="1"/>
  <c r="P89" i="116"/>
  <c r="L88" i="162"/>
  <c r="P85" i="116"/>
  <c r="P85" i="162" s="1"/>
  <c r="P90" i="116"/>
  <c r="P89" i="162" s="1"/>
  <c r="U95" i="116"/>
  <c r="T46" i="162"/>
  <c r="P84" i="116"/>
  <c r="P84" i="162" s="1"/>
  <c r="U98" i="116"/>
  <c r="T101" i="162"/>
  <c r="U97" i="116"/>
  <c r="T48" i="162"/>
  <c r="M83" i="116"/>
  <c r="P83" i="162"/>
  <c r="U96" i="116"/>
  <c r="T47" i="162"/>
  <c r="U99" i="116"/>
  <c r="T91" i="162"/>
  <c r="P86" i="116"/>
  <c r="L86" i="162"/>
  <c r="P88" i="116"/>
  <c r="L100" i="162"/>
  <c r="V95" i="116"/>
  <c r="V46" i="162" s="1"/>
  <c r="U46" i="162"/>
  <c r="P10" i="120"/>
  <c r="L10" i="156"/>
  <c r="P9" i="120"/>
  <c r="L9" i="156"/>
  <c r="M90" i="116"/>
  <c r="P94" i="116"/>
  <c r="P45" i="162" s="1"/>
  <c r="M85" i="116"/>
  <c r="M87" i="116"/>
  <c r="M91" i="116"/>
  <c r="M93" i="116"/>
  <c r="M92" i="116"/>
  <c r="O69" i="119"/>
  <c r="M68" i="119"/>
  <c r="O68" i="119" s="1"/>
  <c r="M67" i="119"/>
  <c r="O67" i="119" s="1"/>
  <c r="T67" i="119"/>
  <c r="U67" i="119" s="1"/>
  <c r="M8" i="120"/>
  <c r="M15" i="122"/>
  <c r="O15" i="122" s="1"/>
  <c r="M14" i="122"/>
  <c r="O14" i="122" s="1"/>
  <c r="P23" i="124"/>
  <c r="M24" i="124"/>
  <c r="T24" i="124" s="1"/>
  <c r="U24" i="124" s="1"/>
  <c r="W24" i="124" s="1"/>
  <c r="P22" i="124"/>
  <c r="P21" i="124"/>
  <c r="S13" i="125"/>
  <c r="S16" i="150" s="1"/>
  <c r="N13" i="125"/>
  <c r="N16" i="150" s="1"/>
  <c r="K13" i="125"/>
  <c r="F13" i="125"/>
  <c r="F16" i="150" s="1"/>
  <c r="S12" i="125"/>
  <c r="S13" i="150" s="1"/>
  <c r="N12" i="125"/>
  <c r="N13" i="150" s="1"/>
  <c r="K12" i="125"/>
  <c r="F12" i="125"/>
  <c r="F13" i="150" s="1"/>
  <c r="S11" i="125"/>
  <c r="S12" i="150" s="1"/>
  <c r="N11" i="125"/>
  <c r="N12" i="150" s="1"/>
  <c r="K11" i="125"/>
  <c r="F11" i="125"/>
  <c r="F12" i="150" s="1"/>
  <c r="R10" i="125"/>
  <c r="N10" i="125"/>
  <c r="N8" i="150" s="1"/>
  <c r="N9" i="150" s="1"/>
  <c r="K10" i="125"/>
  <c r="F10" i="125"/>
  <c r="F8" i="150" s="1"/>
  <c r="F9" i="150" s="1"/>
  <c r="P11" i="153" l="1"/>
  <c r="M46" i="123"/>
  <c r="P30" i="153"/>
  <c r="M48" i="123"/>
  <c r="P29" i="153"/>
  <c r="M47" i="123"/>
  <c r="P29" i="155"/>
  <c r="M28" i="121"/>
  <c r="T28" i="121"/>
  <c r="P27" i="155"/>
  <c r="M26" i="121"/>
  <c r="P28" i="155"/>
  <c r="M27" i="121"/>
  <c r="P26" i="155"/>
  <c r="M25" i="121"/>
  <c r="M87" i="117"/>
  <c r="O87" i="117"/>
  <c r="O75" i="167" s="1"/>
  <c r="M75" i="167"/>
  <c r="M89" i="117"/>
  <c r="P76" i="167"/>
  <c r="M88" i="117"/>
  <c r="P57" i="167"/>
  <c r="P58" i="167" s="1"/>
  <c r="M86" i="117"/>
  <c r="W123" i="167"/>
  <c r="O92" i="116"/>
  <c r="O43" i="162" s="1"/>
  <c r="M43" i="162"/>
  <c r="P86" i="162"/>
  <c r="M86" i="116"/>
  <c r="V97" i="116"/>
  <c r="V48" i="162" s="1"/>
  <c r="U48" i="162"/>
  <c r="O91" i="116"/>
  <c r="O90" i="162" s="1"/>
  <c r="M90" i="162"/>
  <c r="M84" i="116"/>
  <c r="O87" i="116"/>
  <c r="O87" i="162" s="1"/>
  <c r="M87" i="162"/>
  <c r="O90" i="116"/>
  <c r="O89" i="162" s="1"/>
  <c r="M89" i="162"/>
  <c r="P100" i="162"/>
  <c r="M88" i="116"/>
  <c r="V99" i="116"/>
  <c r="V91" i="162" s="1"/>
  <c r="U91" i="162"/>
  <c r="O83" i="116"/>
  <c r="O83" i="162" s="1"/>
  <c r="M83" i="162"/>
  <c r="V98" i="116"/>
  <c r="V101" i="162" s="1"/>
  <c r="U101" i="162"/>
  <c r="O85" i="116"/>
  <c r="O85" i="162" s="1"/>
  <c r="M85" i="162"/>
  <c r="O93" i="116"/>
  <c r="O44" i="162" s="1"/>
  <c r="M44" i="162"/>
  <c r="V96" i="116"/>
  <c r="V47" i="162" s="1"/>
  <c r="U47" i="162"/>
  <c r="P88" i="162"/>
  <c r="M89" i="116"/>
  <c r="S10" i="125"/>
  <c r="S8" i="150" s="1"/>
  <c r="S9" i="150" s="1"/>
  <c r="R8" i="150"/>
  <c r="R9" i="150" s="1"/>
  <c r="R18" i="150" s="1"/>
  <c r="L10" i="125"/>
  <c r="L8" i="150" s="1"/>
  <c r="L9" i="150" s="1"/>
  <c r="K8" i="150"/>
  <c r="K9" i="150" s="1"/>
  <c r="L11" i="125"/>
  <c r="L12" i="150" s="1"/>
  <c r="K12" i="150"/>
  <c r="L12" i="125"/>
  <c r="L13" i="150" s="1"/>
  <c r="K13" i="150"/>
  <c r="L13" i="125"/>
  <c r="L16" i="150" s="1"/>
  <c r="K16" i="150"/>
  <c r="P9" i="156"/>
  <c r="M9" i="120"/>
  <c r="O8" i="120"/>
  <c r="O8" i="156" s="1"/>
  <c r="M8" i="156"/>
  <c r="P10" i="156"/>
  <c r="M10" i="120"/>
  <c r="T90" i="116"/>
  <c r="T85" i="116"/>
  <c r="T84" i="116"/>
  <c r="T93" i="116"/>
  <c r="T92" i="116"/>
  <c r="T91" i="116"/>
  <c r="T87" i="116"/>
  <c r="M94" i="116"/>
  <c r="T89" i="117"/>
  <c r="T87" i="117"/>
  <c r="T68" i="119"/>
  <c r="U68" i="119" s="1"/>
  <c r="W68" i="119" s="1"/>
  <c r="V67" i="119"/>
  <c r="W67" i="119" s="1"/>
  <c r="T8" i="120"/>
  <c r="T14" i="122"/>
  <c r="U14" i="122" s="1"/>
  <c r="W14" i="122" s="1"/>
  <c r="W14" i="154" s="1"/>
  <c r="W15" i="154" s="1"/>
  <c r="W18" i="154" s="1"/>
  <c r="T15" i="122"/>
  <c r="U15" i="122" s="1"/>
  <c r="W15" i="122" s="1"/>
  <c r="O24" i="124"/>
  <c r="M23" i="124"/>
  <c r="O23" i="124" s="1"/>
  <c r="M22" i="124"/>
  <c r="O22" i="124" s="1"/>
  <c r="M21" i="124"/>
  <c r="O21" i="124" s="1"/>
  <c r="P11" i="125"/>
  <c r="P12" i="150" s="1"/>
  <c r="P13" i="125"/>
  <c r="P16" i="150" s="1"/>
  <c r="P10" i="125"/>
  <c r="P8" i="150" s="1"/>
  <c r="P9" i="150" s="1"/>
  <c r="T47" i="123" l="1"/>
  <c r="M29" i="153"/>
  <c r="O47" i="123"/>
  <c r="O29" i="153" s="1"/>
  <c r="T46" i="123"/>
  <c r="M11" i="153"/>
  <c r="O46" i="123"/>
  <c r="O11" i="153" s="1"/>
  <c r="T48" i="123"/>
  <c r="M30" i="153"/>
  <c r="O48" i="123"/>
  <c r="O30" i="153" s="1"/>
  <c r="T27" i="121"/>
  <c r="M28" i="155"/>
  <c r="O27" i="121"/>
  <c r="O28" i="155" s="1"/>
  <c r="U28" i="121"/>
  <c r="T29" i="155"/>
  <c r="O28" i="121"/>
  <c r="O29" i="155" s="1"/>
  <c r="M29" i="155"/>
  <c r="T25" i="121"/>
  <c r="M26" i="155"/>
  <c r="O25" i="121"/>
  <c r="O26" i="155" s="1"/>
  <c r="T26" i="121"/>
  <c r="M27" i="155"/>
  <c r="O26" i="121"/>
  <c r="O27" i="155" s="1"/>
  <c r="U87" i="117"/>
  <c r="T75" i="167"/>
  <c r="O88" i="117"/>
  <c r="O76" i="167" s="1"/>
  <c r="M76" i="167"/>
  <c r="U89" i="117"/>
  <c r="T88" i="167"/>
  <c r="T88" i="117"/>
  <c r="T86" i="117"/>
  <c r="M57" i="167"/>
  <c r="M58" i="167" s="1"/>
  <c r="O86" i="117"/>
  <c r="O57" i="167" s="1"/>
  <c r="O58" i="167" s="1"/>
  <c r="O89" i="117"/>
  <c r="O88" i="167" s="1"/>
  <c r="M88" i="167"/>
  <c r="U91" i="116"/>
  <c r="T90" i="162"/>
  <c r="U85" i="116"/>
  <c r="T85" i="162"/>
  <c r="T88" i="116"/>
  <c r="M100" i="162"/>
  <c r="O88" i="116"/>
  <c r="O100" i="162" s="1"/>
  <c r="U92" i="116"/>
  <c r="V92" i="116" s="1"/>
  <c r="V43" i="162" s="1"/>
  <c r="T43" i="162"/>
  <c r="U90" i="116"/>
  <c r="T89" i="162"/>
  <c r="U93" i="116"/>
  <c r="T44" i="162"/>
  <c r="U87" i="116"/>
  <c r="T87" i="162"/>
  <c r="U84" i="116"/>
  <c r="T84" i="162"/>
  <c r="O86" i="116"/>
  <c r="O86" i="162" s="1"/>
  <c r="M86" i="162"/>
  <c r="T86" i="116"/>
  <c r="T94" i="116"/>
  <c r="M45" i="162"/>
  <c r="T89" i="116"/>
  <c r="M88" i="162"/>
  <c r="O89" i="116"/>
  <c r="O88" i="162" s="1"/>
  <c r="O84" i="116"/>
  <c r="O84" i="162" s="1"/>
  <c r="M84" i="162"/>
  <c r="P12" i="125"/>
  <c r="P13" i="150" s="1"/>
  <c r="O10" i="120"/>
  <c r="O10" i="156" s="1"/>
  <c r="M10" i="156"/>
  <c r="T10" i="120"/>
  <c r="T9" i="120"/>
  <c r="M9" i="156"/>
  <c r="O9" i="120"/>
  <c r="O9" i="156" s="1"/>
  <c r="U8" i="120"/>
  <c r="T8" i="156"/>
  <c r="O94" i="116"/>
  <c r="O45" i="162" s="1"/>
  <c r="T22" i="124"/>
  <c r="U22" i="124" s="1"/>
  <c r="W22" i="124" s="1"/>
  <c r="T23" i="124"/>
  <c r="U23" i="124" s="1"/>
  <c r="W23" i="124" s="1"/>
  <c r="T21" i="124"/>
  <c r="U21" i="124" s="1"/>
  <c r="W21" i="124" s="1"/>
  <c r="M13" i="125"/>
  <c r="M11" i="125"/>
  <c r="M10" i="125"/>
  <c r="U48" i="123" l="1"/>
  <c r="T30" i="153"/>
  <c r="U47" i="123"/>
  <c r="T29" i="153"/>
  <c r="U46" i="123"/>
  <c r="T11" i="153"/>
  <c r="W28" i="121"/>
  <c r="W29" i="155" s="1"/>
  <c r="U29" i="155"/>
  <c r="U26" i="121"/>
  <c r="T27" i="155"/>
  <c r="U25" i="121"/>
  <c r="T26" i="155"/>
  <c r="U27" i="121"/>
  <c r="T28" i="155"/>
  <c r="V89" i="117"/>
  <c r="V88" i="167" s="1"/>
  <c r="U88" i="167"/>
  <c r="V87" i="117"/>
  <c r="V75" i="167" s="1"/>
  <c r="U75" i="167"/>
  <c r="U86" i="117"/>
  <c r="T57" i="167"/>
  <c r="T58" i="167" s="1"/>
  <c r="U88" i="117"/>
  <c r="T76" i="167"/>
  <c r="U86" i="116"/>
  <c r="T86" i="162"/>
  <c r="V84" i="116"/>
  <c r="V84" i="162" s="1"/>
  <c r="U84" i="162"/>
  <c r="V93" i="116"/>
  <c r="V44" i="162" s="1"/>
  <c r="U44" i="162"/>
  <c r="U89" i="116"/>
  <c r="T88" i="162"/>
  <c r="V85" i="116"/>
  <c r="V85" i="162" s="1"/>
  <c r="U85" i="162"/>
  <c r="U43" i="162"/>
  <c r="V87" i="116"/>
  <c r="V87" i="162" s="1"/>
  <c r="U87" i="162"/>
  <c r="V90" i="116"/>
  <c r="V89" i="162" s="1"/>
  <c r="U89" i="162"/>
  <c r="U94" i="116"/>
  <c r="T45" i="162"/>
  <c r="U88" i="116"/>
  <c r="T100" i="162"/>
  <c r="V91" i="116"/>
  <c r="V90" i="162" s="1"/>
  <c r="U90" i="162"/>
  <c r="O13" i="125"/>
  <c r="O16" i="150" s="1"/>
  <c r="M16" i="150"/>
  <c r="M12" i="125"/>
  <c r="O11" i="125"/>
  <c r="O12" i="150" s="1"/>
  <c r="M12" i="150"/>
  <c r="O10" i="125"/>
  <c r="O8" i="150" s="1"/>
  <c r="O9" i="150" s="1"/>
  <c r="M8" i="150"/>
  <c r="M9" i="150" s="1"/>
  <c r="W8" i="120"/>
  <c r="W8" i="156" s="1"/>
  <c r="U8" i="156"/>
  <c r="U10" i="120"/>
  <c r="T10" i="156"/>
  <c r="U9" i="120"/>
  <c r="T9" i="156"/>
  <c r="T13" i="125"/>
  <c r="T11" i="125"/>
  <c r="T12" i="125"/>
  <c r="T10" i="125"/>
  <c r="V47" i="123" l="1"/>
  <c r="V29" i="153" s="1"/>
  <c r="U29" i="153"/>
  <c r="W46" i="123"/>
  <c r="W11" i="153" s="1"/>
  <c r="U11" i="153"/>
  <c r="V48" i="123"/>
  <c r="V30" i="153" s="1"/>
  <c r="U30" i="153"/>
  <c r="W27" i="121"/>
  <c r="W28" i="155" s="1"/>
  <c r="U28" i="155"/>
  <c r="W26" i="121"/>
  <c r="W27" i="155" s="1"/>
  <c r="U27" i="155"/>
  <c r="W25" i="121"/>
  <c r="W26" i="155" s="1"/>
  <c r="U26" i="155"/>
  <c r="V86" i="117"/>
  <c r="V57" i="167" s="1"/>
  <c r="V58" i="167" s="1"/>
  <c r="T9" i="97" s="1"/>
  <c r="U57" i="167"/>
  <c r="U58" i="167" s="1"/>
  <c r="V88" i="117"/>
  <c r="V76" i="167" s="1"/>
  <c r="U76" i="167"/>
  <c r="V89" i="116"/>
  <c r="V88" i="162" s="1"/>
  <c r="U88" i="162"/>
  <c r="V88" i="116"/>
  <c r="V100" i="162" s="1"/>
  <c r="U100" i="162"/>
  <c r="V86" i="116"/>
  <c r="V86" i="162" s="1"/>
  <c r="U86" i="162"/>
  <c r="V94" i="116"/>
  <c r="V45" i="162" s="1"/>
  <c r="U45" i="162"/>
  <c r="U12" i="125"/>
  <c r="T13" i="150"/>
  <c r="U11" i="125"/>
  <c r="T12" i="150"/>
  <c r="U13" i="125"/>
  <c r="T16" i="150"/>
  <c r="O12" i="125"/>
  <c r="O13" i="150" s="1"/>
  <c r="M13" i="150"/>
  <c r="U10" i="125"/>
  <c r="U8" i="150" s="1"/>
  <c r="U9" i="150" s="1"/>
  <c r="T8" i="150"/>
  <c r="T9" i="150" s="1"/>
  <c r="W10" i="120"/>
  <c r="W10" i="156" s="1"/>
  <c r="U10" i="156"/>
  <c r="W9" i="120"/>
  <c r="W9" i="156" s="1"/>
  <c r="U9" i="156"/>
  <c r="V10" i="125"/>
  <c r="W10" i="125" l="1"/>
  <c r="W8" i="150" s="1"/>
  <c r="W9" i="150" s="1"/>
  <c r="V8" i="150"/>
  <c r="V9" i="150" s="1"/>
  <c r="W11" i="125"/>
  <c r="W12" i="150" s="1"/>
  <c r="U12" i="150"/>
  <c r="W13" i="125"/>
  <c r="W16" i="150" s="1"/>
  <c r="U16" i="150"/>
  <c r="V12" i="125"/>
  <c r="V13" i="150" s="1"/>
  <c r="U13" i="150"/>
  <c r="S15" i="127"/>
  <c r="S12" i="148" s="1"/>
  <c r="K15" i="127"/>
  <c r="K12" i="148" s="1"/>
  <c r="F15" i="127"/>
  <c r="F12" i="148" s="1"/>
  <c r="S14" i="127"/>
  <c r="S11" i="148" s="1"/>
  <c r="K14" i="127"/>
  <c r="F14" i="127"/>
  <c r="F11" i="148" s="1"/>
  <c r="L14" i="127" l="1"/>
  <c r="K11" i="148"/>
  <c r="L15" i="127"/>
  <c r="N7" i="127"/>
  <c r="N8" i="148" s="1"/>
  <c r="N13" i="148" s="1"/>
  <c r="N14" i="124"/>
  <c r="D10" i="124"/>
  <c r="N6" i="124"/>
  <c r="N39" i="123"/>
  <c r="N38" i="153" s="1"/>
  <c r="N40" i="153" s="1"/>
  <c r="N32" i="123"/>
  <c r="N10" i="153" s="1"/>
  <c r="N25" i="123"/>
  <c r="N22" i="153" s="1"/>
  <c r="D24" i="123"/>
  <c r="D21" i="153" s="1"/>
  <c r="N24" i="123"/>
  <c r="N21" i="153" s="1"/>
  <c r="N14" i="123"/>
  <c r="N15" i="153" s="1"/>
  <c r="D7" i="123"/>
  <c r="D32" i="153" s="1"/>
  <c r="D33" i="153" s="1"/>
  <c r="B9" i="97" s="1"/>
  <c r="N11" i="122"/>
  <c r="P15" i="127" l="1"/>
  <c r="L12" i="148"/>
  <c r="P14" i="127"/>
  <c r="L11" i="148"/>
  <c r="N22" i="119"/>
  <c r="N62" i="119"/>
  <c r="N58" i="119"/>
  <c r="D56" i="119"/>
  <c r="N56" i="119"/>
  <c r="D54" i="119"/>
  <c r="N54" i="119"/>
  <c r="N53" i="119"/>
  <c r="N45" i="119"/>
  <c r="N35" i="119"/>
  <c r="D23" i="119"/>
  <c r="D18" i="119"/>
  <c r="D13" i="119"/>
  <c r="D12" i="119"/>
  <c r="D11" i="119"/>
  <c r="D7" i="119"/>
  <c r="P11" i="148" l="1"/>
  <c r="P12" i="148"/>
  <c r="M15" i="127"/>
  <c r="Z96" i="117"/>
  <c r="Z46" i="167" s="1"/>
  <c r="N83" i="117"/>
  <c r="N107" i="167" s="1"/>
  <c r="N79" i="117"/>
  <c r="N98" i="167" s="1"/>
  <c r="N75" i="117"/>
  <c r="N72" i="167" s="1"/>
  <c r="N72" i="117"/>
  <c r="N115" i="167" s="1"/>
  <c r="N117" i="167" s="1"/>
  <c r="N70" i="117"/>
  <c r="N44" i="167" s="1"/>
  <c r="D48" i="117"/>
  <c r="D11" i="167" s="1"/>
  <c r="D14" i="167" s="1"/>
  <c r="B7" i="97" s="1"/>
  <c r="N16" i="117"/>
  <c r="N54" i="167" s="1"/>
  <c r="D59" i="116"/>
  <c r="D31" i="162" s="1"/>
  <c r="N7" i="117"/>
  <c r="N15" i="167" s="1"/>
  <c r="N82" i="116"/>
  <c r="N82" i="162" s="1"/>
  <c r="N79" i="116"/>
  <c r="N81" i="162" s="1"/>
  <c r="D75" i="116"/>
  <c r="D77" i="162" s="1"/>
  <c r="N74" i="116"/>
  <c r="N106" i="162" s="1"/>
  <c r="D70" i="116"/>
  <c r="D38" i="162" s="1"/>
  <c r="N70" i="116"/>
  <c r="N38" i="162" s="1"/>
  <c r="N67" i="116"/>
  <c r="N36" i="162" s="1"/>
  <c r="N53" i="116"/>
  <c r="N25" i="162" s="1"/>
  <c r="D53" i="116"/>
  <c r="D25" i="162" s="1"/>
  <c r="N44" i="116"/>
  <c r="N68" i="162" s="1"/>
  <c r="N43" i="116"/>
  <c r="N20" i="162" s="1"/>
  <c r="N42" i="116"/>
  <c r="N19" i="162" s="1"/>
  <c r="D41" i="116"/>
  <c r="D18" i="162" s="1"/>
  <c r="N41" i="116"/>
  <c r="N18" i="162" s="1"/>
  <c r="D40" i="116"/>
  <c r="D67" i="162" s="1"/>
  <c r="N38" i="116"/>
  <c r="N65" i="162" s="1"/>
  <c r="D35" i="116"/>
  <c r="D16" i="162" s="1"/>
  <c r="N35" i="116"/>
  <c r="N16" i="162" s="1"/>
  <c r="N30" i="116"/>
  <c r="N63" i="162" s="1"/>
  <c r="D27" i="116"/>
  <c r="D11" i="162" s="1"/>
  <c r="N28" i="116"/>
  <c r="N12" i="162" s="1"/>
  <c r="N27" i="116"/>
  <c r="N11" i="162" s="1"/>
  <c r="D6" i="116"/>
  <c r="D6" i="162" s="1"/>
  <c r="D19" i="116"/>
  <c r="D58" i="162" s="1"/>
  <c r="N20" i="116"/>
  <c r="N98" i="162" s="1"/>
  <c r="N18" i="116"/>
  <c r="N9" i="162" s="1"/>
  <c r="N15" i="116"/>
  <c r="N56" i="162" s="1"/>
  <c r="D13" i="116"/>
  <c r="D54" i="162" s="1"/>
  <c r="N12" i="116"/>
  <c r="N7" i="162" s="1"/>
  <c r="D9" i="116"/>
  <c r="D52" i="162" s="1"/>
  <c r="D7" i="116"/>
  <c r="D97" i="162" s="1"/>
  <c r="N8" i="116"/>
  <c r="N51" i="162" s="1"/>
  <c r="L14" i="97" l="1"/>
  <c r="O15" i="127"/>
  <c r="O12" i="148" s="1"/>
  <c r="M12" i="148"/>
  <c r="T15" i="127"/>
  <c r="T14" i="127"/>
  <c r="M11" i="148"/>
  <c r="O14" i="127"/>
  <c r="O11" i="148" s="1"/>
  <c r="N6" i="116"/>
  <c r="N6" i="162" s="1"/>
  <c r="U14" i="127" l="1"/>
  <c r="T11" i="148"/>
  <c r="U15" i="127"/>
  <c r="T12" i="148"/>
  <c r="C19" i="38"/>
  <c r="V15" i="127" l="1"/>
  <c r="V12" i="148" s="1"/>
  <c r="U12" i="148"/>
  <c r="V14" i="127"/>
  <c r="V11" i="148" s="1"/>
  <c r="U11" i="148"/>
  <c r="G12" i="44"/>
  <c r="G7" i="146"/>
  <c r="G7" i="151" s="1"/>
  <c r="G12" i="151" s="1"/>
  <c r="G21" i="151" s="1"/>
  <c r="G16" i="126"/>
  <c r="G16" i="149" s="1"/>
  <c r="G23" i="149" s="1"/>
  <c r="AS108" i="140" l="1"/>
  <c r="N108" i="117"/>
  <c r="N47" i="167" s="1"/>
  <c r="AO115" i="145" l="1"/>
  <c r="AN115" i="145"/>
  <c r="AL115" i="145"/>
  <c r="AK115" i="145"/>
  <c r="AJ115" i="145"/>
  <c r="AI115" i="145"/>
  <c r="AH115" i="145"/>
  <c r="AD115" i="145"/>
  <c r="AC115" i="145"/>
  <c r="AB115" i="145"/>
  <c r="AA115" i="145"/>
  <c r="Z115" i="145"/>
  <c r="Y115" i="145"/>
  <c r="X115" i="145"/>
  <c r="W115" i="145"/>
  <c r="V115" i="145"/>
  <c r="U115" i="145"/>
  <c r="T115" i="145"/>
  <c r="S115" i="145"/>
  <c r="R115" i="145"/>
  <c r="Q115" i="145"/>
  <c r="P115" i="145"/>
  <c r="M115" i="145"/>
  <c r="L115" i="145"/>
  <c r="J115" i="145"/>
  <c r="I115" i="145"/>
  <c r="G115" i="145"/>
  <c r="F115" i="145"/>
  <c r="AJ114" i="145"/>
  <c r="AC114" i="145"/>
  <c r="AE114" i="145" s="1"/>
  <c r="AG114" i="145" s="1"/>
  <c r="N114" i="145"/>
  <c r="L114" i="145"/>
  <c r="K114" i="145"/>
  <c r="H114" i="145"/>
  <c r="C114" i="145"/>
  <c r="C115" i="145" s="1"/>
  <c r="AJ113" i="145"/>
  <c r="AC113" i="145"/>
  <c r="AE113" i="145" s="1"/>
  <c r="N113" i="145"/>
  <c r="L113" i="145"/>
  <c r="K113" i="145"/>
  <c r="K115" i="145" s="1"/>
  <c r="H113" i="145"/>
  <c r="H115" i="145" s="1"/>
  <c r="AO110" i="145"/>
  <c r="AN110" i="145"/>
  <c r="AL110" i="145"/>
  <c r="AK110" i="145"/>
  <c r="AJ110" i="145"/>
  <c r="AI110" i="145"/>
  <c r="AH110" i="145"/>
  <c r="AD110" i="145"/>
  <c r="AC110" i="145"/>
  <c r="AB110" i="145"/>
  <c r="AA110" i="145"/>
  <c r="Z110" i="145"/>
  <c r="Y110" i="145"/>
  <c r="X110" i="145"/>
  <c r="W110" i="145"/>
  <c r="V110" i="145"/>
  <c r="U110" i="145"/>
  <c r="T110" i="145"/>
  <c r="S110" i="145"/>
  <c r="R110" i="145"/>
  <c r="Q110" i="145"/>
  <c r="P110" i="145"/>
  <c r="M110" i="145"/>
  <c r="J110" i="145"/>
  <c r="I110" i="145"/>
  <c r="G110" i="145"/>
  <c r="F110" i="145"/>
  <c r="C110" i="145"/>
  <c r="AJ109" i="145"/>
  <c r="AC109" i="145"/>
  <c r="AE109" i="145" s="1"/>
  <c r="L109" i="145"/>
  <c r="K109" i="145"/>
  <c r="K110" i="145" s="1"/>
  <c r="H109" i="145"/>
  <c r="H110" i="145" s="1"/>
  <c r="AO106" i="145"/>
  <c r="AN106" i="145"/>
  <c r="AL106" i="145"/>
  <c r="AK106" i="145"/>
  <c r="AI106" i="145"/>
  <c r="AH106" i="145"/>
  <c r="AD106" i="145"/>
  <c r="AB106" i="145"/>
  <c r="AA106" i="145"/>
  <c r="Z106" i="145"/>
  <c r="Y106" i="145"/>
  <c r="X106" i="145"/>
  <c r="W106" i="145"/>
  <c r="V106" i="145"/>
  <c r="U106" i="145"/>
  <c r="T106" i="145"/>
  <c r="S106" i="145"/>
  <c r="R106" i="145"/>
  <c r="Q106" i="145"/>
  <c r="P106" i="145"/>
  <c r="M106" i="145"/>
  <c r="J106" i="145"/>
  <c r="I106" i="145"/>
  <c r="G106" i="145"/>
  <c r="F106" i="145"/>
  <c r="AJ105" i="145"/>
  <c r="AE105" i="145"/>
  <c r="AG105" i="145" s="1"/>
  <c r="AC105" i="145"/>
  <c r="L105" i="145"/>
  <c r="N105" i="145" s="1"/>
  <c r="O105" i="145" s="1"/>
  <c r="K105" i="145"/>
  <c r="H105" i="145"/>
  <c r="H106" i="145" s="1"/>
  <c r="AJ104" i="145"/>
  <c r="AC104" i="145"/>
  <c r="AE104" i="145" s="1"/>
  <c r="AG104" i="145" s="1"/>
  <c r="N104" i="145"/>
  <c r="O104" i="145" s="1"/>
  <c r="L104" i="145"/>
  <c r="K104" i="145"/>
  <c r="H104" i="145"/>
  <c r="AJ103" i="145"/>
  <c r="AC103" i="145"/>
  <c r="AE103" i="145" s="1"/>
  <c r="AG103" i="145" s="1"/>
  <c r="L103" i="145"/>
  <c r="N103" i="145" s="1"/>
  <c r="K103" i="145"/>
  <c r="H103" i="145"/>
  <c r="C103" i="145"/>
  <c r="AJ102" i="145"/>
  <c r="AC102" i="145"/>
  <c r="AE102" i="145" s="1"/>
  <c r="L102" i="145"/>
  <c r="N102" i="145" s="1"/>
  <c r="K102" i="145"/>
  <c r="H102" i="145"/>
  <c r="AO99" i="145"/>
  <c r="AN99" i="145"/>
  <c r="AL99" i="145"/>
  <c r="AK99" i="145"/>
  <c r="AJ99" i="145"/>
  <c r="AI99" i="145"/>
  <c r="AH99" i="145"/>
  <c r="AD99" i="145"/>
  <c r="AB99" i="145"/>
  <c r="AA99" i="145"/>
  <c r="Y99" i="145"/>
  <c r="X99" i="145"/>
  <c r="W99" i="145"/>
  <c r="V99" i="145"/>
  <c r="U99" i="145"/>
  <c r="T99" i="145"/>
  <c r="S99" i="145"/>
  <c r="R99" i="145"/>
  <c r="Q99" i="145"/>
  <c r="P99" i="145"/>
  <c r="M99" i="145"/>
  <c r="L99" i="145"/>
  <c r="J99" i="145"/>
  <c r="I99" i="145"/>
  <c r="G99" i="145"/>
  <c r="F99" i="145"/>
  <c r="AJ98" i="145"/>
  <c r="Z98" i="145"/>
  <c r="AC98" i="145" s="1"/>
  <c r="AE98" i="145" s="1"/>
  <c r="AG98" i="145" s="1"/>
  <c r="L98" i="145"/>
  <c r="N98" i="145" s="1"/>
  <c r="O98" i="145" s="1"/>
  <c r="K98" i="145"/>
  <c r="H98" i="145"/>
  <c r="C98" i="145"/>
  <c r="C99" i="145" s="1"/>
  <c r="AJ97" i="145"/>
  <c r="AC97" i="145"/>
  <c r="AE97" i="145" s="1"/>
  <c r="AG97" i="145" s="1"/>
  <c r="L97" i="145"/>
  <c r="N97" i="145" s="1"/>
  <c r="O97" i="145" s="1"/>
  <c r="K97" i="145"/>
  <c r="K99" i="145" s="1"/>
  <c r="H97" i="145"/>
  <c r="AO94" i="145"/>
  <c r="AN94" i="145"/>
  <c r="AL94" i="145"/>
  <c r="AK94" i="145"/>
  <c r="AI94" i="145"/>
  <c r="AH94" i="145"/>
  <c r="AD94" i="145"/>
  <c r="AB94" i="145"/>
  <c r="AA94" i="145"/>
  <c r="Z94" i="145"/>
  <c r="Y94" i="145"/>
  <c r="X94" i="145"/>
  <c r="W94" i="145"/>
  <c r="V94" i="145"/>
  <c r="U94" i="145"/>
  <c r="T94" i="145"/>
  <c r="S94" i="145"/>
  <c r="R94" i="145"/>
  <c r="Q94" i="145"/>
  <c r="P94" i="145"/>
  <c r="M94" i="145"/>
  <c r="J94" i="145"/>
  <c r="G94" i="145"/>
  <c r="F94" i="145"/>
  <c r="AJ93" i="145"/>
  <c r="AC93" i="145"/>
  <c r="AE93" i="145" s="1"/>
  <c r="AG93" i="145" s="1"/>
  <c r="N93" i="145"/>
  <c r="L93" i="145"/>
  <c r="I93" i="145"/>
  <c r="H93" i="145"/>
  <c r="C93" i="145"/>
  <c r="C94" i="145" s="1"/>
  <c r="AJ92" i="145"/>
  <c r="AC92" i="145"/>
  <c r="AE92" i="145" s="1"/>
  <c r="AG92" i="145" s="1"/>
  <c r="AG94" i="145" s="1"/>
  <c r="L92" i="145"/>
  <c r="L94" i="145" s="1"/>
  <c r="K92" i="145"/>
  <c r="H92" i="145"/>
  <c r="AL89" i="145"/>
  <c r="AK89" i="145"/>
  <c r="AI89" i="145"/>
  <c r="AH89" i="145"/>
  <c r="AD89" i="145"/>
  <c r="AB89" i="145"/>
  <c r="AA89" i="145"/>
  <c r="Z89" i="145"/>
  <c r="Y89" i="145"/>
  <c r="X89" i="145"/>
  <c r="W89" i="145"/>
  <c r="V89" i="145"/>
  <c r="U89" i="145"/>
  <c r="T89" i="145"/>
  <c r="S89" i="145"/>
  <c r="R89" i="145"/>
  <c r="Q89" i="145"/>
  <c r="P89" i="145"/>
  <c r="M89" i="145"/>
  <c r="J89" i="145"/>
  <c r="I89" i="145"/>
  <c r="G89" i="145"/>
  <c r="F89" i="145"/>
  <c r="AJ88" i="145"/>
  <c r="AC88" i="145"/>
  <c r="AE88" i="145" s="1"/>
  <c r="AG88" i="145" s="1"/>
  <c r="L88" i="145"/>
  <c r="N88" i="145" s="1"/>
  <c r="O88" i="145" s="1"/>
  <c r="K88" i="145"/>
  <c r="H88" i="145"/>
  <c r="AJ87" i="145"/>
  <c r="AC87" i="145"/>
  <c r="AE87" i="145" s="1"/>
  <c r="AG87" i="145" s="1"/>
  <c r="N87" i="145"/>
  <c r="L87" i="145"/>
  <c r="K87" i="145"/>
  <c r="H87" i="145"/>
  <c r="AJ86" i="145"/>
  <c r="AC86" i="145"/>
  <c r="AE86" i="145" s="1"/>
  <c r="AG86" i="145" s="1"/>
  <c r="L86" i="145"/>
  <c r="N86" i="145" s="1"/>
  <c r="O86" i="145" s="1"/>
  <c r="K86" i="145"/>
  <c r="H86" i="145"/>
  <c r="AJ85" i="145"/>
  <c r="AC85" i="145"/>
  <c r="AE85" i="145" s="1"/>
  <c r="AG85" i="145" s="1"/>
  <c r="L85" i="145"/>
  <c r="N85" i="145" s="1"/>
  <c r="K85" i="145"/>
  <c r="H85" i="145"/>
  <c r="AJ84" i="145"/>
  <c r="AC84" i="145"/>
  <c r="AE84" i="145" s="1"/>
  <c r="AG84" i="145" s="1"/>
  <c r="L84" i="145"/>
  <c r="N84" i="145" s="1"/>
  <c r="O84" i="145" s="1"/>
  <c r="K84" i="145"/>
  <c r="H84" i="145"/>
  <c r="AJ83" i="145"/>
  <c r="AC83" i="145"/>
  <c r="AE83" i="145" s="1"/>
  <c r="AG83" i="145" s="1"/>
  <c r="N83" i="145"/>
  <c r="L83" i="145"/>
  <c r="K83" i="145"/>
  <c r="H83" i="145"/>
  <c r="AO82" i="145"/>
  <c r="AO89" i="145" s="1"/>
  <c r="AN82" i="145"/>
  <c r="AN89" i="145" s="1"/>
  <c r="AJ82" i="145"/>
  <c r="AC82" i="145"/>
  <c r="AE82" i="145" s="1"/>
  <c r="N82" i="145"/>
  <c r="O82" i="145" s="1"/>
  <c r="L82" i="145"/>
  <c r="K82" i="145"/>
  <c r="H82" i="145"/>
  <c r="C82" i="145"/>
  <c r="AJ81" i="145"/>
  <c r="AC81" i="145"/>
  <c r="AE81" i="145" s="1"/>
  <c r="AG81" i="145" s="1"/>
  <c r="N81" i="145"/>
  <c r="O81" i="145" s="1"/>
  <c r="L81" i="145"/>
  <c r="K81" i="145"/>
  <c r="H81" i="145"/>
  <c r="AO77" i="145"/>
  <c r="AN77" i="145"/>
  <c r="AL77" i="145"/>
  <c r="AK77" i="145"/>
  <c r="AI77" i="145"/>
  <c r="AH77" i="145"/>
  <c r="AD77" i="145"/>
  <c r="AB77" i="145"/>
  <c r="AA77" i="145"/>
  <c r="Z77" i="145"/>
  <c r="Y77" i="145"/>
  <c r="X77" i="145"/>
  <c r="W77" i="145"/>
  <c r="V77" i="145"/>
  <c r="U77" i="145"/>
  <c r="T77" i="145"/>
  <c r="S77" i="145"/>
  <c r="R77" i="145"/>
  <c r="G77" i="145"/>
  <c r="AJ76" i="145"/>
  <c r="AE76" i="145"/>
  <c r="AG76" i="145" s="1"/>
  <c r="AC76" i="145"/>
  <c r="L76" i="145"/>
  <c r="N76" i="145" s="1"/>
  <c r="I76" i="145"/>
  <c r="K76" i="145" s="1"/>
  <c r="H76" i="145"/>
  <c r="AJ75" i="145"/>
  <c r="AC75" i="145"/>
  <c r="AE75" i="145" s="1"/>
  <c r="AG75" i="145" s="1"/>
  <c r="L75" i="145"/>
  <c r="N75" i="145" s="1"/>
  <c r="I75" i="145"/>
  <c r="K75" i="145" s="1"/>
  <c r="H75" i="145"/>
  <c r="AJ74" i="145"/>
  <c r="AC74" i="145"/>
  <c r="AE74" i="145" s="1"/>
  <c r="AG74" i="145" s="1"/>
  <c r="N74" i="145"/>
  <c r="L74" i="145"/>
  <c r="K74" i="145"/>
  <c r="H74" i="145"/>
  <c r="AJ73" i="145"/>
  <c r="AC73" i="145"/>
  <c r="AE73" i="145" s="1"/>
  <c r="AG73" i="145" s="1"/>
  <c r="L73" i="145"/>
  <c r="N73" i="145" s="1"/>
  <c r="O73" i="145" s="1"/>
  <c r="K73" i="145"/>
  <c r="H73" i="145"/>
  <c r="AJ72" i="145"/>
  <c r="AC72" i="145"/>
  <c r="AE72" i="145" s="1"/>
  <c r="AG72" i="145" s="1"/>
  <c r="L72" i="145"/>
  <c r="N72" i="145" s="1"/>
  <c r="K72" i="145"/>
  <c r="I72" i="145"/>
  <c r="H72" i="145"/>
  <c r="AJ71" i="145"/>
  <c r="AC71" i="145"/>
  <c r="AE71" i="145" s="1"/>
  <c r="AG71" i="145" s="1"/>
  <c r="Q71" i="145"/>
  <c r="N71" i="145"/>
  <c r="L71" i="145"/>
  <c r="K71" i="145"/>
  <c r="H71" i="145"/>
  <c r="AJ70" i="145"/>
  <c r="AC70" i="145"/>
  <c r="AE70" i="145" s="1"/>
  <c r="AG70" i="145" s="1"/>
  <c r="Q70" i="145"/>
  <c r="L70" i="145"/>
  <c r="N70" i="145" s="1"/>
  <c r="I70" i="145"/>
  <c r="K70" i="145" s="1"/>
  <c r="H70" i="145"/>
  <c r="AJ69" i="145"/>
  <c r="AC69" i="145"/>
  <c r="AE69" i="145" s="1"/>
  <c r="L69" i="145"/>
  <c r="N69" i="145" s="1"/>
  <c r="O69" i="145" s="1"/>
  <c r="K69" i="145"/>
  <c r="H69" i="145"/>
  <c r="AJ68" i="145"/>
  <c r="AC68" i="145"/>
  <c r="AE68" i="145" s="1"/>
  <c r="AG68" i="145" s="1"/>
  <c r="J68" i="145"/>
  <c r="H68" i="145"/>
  <c r="AJ67" i="145"/>
  <c r="AC67" i="145"/>
  <c r="AE67" i="145" s="1"/>
  <c r="AG67" i="145" s="1"/>
  <c r="L67" i="145"/>
  <c r="N67" i="145" s="1"/>
  <c r="O67" i="145" s="1"/>
  <c r="I67" i="145"/>
  <c r="F67" i="145"/>
  <c r="H67" i="145" s="1"/>
  <c r="AJ66" i="145"/>
  <c r="AC66" i="145"/>
  <c r="AE66" i="145" s="1"/>
  <c r="AG66" i="145" s="1"/>
  <c r="L66" i="145"/>
  <c r="N66" i="145" s="1"/>
  <c r="I66" i="145"/>
  <c r="K66" i="145" s="1"/>
  <c r="H66" i="145"/>
  <c r="AJ65" i="145"/>
  <c r="AC65" i="145"/>
  <c r="AE65" i="145" s="1"/>
  <c r="AG65" i="145" s="1"/>
  <c r="J65" i="145"/>
  <c r="L65" i="145" s="1"/>
  <c r="N65" i="145" s="1"/>
  <c r="I65" i="145"/>
  <c r="K65" i="145" s="1"/>
  <c r="H65" i="145"/>
  <c r="AJ64" i="145"/>
  <c r="AC64" i="145"/>
  <c r="AE64" i="145" s="1"/>
  <c r="AG64" i="145" s="1"/>
  <c r="L64" i="145"/>
  <c r="N64" i="145" s="1"/>
  <c r="K64" i="145"/>
  <c r="H64" i="145"/>
  <c r="AJ63" i="145"/>
  <c r="AC63" i="145"/>
  <c r="AE63" i="145" s="1"/>
  <c r="AG63" i="145" s="1"/>
  <c r="L63" i="145"/>
  <c r="N63" i="145" s="1"/>
  <c r="K63" i="145"/>
  <c r="H63" i="145"/>
  <c r="AJ62" i="145"/>
  <c r="AC62" i="145"/>
  <c r="AE62" i="145" s="1"/>
  <c r="AG62" i="145" s="1"/>
  <c r="L62" i="145"/>
  <c r="N62" i="145" s="1"/>
  <c r="K62" i="145"/>
  <c r="H62" i="145"/>
  <c r="AJ61" i="145"/>
  <c r="AC61" i="145"/>
  <c r="AE61" i="145" s="1"/>
  <c r="AG61" i="145" s="1"/>
  <c r="L61" i="145"/>
  <c r="N61" i="145" s="1"/>
  <c r="K61" i="145"/>
  <c r="H61" i="145"/>
  <c r="AJ60" i="145"/>
  <c r="AC60" i="145"/>
  <c r="AE60" i="145" s="1"/>
  <c r="AG60" i="145" s="1"/>
  <c r="L60" i="145"/>
  <c r="N60" i="145" s="1"/>
  <c r="I60" i="145"/>
  <c r="K60" i="145" s="1"/>
  <c r="H60" i="145"/>
  <c r="AJ59" i="145"/>
  <c r="AC59" i="145"/>
  <c r="AE59" i="145" s="1"/>
  <c r="AG59" i="145" s="1"/>
  <c r="L59" i="145"/>
  <c r="N59" i="145" s="1"/>
  <c r="K59" i="145"/>
  <c r="H59" i="145"/>
  <c r="AJ58" i="145"/>
  <c r="AC58" i="145"/>
  <c r="AE58" i="145" s="1"/>
  <c r="AG58" i="145" s="1"/>
  <c r="Q58" i="145"/>
  <c r="M58" i="145"/>
  <c r="L58" i="145"/>
  <c r="M68" i="145" s="1"/>
  <c r="K58" i="145"/>
  <c r="H58" i="145"/>
  <c r="AJ57" i="145"/>
  <c r="AC57" i="145"/>
  <c r="AE57" i="145" s="1"/>
  <c r="AG57" i="145" s="1"/>
  <c r="L57" i="145"/>
  <c r="N57" i="145" s="1"/>
  <c r="K57" i="145"/>
  <c r="H57" i="145"/>
  <c r="AJ56" i="145"/>
  <c r="AG56" i="145"/>
  <c r="AC56" i="145"/>
  <c r="AE56" i="145" s="1"/>
  <c r="N56" i="145"/>
  <c r="L56" i="145"/>
  <c r="K56" i="145"/>
  <c r="H56" i="145"/>
  <c r="AJ55" i="145"/>
  <c r="AC55" i="145"/>
  <c r="AE55" i="145" s="1"/>
  <c r="AG55" i="145" s="1"/>
  <c r="N55" i="145"/>
  <c r="L55" i="145"/>
  <c r="K55" i="145"/>
  <c r="H55" i="145"/>
  <c r="AJ54" i="145"/>
  <c r="AC54" i="145"/>
  <c r="AE54" i="145" s="1"/>
  <c r="AG54" i="145" s="1"/>
  <c r="L54" i="145"/>
  <c r="N54" i="145" s="1"/>
  <c r="AF54" i="145" s="1"/>
  <c r="AM54" i="145" s="1"/>
  <c r="K54" i="145"/>
  <c r="H54" i="145"/>
  <c r="AJ53" i="145"/>
  <c r="AC53" i="145"/>
  <c r="AE53" i="145" s="1"/>
  <c r="AG53" i="145" s="1"/>
  <c r="Q53" i="145"/>
  <c r="Q77" i="145" s="1"/>
  <c r="L53" i="145"/>
  <c r="N53" i="145" s="1"/>
  <c r="I53" i="145"/>
  <c r="K53" i="145" s="1"/>
  <c r="H53" i="145"/>
  <c r="AJ52" i="145"/>
  <c r="AC52" i="145"/>
  <c r="AE52" i="145" s="1"/>
  <c r="AG52" i="145" s="1"/>
  <c r="L52" i="145"/>
  <c r="N52" i="145" s="1"/>
  <c r="I52" i="145"/>
  <c r="K52" i="145" s="1"/>
  <c r="H52" i="145"/>
  <c r="AJ51" i="145"/>
  <c r="AC51" i="145"/>
  <c r="AE51" i="145" s="1"/>
  <c r="AG51" i="145" s="1"/>
  <c r="L51" i="145"/>
  <c r="N51" i="145" s="1"/>
  <c r="I51" i="145"/>
  <c r="K51" i="145" s="1"/>
  <c r="H51" i="145"/>
  <c r="AJ50" i="145"/>
  <c r="AC50" i="145"/>
  <c r="AE50" i="145" s="1"/>
  <c r="AG50" i="145" s="1"/>
  <c r="L50" i="145"/>
  <c r="N50" i="145" s="1"/>
  <c r="K50" i="145"/>
  <c r="H50" i="145"/>
  <c r="AJ49" i="145"/>
  <c r="AC49" i="145"/>
  <c r="AE49" i="145" s="1"/>
  <c r="AG49" i="145" s="1"/>
  <c r="L49" i="145"/>
  <c r="N49" i="145" s="1"/>
  <c r="K49" i="145"/>
  <c r="H49" i="145"/>
  <c r="AJ48" i="145"/>
  <c r="AG48" i="145"/>
  <c r="AC48" i="145"/>
  <c r="AE48" i="145" s="1"/>
  <c r="L48" i="145"/>
  <c r="N48" i="145" s="1"/>
  <c r="I48" i="145"/>
  <c r="H48" i="145"/>
  <c r="AJ47" i="145"/>
  <c r="AG47" i="145"/>
  <c r="AC47" i="145"/>
  <c r="AE47" i="145" s="1"/>
  <c r="L47" i="145"/>
  <c r="N47" i="145" s="1"/>
  <c r="K47" i="145"/>
  <c r="H47" i="145"/>
  <c r="C47" i="145"/>
  <c r="AO44" i="145"/>
  <c r="AN44" i="145"/>
  <c r="AL44" i="145"/>
  <c r="AK44" i="145"/>
  <c r="AI44" i="145"/>
  <c r="AH44" i="145"/>
  <c r="AB44" i="145"/>
  <c r="AA44" i="145"/>
  <c r="Z44" i="145"/>
  <c r="Y44" i="145"/>
  <c r="X44" i="145"/>
  <c r="W44" i="145"/>
  <c r="V44" i="145"/>
  <c r="U44" i="145"/>
  <c r="T44" i="145"/>
  <c r="S44" i="145"/>
  <c r="R44" i="145"/>
  <c r="P44" i="145"/>
  <c r="G44" i="145"/>
  <c r="F44" i="145"/>
  <c r="AJ43" i="145"/>
  <c r="AC43" i="145"/>
  <c r="AE43" i="145" s="1"/>
  <c r="AG43" i="145" s="1"/>
  <c r="L43" i="145"/>
  <c r="N43" i="145" s="1"/>
  <c r="AF43" i="145" s="1"/>
  <c r="AM43" i="145" s="1"/>
  <c r="K43" i="145"/>
  <c r="H43" i="145"/>
  <c r="AJ42" i="145"/>
  <c r="AC42" i="145"/>
  <c r="AE42" i="145" s="1"/>
  <c r="AG42" i="145" s="1"/>
  <c r="O42" i="145"/>
  <c r="L42" i="145"/>
  <c r="N42" i="145" s="1"/>
  <c r="I42" i="145"/>
  <c r="K42" i="145" s="1"/>
  <c r="H42" i="145"/>
  <c r="AJ41" i="145"/>
  <c r="AC41" i="145"/>
  <c r="AE41" i="145" s="1"/>
  <c r="AG41" i="145" s="1"/>
  <c r="L41" i="145"/>
  <c r="N41" i="145" s="1"/>
  <c r="O41" i="145" s="1"/>
  <c r="K41" i="145"/>
  <c r="H41" i="145"/>
  <c r="AJ40" i="145"/>
  <c r="Z40" i="145"/>
  <c r="AC40" i="145" s="1"/>
  <c r="AE40" i="145" s="1"/>
  <c r="AG40" i="145" s="1"/>
  <c r="Q40" i="145"/>
  <c r="M40" i="145"/>
  <c r="L40" i="145"/>
  <c r="N40" i="145" s="1"/>
  <c r="I40" i="145"/>
  <c r="K40" i="145" s="1"/>
  <c r="H40" i="145"/>
  <c r="AJ39" i="145"/>
  <c r="AC39" i="145"/>
  <c r="AE39" i="145" s="1"/>
  <c r="AG39" i="145" s="1"/>
  <c r="N39" i="145"/>
  <c r="O39" i="145" s="1"/>
  <c r="L39" i="145"/>
  <c r="K39" i="145"/>
  <c r="H39" i="145"/>
  <c r="AJ38" i="145"/>
  <c r="AC38" i="145"/>
  <c r="AE38" i="145" s="1"/>
  <c r="AG38" i="145" s="1"/>
  <c r="L38" i="145"/>
  <c r="N38" i="145" s="1"/>
  <c r="O38" i="145" s="1"/>
  <c r="K38" i="145"/>
  <c r="H38" i="145"/>
  <c r="AJ37" i="145"/>
  <c r="AC37" i="145"/>
  <c r="AE37" i="145" s="1"/>
  <c r="AG37" i="145" s="1"/>
  <c r="N37" i="145"/>
  <c r="O37" i="145" s="1"/>
  <c r="L37" i="145"/>
  <c r="I37" i="145"/>
  <c r="K37" i="145" s="1"/>
  <c r="H37" i="145"/>
  <c r="AC36" i="145"/>
  <c r="J36" i="145"/>
  <c r="J44" i="145" s="1"/>
  <c r="I36" i="145"/>
  <c r="H36" i="145"/>
  <c r="AJ35" i="145"/>
  <c r="AF35" i="145"/>
  <c r="AM35" i="145" s="1"/>
  <c r="AC35" i="145"/>
  <c r="AE35" i="145" s="1"/>
  <c r="AG35" i="145" s="1"/>
  <c r="L35" i="145"/>
  <c r="N35" i="145" s="1"/>
  <c r="O35" i="145" s="1"/>
  <c r="K35" i="145"/>
  <c r="H35" i="145"/>
  <c r="AJ34" i="145"/>
  <c r="AC34" i="145"/>
  <c r="AE34" i="145" s="1"/>
  <c r="AG34" i="145" s="1"/>
  <c r="L34" i="145"/>
  <c r="N34" i="145" s="1"/>
  <c r="O34" i="145" s="1"/>
  <c r="I34" i="145"/>
  <c r="K34" i="145" s="1"/>
  <c r="H34" i="145"/>
  <c r="AJ33" i="145"/>
  <c r="AC33" i="145"/>
  <c r="AE33" i="145" s="1"/>
  <c r="AG33" i="145" s="1"/>
  <c r="L33" i="145"/>
  <c r="N33" i="145" s="1"/>
  <c r="AF33" i="145" s="1"/>
  <c r="AM33" i="145" s="1"/>
  <c r="I33" i="145"/>
  <c r="K33" i="145" s="1"/>
  <c r="H33" i="145"/>
  <c r="AJ32" i="145"/>
  <c r="AC32" i="145"/>
  <c r="AE32" i="145" s="1"/>
  <c r="AG32" i="145" s="1"/>
  <c r="L32" i="145"/>
  <c r="N32" i="145" s="1"/>
  <c r="O32" i="145" s="1"/>
  <c r="K32" i="145"/>
  <c r="H32" i="145"/>
  <c r="AJ31" i="145"/>
  <c r="AC31" i="145"/>
  <c r="AE31" i="145" s="1"/>
  <c r="AG31" i="145" s="1"/>
  <c r="L31" i="145"/>
  <c r="N31" i="145" s="1"/>
  <c r="O31" i="145" s="1"/>
  <c r="K31" i="145"/>
  <c r="H31" i="145"/>
  <c r="AJ30" i="145"/>
  <c r="AC30" i="145"/>
  <c r="AE30" i="145" s="1"/>
  <c r="AG30" i="145" s="1"/>
  <c r="L30" i="145"/>
  <c r="N30" i="145" s="1"/>
  <c r="O30" i="145" s="1"/>
  <c r="I30" i="145"/>
  <c r="K30" i="145" s="1"/>
  <c r="H30" i="145"/>
  <c r="AJ29" i="145"/>
  <c r="AC29" i="145"/>
  <c r="AE29" i="145" s="1"/>
  <c r="AG29" i="145" s="1"/>
  <c r="L29" i="145"/>
  <c r="N29" i="145" s="1"/>
  <c r="K29" i="145"/>
  <c r="H29" i="145"/>
  <c r="AJ28" i="145"/>
  <c r="AC28" i="145"/>
  <c r="AE28" i="145" s="1"/>
  <c r="AG28" i="145" s="1"/>
  <c r="L28" i="145"/>
  <c r="N28" i="145" s="1"/>
  <c r="AF28" i="145" s="1"/>
  <c r="AM28" i="145" s="1"/>
  <c r="I28" i="145"/>
  <c r="K28" i="145" s="1"/>
  <c r="H28" i="145"/>
  <c r="AJ27" i="145"/>
  <c r="AC27" i="145"/>
  <c r="AE27" i="145" s="1"/>
  <c r="AG27" i="145" s="1"/>
  <c r="L27" i="145"/>
  <c r="N27" i="145" s="1"/>
  <c r="O27" i="145" s="1"/>
  <c r="K27" i="145"/>
  <c r="H27" i="145"/>
  <c r="AJ26" i="145"/>
  <c r="AC26" i="145"/>
  <c r="AE26" i="145" s="1"/>
  <c r="AG26" i="145" s="1"/>
  <c r="Q26" i="145"/>
  <c r="Q44" i="145" s="1"/>
  <c r="M26" i="145"/>
  <c r="M44" i="145" s="1"/>
  <c r="L26" i="145"/>
  <c r="I26" i="145"/>
  <c r="H26" i="145"/>
  <c r="AJ25" i="145"/>
  <c r="AE25" i="145"/>
  <c r="AG25" i="145" s="1"/>
  <c r="AC25" i="145"/>
  <c r="L25" i="145"/>
  <c r="N25" i="145" s="1"/>
  <c r="K25" i="145"/>
  <c r="H25" i="145"/>
  <c r="C25" i="145"/>
  <c r="AJ24" i="145"/>
  <c r="AC24" i="145"/>
  <c r="O24" i="145"/>
  <c r="L24" i="145"/>
  <c r="N24" i="145" s="1"/>
  <c r="K24" i="145"/>
  <c r="H24" i="145"/>
  <c r="AO21" i="145"/>
  <c r="AN21" i="145"/>
  <c r="AL21" i="145"/>
  <c r="AK21" i="145"/>
  <c r="AI21" i="145"/>
  <c r="AI117" i="145" s="1"/>
  <c r="AH21" i="145"/>
  <c r="AD21" i="145"/>
  <c r="AB21" i="145"/>
  <c r="AA21" i="145"/>
  <c r="AA117" i="145" s="1"/>
  <c r="Z21" i="145"/>
  <c r="Y21" i="145"/>
  <c r="X21" i="145"/>
  <c r="W21" i="145"/>
  <c r="W117" i="145" s="1"/>
  <c r="V21" i="145"/>
  <c r="U21" i="145"/>
  <c r="T21" i="145"/>
  <c r="S21" i="145"/>
  <c r="S117" i="145" s="1"/>
  <c r="R21" i="145"/>
  <c r="Q21" i="145"/>
  <c r="P21" i="145"/>
  <c r="M21" i="145"/>
  <c r="J21" i="145"/>
  <c r="G21" i="145"/>
  <c r="F21" i="145"/>
  <c r="AJ20" i="145"/>
  <c r="AC20" i="145"/>
  <c r="AE20" i="145" s="1"/>
  <c r="AG20" i="145" s="1"/>
  <c r="L20" i="145"/>
  <c r="N20" i="145" s="1"/>
  <c r="I20" i="145"/>
  <c r="K20" i="145" s="1"/>
  <c r="H20" i="145"/>
  <c r="AJ19" i="145"/>
  <c r="AC19" i="145"/>
  <c r="AE19" i="145" s="1"/>
  <c r="AG19" i="145" s="1"/>
  <c r="L19" i="145"/>
  <c r="N19" i="145" s="1"/>
  <c r="K19" i="145"/>
  <c r="H19" i="145"/>
  <c r="AJ18" i="145"/>
  <c r="AC18" i="145"/>
  <c r="AE18" i="145" s="1"/>
  <c r="AG18" i="145" s="1"/>
  <c r="L18" i="145"/>
  <c r="N18" i="145" s="1"/>
  <c r="I18" i="145"/>
  <c r="K18" i="145" s="1"/>
  <c r="H18" i="145"/>
  <c r="AJ17" i="145"/>
  <c r="AC17" i="145"/>
  <c r="AE17" i="145" s="1"/>
  <c r="AG17" i="145" s="1"/>
  <c r="L17" i="145"/>
  <c r="N17" i="145" s="1"/>
  <c r="K17" i="145"/>
  <c r="H17" i="145"/>
  <c r="AJ16" i="145"/>
  <c r="AC16" i="145"/>
  <c r="AE16" i="145" s="1"/>
  <c r="AG16" i="145" s="1"/>
  <c r="L16" i="145"/>
  <c r="N16" i="145" s="1"/>
  <c r="K16" i="145"/>
  <c r="I16" i="145"/>
  <c r="H16" i="145"/>
  <c r="AJ15" i="145"/>
  <c r="AC15" i="145"/>
  <c r="AE15" i="145" s="1"/>
  <c r="AG15" i="145" s="1"/>
  <c r="N15" i="145"/>
  <c r="O15" i="145" s="1"/>
  <c r="L15" i="145"/>
  <c r="I15" i="145"/>
  <c r="K15" i="145" s="1"/>
  <c r="H15" i="145"/>
  <c r="AJ14" i="145"/>
  <c r="AC14" i="145"/>
  <c r="AE14" i="145" s="1"/>
  <c r="AG14" i="145" s="1"/>
  <c r="L14" i="145"/>
  <c r="N14" i="145" s="1"/>
  <c r="K14" i="145"/>
  <c r="H14" i="145"/>
  <c r="AJ13" i="145"/>
  <c r="AC13" i="145"/>
  <c r="AE13" i="145" s="1"/>
  <c r="AG13" i="145" s="1"/>
  <c r="L13" i="145"/>
  <c r="N13" i="145" s="1"/>
  <c r="K13" i="145"/>
  <c r="H13" i="145"/>
  <c r="AJ12" i="145"/>
  <c r="AC12" i="145"/>
  <c r="AE12" i="145" s="1"/>
  <c r="AG12" i="145" s="1"/>
  <c r="N12" i="145"/>
  <c r="AF12" i="145" s="1"/>
  <c r="AM12" i="145" s="1"/>
  <c r="L12" i="145"/>
  <c r="I12" i="145"/>
  <c r="K12" i="145" s="1"/>
  <c r="H12" i="145"/>
  <c r="AJ11" i="145"/>
  <c r="AC11" i="145"/>
  <c r="AE11" i="145" s="1"/>
  <c r="AG11" i="145" s="1"/>
  <c r="L11" i="145"/>
  <c r="N11" i="145" s="1"/>
  <c r="K11" i="145"/>
  <c r="H11" i="145"/>
  <c r="AJ10" i="145"/>
  <c r="AC10" i="145"/>
  <c r="AE10" i="145" s="1"/>
  <c r="AG10" i="145" s="1"/>
  <c r="L10" i="145"/>
  <c r="N10" i="145" s="1"/>
  <c r="K10" i="145"/>
  <c r="H10" i="145"/>
  <c r="AC9" i="145"/>
  <c r="AE9" i="145" s="1"/>
  <c r="AG9" i="145" s="1"/>
  <c r="L9" i="145"/>
  <c r="N9" i="145" s="1"/>
  <c r="O9" i="145" s="1"/>
  <c r="K9" i="145"/>
  <c r="H9" i="145"/>
  <c r="AJ8" i="145"/>
  <c r="AJ21" i="145" s="1"/>
  <c r="AC8" i="145"/>
  <c r="L8" i="145"/>
  <c r="K8" i="145"/>
  <c r="H8" i="145"/>
  <c r="H21" i="145" s="1"/>
  <c r="BC15" i="128"/>
  <c r="BB15" i="128"/>
  <c r="BA15" i="128"/>
  <c r="AZ15" i="128"/>
  <c r="AX15" i="128"/>
  <c r="AW15" i="128"/>
  <c r="AV15" i="128"/>
  <c r="AU15" i="128"/>
  <c r="AS15" i="128"/>
  <c r="AR15" i="128"/>
  <c r="AQ15" i="128"/>
  <c r="AP15" i="128"/>
  <c r="AL15" i="128"/>
  <c r="AJ15" i="128"/>
  <c r="AI15" i="128"/>
  <c r="AH15" i="128"/>
  <c r="AG15" i="128"/>
  <c r="AF15" i="128"/>
  <c r="AE15" i="128"/>
  <c r="AD15" i="128"/>
  <c r="AC15" i="128"/>
  <c r="AB15" i="128"/>
  <c r="AA15" i="128"/>
  <c r="Y15" i="128"/>
  <c r="X15" i="128"/>
  <c r="R15" i="128"/>
  <c r="N15" i="128"/>
  <c r="J15" i="128"/>
  <c r="I15" i="128"/>
  <c r="H15" i="128"/>
  <c r="G15" i="128"/>
  <c r="E15" i="128"/>
  <c r="AT14" i="128"/>
  <c r="AM14" i="128"/>
  <c r="AO14" i="128" s="1"/>
  <c r="AK14" i="128"/>
  <c r="S14" i="128"/>
  <c r="K14" i="128"/>
  <c r="L14" i="128" s="1"/>
  <c r="P14" i="128" s="1"/>
  <c r="M14" i="128" s="1"/>
  <c r="T14" i="128" s="1"/>
  <c r="U14" i="128" s="1"/>
  <c r="D14" i="128"/>
  <c r="AT13" i="128"/>
  <c r="AK13" i="128"/>
  <c r="AM13" i="128" s="1"/>
  <c r="AO13" i="128" s="1"/>
  <c r="S13" i="128"/>
  <c r="K13" i="128"/>
  <c r="L13" i="128" s="1"/>
  <c r="F13" i="128"/>
  <c r="AT12" i="128"/>
  <c r="AP12" i="128"/>
  <c r="AD12" i="128"/>
  <c r="AK12" i="128" s="1"/>
  <c r="AM12" i="128" s="1"/>
  <c r="AO12" i="128" s="1"/>
  <c r="W12" i="128"/>
  <c r="W15" i="128" s="1"/>
  <c r="V12" i="128"/>
  <c r="S12" i="128"/>
  <c r="L12" i="128"/>
  <c r="P12" i="128" s="1"/>
  <c r="K12" i="128"/>
  <c r="D12" i="128"/>
  <c r="AT11" i="128"/>
  <c r="AK11" i="128"/>
  <c r="AM11" i="128" s="1"/>
  <c r="AO11" i="128" s="1"/>
  <c r="S11" i="128"/>
  <c r="K11" i="128"/>
  <c r="L11" i="128" s="1"/>
  <c r="P11" i="128" s="1"/>
  <c r="F11" i="128"/>
  <c r="AT10" i="128"/>
  <c r="AO10" i="128"/>
  <c r="AK10" i="128"/>
  <c r="AM10" i="128" s="1"/>
  <c r="S10" i="128"/>
  <c r="P10" i="128"/>
  <c r="K10" i="128"/>
  <c r="L10" i="128" s="1"/>
  <c r="F10" i="128"/>
  <c r="AT9" i="128"/>
  <c r="AK9" i="128"/>
  <c r="AM9" i="128" s="1"/>
  <c r="AO9" i="128" s="1"/>
  <c r="W9" i="128"/>
  <c r="S9" i="128"/>
  <c r="K9" i="128"/>
  <c r="L9" i="128" s="1"/>
  <c r="P9" i="128" s="1"/>
  <c r="M9" i="128" s="1"/>
  <c r="O9" i="128" s="1"/>
  <c r="F9" i="128"/>
  <c r="A9" i="128"/>
  <c r="A10" i="128" s="1"/>
  <c r="A11" i="128" s="1"/>
  <c r="A12" i="128" s="1"/>
  <c r="A13" i="128" s="1"/>
  <c r="A14" i="128" s="1"/>
  <c r="A15" i="128" s="1"/>
  <c r="AT8" i="128"/>
  <c r="AK8" i="128"/>
  <c r="AM8" i="128" s="1"/>
  <c r="AO8" i="128" s="1"/>
  <c r="S8" i="128"/>
  <c r="K8" i="128"/>
  <c r="F8" i="128"/>
  <c r="AT7" i="128"/>
  <c r="AT15" i="128" s="1"/>
  <c r="AK7" i="128"/>
  <c r="S7" i="128"/>
  <c r="S15" i="128" s="1"/>
  <c r="Q7" i="128"/>
  <c r="Q15" i="128" s="1"/>
  <c r="L7" i="128"/>
  <c r="K7" i="128"/>
  <c r="G7" i="128"/>
  <c r="F7" i="128"/>
  <c r="A7" i="128"/>
  <c r="A8" i="128" s="1"/>
  <c r="U6" i="128"/>
  <c r="O6" i="128"/>
  <c r="Q18" i="129"/>
  <c r="Q17" i="129"/>
  <c r="Q19" i="129" s="1"/>
  <c r="Q15" i="129"/>
  <c r="BB12" i="129"/>
  <c r="BA12" i="129"/>
  <c r="AZ12" i="129"/>
  <c r="AY12" i="129"/>
  <c r="AX12" i="129"/>
  <c r="AW12" i="129"/>
  <c r="AV12" i="129"/>
  <c r="AU12" i="129"/>
  <c r="AT12" i="129"/>
  <c r="AR12" i="129"/>
  <c r="AQ12" i="129"/>
  <c r="AP12" i="129"/>
  <c r="AJ12" i="129"/>
  <c r="AI12" i="129"/>
  <c r="AH12" i="129"/>
  <c r="AG12" i="129"/>
  <c r="AF12" i="129"/>
  <c r="AE12" i="129"/>
  <c r="AD12" i="129"/>
  <c r="AC12" i="129"/>
  <c r="AB12" i="129"/>
  <c r="AA12" i="129"/>
  <c r="Z12" i="129"/>
  <c r="Y12" i="129"/>
  <c r="X12" i="129"/>
  <c r="W12" i="129"/>
  <c r="R12" i="129"/>
  <c r="Q12" i="129"/>
  <c r="N12" i="129"/>
  <c r="J12" i="129"/>
  <c r="I12" i="129"/>
  <c r="H12" i="129"/>
  <c r="G12" i="129"/>
  <c r="F12" i="129"/>
  <c r="E12" i="129"/>
  <c r="A12" i="129"/>
  <c r="AX11" i="129"/>
  <c r="AM11" i="129"/>
  <c r="AS11" i="129" s="1"/>
  <c r="AS12" i="129" s="1"/>
  <c r="AK11" i="129"/>
  <c r="S11" i="129"/>
  <c r="L11" i="129"/>
  <c r="P11" i="129" s="1"/>
  <c r="K11" i="129"/>
  <c r="F11" i="129"/>
  <c r="AK10" i="129"/>
  <c r="S10" i="129"/>
  <c r="K10" i="129"/>
  <c r="K12" i="129" s="1"/>
  <c r="F10" i="129"/>
  <c r="D10" i="129"/>
  <c r="D12" i="129" s="1"/>
  <c r="A10" i="129"/>
  <c r="AK9" i="129"/>
  <c r="AK12" i="129" s="1"/>
  <c r="S9" i="129"/>
  <c r="S12" i="129" s="1"/>
  <c r="L9" i="129"/>
  <c r="P9" i="129" s="1"/>
  <c r="K9" i="129"/>
  <c r="F9" i="129"/>
  <c r="BC26" i="130"/>
  <c r="BB26" i="130"/>
  <c r="BA26" i="130"/>
  <c r="AZ26" i="130"/>
  <c r="AX26" i="130"/>
  <c r="AW26" i="130"/>
  <c r="AV26" i="130"/>
  <c r="AU26" i="130"/>
  <c r="AS26" i="130"/>
  <c r="AR26" i="130"/>
  <c r="AQ26" i="130"/>
  <c r="AP26" i="130"/>
  <c r="AL26" i="130"/>
  <c r="AJ26" i="130"/>
  <c r="AI26" i="130"/>
  <c r="AH26" i="130"/>
  <c r="AG26" i="130"/>
  <c r="AF26" i="130"/>
  <c r="AE26" i="130"/>
  <c r="AD26" i="130"/>
  <c r="AC26" i="130"/>
  <c r="AB26" i="130"/>
  <c r="AA26" i="130"/>
  <c r="Z26" i="130"/>
  <c r="Y26" i="130"/>
  <c r="X26" i="130"/>
  <c r="W26" i="130"/>
  <c r="R26" i="130"/>
  <c r="Q26" i="130"/>
  <c r="N26" i="130"/>
  <c r="J26" i="130"/>
  <c r="I26" i="130"/>
  <c r="H26" i="130"/>
  <c r="G26" i="130"/>
  <c r="E26" i="130"/>
  <c r="D26" i="130"/>
  <c r="AT25" i="130"/>
  <c r="AK25" i="130"/>
  <c r="AM25" i="130" s="1"/>
  <c r="AO25" i="130" s="1"/>
  <c r="S25" i="130"/>
  <c r="K25" i="130"/>
  <c r="L25" i="130" s="1"/>
  <c r="P25" i="130" s="1"/>
  <c r="F25" i="130"/>
  <c r="AT24" i="130"/>
  <c r="AK24" i="130"/>
  <c r="AM24" i="130" s="1"/>
  <c r="AO24" i="130" s="1"/>
  <c r="S24" i="130"/>
  <c r="K24" i="130"/>
  <c r="L24" i="130" s="1"/>
  <c r="F24" i="130"/>
  <c r="AT23" i="130"/>
  <c r="AK23" i="130"/>
  <c r="AM23" i="130" s="1"/>
  <c r="AO23" i="130" s="1"/>
  <c r="S23" i="130"/>
  <c r="L23" i="130"/>
  <c r="K23" i="130"/>
  <c r="F23" i="130"/>
  <c r="AT22" i="130"/>
  <c r="AM22" i="130"/>
  <c r="AO22" i="130" s="1"/>
  <c r="AK22" i="130"/>
  <c r="S22" i="130"/>
  <c r="K22" i="130"/>
  <c r="L22" i="130" s="1"/>
  <c r="F22" i="130"/>
  <c r="AT21" i="130"/>
  <c r="AK21" i="130"/>
  <c r="AM21" i="130" s="1"/>
  <c r="AO21" i="130" s="1"/>
  <c r="S21" i="130"/>
  <c r="K21" i="130"/>
  <c r="L21" i="130" s="1"/>
  <c r="P21" i="130" s="1"/>
  <c r="F21" i="130"/>
  <c r="AT20" i="130"/>
  <c r="AK20" i="130"/>
  <c r="AM20" i="130" s="1"/>
  <c r="AO20" i="130" s="1"/>
  <c r="S20" i="130"/>
  <c r="K20" i="130"/>
  <c r="L20" i="130" s="1"/>
  <c r="F20" i="130"/>
  <c r="AT19" i="130"/>
  <c r="AK19" i="130"/>
  <c r="AM19" i="130" s="1"/>
  <c r="AO19" i="130" s="1"/>
  <c r="S19" i="130"/>
  <c r="L19" i="130"/>
  <c r="K19" i="130"/>
  <c r="F19" i="130"/>
  <c r="AT18" i="130"/>
  <c r="AM18" i="130"/>
  <c r="AO18" i="130" s="1"/>
  <c r="AK18" i="130"/>
  <c r="S18" i="130"/>
  <c r="K18" i="130"/>
  <c r="L18" i="130" s="1"/>
  <c r="F18" i="130"/>
  <c r="AT17" i="130"/>
  <c r="AK17" i="130"/>
  <c r="AM17" i="130" s="1"/>
  <c r="AO17" i="130" s="1"/>
  <c r="S17" i="130"/>
  <c r="K17" i="130"/>
  <c r="L17" i="130" s="1"/>
  <c r="P17" i="130" s="1"/>
  <c r="F17" i="130"/>
  <c r="AT16" i="130"/>
  <c r="AK16" i="130"/>
  <c r="AM16" i="130" s="1"/>
  <c r="AO16" i="130" s="1"/>
  <c r="S16" i="130"/>
  <c r="K16" i="130"/>
  <c r="L16" i="130" s="1"/>
  <c r="G16" i="130"/>
  <c r="F16" i="130"/>
  <c r="AT15" i="130"/>
  <c r="AM15" i="130"/>
  <c r="AO15" i="130" s="1"/>
  <c r="AK15" i="130"/>
  <c r="S15" i="130"/>
  <c r="K15" i="130"/>
  <c r="L15" i="130" s="1"/>
  <c r="P15" i="130" s="1"/>
  <c r="M15" i="130" s="1"/>
  <c r="O15" i="130" s="1"/>
  <c r="F15" i="130"/>
  <c r="AT14" i="130"/>
  <c r="AK14" i="130"/>
  <c r="AM14" i="130" s="1"/>
  <c r="AO14" i="130" s="1"/>
  <c r="S14" i="130"/>
  <c r="P14" i="130"/>
  <c r="K14" i="130"/>
  <c r="L14" i="130" s="1"/>
  <c r="F14" i="130"/>
  <c r="AT13" i="130"/>
  <c r="AK13" i="130"/>
  <c r="AM13" i="130" s="1"/>
  <c r="AO13" i="130" s="1"/>
  <c r="S13" i="130"/>
  <c r="K13" i="130"/>
  <c r="L13" i="130" s="1"/>
  <c r="F13" i="130"/>
  <c r="AT12" i="130"/>
  <c r="AK12" i="130"/>
  <c r="AM12" i="130" s="1"/>
  <c r="AO12" i="130" s="1"/>
  <c r="S12" i="130"/>
  <c r="L12" i="130"/>
  <c r="K12" i="130"/>
  <c r="F12" i="130"/>
  <c r="AT11" i="130"/>
  <c r="AM11" i="130"/>
  <c r="AO11" i="130" s="1"/>
  <c r="AK11" i="130"/>
  <c r="S11" i="130"/>
  <c r="K11" i="130"/>
  <c r="L11" i="130" s="1"/>
  <c r="P11" i="130" s="1"/>
  <c r="M11" i="130" s="1"/>
  <c r="O11" i="130" s="1"/>
  <c r="F11" i="130"/>
  <c r="A11" i="130"/>
  <c r="A12" i="130" s="1"/>
  <c r="A13" i="130" s="1"/>
  <c r="A14" i="130" s="1"/>
  <c r="A15" i="130" s="1"/>
  <c r="A16" i="130" s="1"/>
  <c r="A17" i="130" s="1"/>
  <c r="A18" i="130" s="1"/>
  <c r="A19" i="130" s="1"/>
  <c r="A20" i="130" s="1"/>
  <c r="A21" i="130" s="1"/>
  <c r="A22" i="130" s="1"/>
  <c r="A23" i="130" s="1"/>
  <c r="A24" i="130" s="1"/>
  <c r="A25" i="130" s="1"/>
  <c r="A26" i="130" s="1"/>
  <c r="AT10" i="130"/>
  <c r="AK10" i="130"/>
  <c r="AM10" i="130" s="1"/>
  <c r="AO10" i="130" s="1"/>
  <c r="S10" i="130"/>
  <c r="P10" i="130"/>
  <c r="K10" i="130"/>
  <c r="L10" i="130" s="1"/>
  <c r="F10" i="130"/>
  <c r="AT9" i="130"/>
  <c r="AT26" i="130" s="1"/>
  <c r="AK9" i="130"/>
  <c r="S9" i="130"/>
  <c r="S26" i="130" s="1"/>
  <c r="K9" i="130"/>
  <c r="K26" i="130" s="1"/>
  <c r="D9" i="130"/>
  <c r="A9" i="130"/>
  <c r="A10" i="130" s="1"/>
  <c r="U8" i="130"/>
  <c r="T8" i="130"/>
  <c r="O8" i="130"/>
  <c r="BC17" i="131"/>
  <c r="BB17" i="131"/>
  <c r="BA17" i="131"/>
  <c r="AY17" i="131"/>
  <c r="AX17" i="131"/>
  <c r="AW17" i="131"/>
  <c r="AV17" i="131"/>
  <c r="AT17" i="131"/>
  <c r="AR17" i="131"/>
  <c r="AQ17" i="131"/>
  <c r="AO17" i="131"/>
  <c r="AL17" i="131"/>
  <c r="AJ17" i="131"/>
  <c r="AI17" i="131"/>
  <c r="AH17" i="131"/>
  <c r="AG17" i="131"/>
  <c r="AF17" i="131"/>
  <c r="AE17" i="131"/>
  <c r="AD17" i="131"/>
  <c r="AC17" i="131"/>
  <c r="AB17" i="131"/>
  <c r="AA17" i="131"/>
  <c r="Z17" i="131"/>
  <c r="Y17" i="131"/>
  <c r="X17" i="131"/>
  <c r="R17" i="131"/>
  <c r="Q17" i="131"/>
  <c r="N17" i="131"/>
  <c r="J17" i="131"/>
  <c r="I17" i="131"/>
  <c r="H17" i="131"/>
  <c r="E17" i="131"/>
  <c r="AU16" i="131"/>
  <c r="AM16" i="131"/>
  <c r="AP16" i="131" s="1"/>
  <c r="AK16" i="131"/>
  <c r="W16" i="131"/>
  <c r="S16" i="131"/>
  <c r="N16" i="131"/>
  <c r="K16" i="131"/>
  <c r="L16" i="131" s="1"/>
  <c r="P16" i="131" s="1"/>
  <c r="F16" i="131"/>
  <c r="AU15" i="131"/>
  <c r="AK15" i="131"/>
  <c r="AM15" i="131" s="1"/>
  <c r="AP15" i="131" s="1"/>
  <c r="S15" i="131"/>
  <c r="L15" i="131"/>
  <c r="K15" i="131"/>
  <c r="G15" i="131"/>
  <c r="F15" i="131"/>
  <c r="AU14" i="131"/>
  <c r="AK14" i="131"/>
  <c r="AM14" i="131" s="1"/>
  <c r="AP14" i="131" s="1"/>
  <c r="AS14" i="131" s="1"/>
  <c r="AS17" i="131" s="1"/>
  <c r="S14" i="131"/>
  <c r="K14" i="131"/>
  <c r="L14" i="131" s="1"/>
  <c r="O14" i="131" s="1"/>
  <c r="F14" i="131"/>
  <c r="AU13" i="131"/>
  <c r="AK13" i="131"/>
  <c r="AM13" i="131" s="1"/>
  <c r="AP13" i="131" s="1"/>
  <c r="S13" i="131"/>
  <c r="K13" i="131"/>
  <c r="L13" i="131" s="1"/>
  <c r="G13" i="131"/>
  <c r="F13" i="131"/>
  <c r="AU12" i="131"/>
  <c r="AM12" i="131"/>
  <c r="AP12" i="131" s="1"/>
  <c r="AK12" i="131"/>
  <c r="S12" i="131"/>
  <c r="M12" i="131"/>
  <c r="K12" i="131"/>
  <c r="L12" i="131" s="1"/>
  <c r="G12" i="131"/>
  <c r="P12" i="131" s="1"/>
  <c r="T12" i="131" s="1"/>
  <c r="U12" i="131" s="1"/>
  <c r="F12" i="131"/>
  <c r="AU11" i="131"/>
  <c r="AK11" i="131"/>
  <c r="AM11" i="131" s="1"/>
  <c r="AP11" i="131" s="1"/>
  <c r="S11" i="131"/>
  <c r="K11" i="131"/>
  <c r="L11" i="131" s="1"/>
  <c r="F11" i="131"/>
  <c r="AU10" i="131"/>
  <c r="AU17" i="131" s="1"/>
  <c r="AK10" i="131"/>
  <c r="AM10" i="131" s="1"/>
  <c r="AP10" i="131" s="1"/>
  <c r="S10" i="131"/>
  <c r="S17" i="131" s="1"/>
  <c r="M10" i="131"/>
  <c r="L10" i="131"/>
  <c r="K10" i="131"/>
  <c r="G10" i="131"/>
  <c r="P10" i="131" s="1"/>
  <c r="T10" i="131" s="1"/>
  <c r="U10" i="131" s="1"/>
  <c r="F10" i="131"/>
  <c r="F17" i="131" s="1"/>
  <c r="AU9" i="131"/>
  <c r="AK9" i="131"/>
  <c r="S9" i="131"/>
  <c r="K9" i="131"/>
  <c r="G9" i="131"/>
  <c r="G17" i="131" s="1"/>
  <c r="D9" i="131"/>
  <c r="F9" i="131" s="1"/>
  <c r="A9" i="131"/>
  <c r="A10" i="131" s="1"/>
  <c r="A11" i="131" s="1"/>
  <c r="A12" i="131" s="1"/>
  <c r="A13" i="131" s="1"/>
  <c r="A14" i="131" s="1"/>
  <c r="A15" i="131" s="1"/>
  <c r="A16" i="131" s="1"/>
  <c r="A17" i="131" s="1"/>
  <c r="BC22" i="132"/>
  <c r="BB22" i="132"/>
  <c r="BA22" i="132"/>
  <c r="AZ22" i="132"/>
  <c r="AX22" i="132"/>
  <c r="AW22" i="132"/>
  <c r="AV22" i="132"/>
  <c r="AU22" i="132"/>
  <c r="AS22" i="132"/>
  <c r="AR22" i="132"/>
  <c r="AQ22" i="132"/>
  <c r="AP22" i="132"/>
  <c r="AL22" i="132"/>
  <c r="AJ22" i="132"/>
  <c r="AI22" i="132"/>
  <c r="AH22" i="132"/>
  <c r="AG22" i="132"/>
  <c r="AF22" i="132"/>
  <c r="AE22" i="132"/>
  <c r="AD22" i="132"/>
  <c r="AC22" i="132"/>
  <c r="AB22" i="132"/>
  <c r="AA22" i="132"/>
  <c r="Z22" i="132"/>
  <c r="Y22" i="132"/>
  <c r="X22" i="132"/>
  <c r="W22" i="132"/>
  <c r="R22" i="132"/>
  <c r="Q22" i="132"/>
  <c r="N22" i="132"/>
  <c r="J22" i="132"/>
  <c r="I22" i="132"/>
  <c r="H22" i="132"/>
  <c r="E22" i="132"/>
  <c r="D22" i="132"/>
  <c r="AT21" i="132"/>
  <c r="AO21" i="132"/>
  <c r="AK21" i="132"/>
  <c r="AM21" i="132" s="1"/>
  <c r="S21" i="132"/>
  <c r="N21" i="132"/>
  <c r="K21" i="132"/>
  <c r="L21" i="132" s="1"/>
  <c r="P21" i="132" s="1"/>
  <c r="F21" i="132"/>
  <c r="AT20" i="132"/>
  <c r="AO20" i="132"/>
  <c r="AK20" i="132"/>
  <c r="AM20" i="132" s="1"/>
  <c r="S20" i="132"/>
  <c r="N20" i="132"/>
  <c r="K20" i="132"/>
  <c r="L20" i="132" s="1"/>
  <c r="P20" i="132" s="1"/>
  <c r="F20" i="132"/>
  <c r="AT19" i="132"/>
  <c r="AO19" i="132"/>
  <c r="AK19" i="132"/>
  <c r="AM19" i="132" s="1"/>
  <c r="S19" i="132"/>
  <c r="K19" i="132"/>
  <c r="L19" i="132" s="1"/>
  <c r="P19" i="132" s="1"/>
  <c r="F19" i="132"/>
  <c r="AT18" i="132"/>
  <c r="AO18" i="132"/>
  <c r="AN18" i="132"/>
  <c r="AY18" i="132" s="1"/>
  <c r="AK18" i="132"/>
  <c r="AM18" i="132" s="1"/>
  <c r="U18" i="132"/>
  <c r="V18" i="132" s="1"/>
  <c r="S18" i="132"/>
  <c r="P18" i="132"/>
  <c r="M18" i="132"/>
  <c r="O18" i="132" s="1"/>
  <c r="L18" i="132"/>
  <c r="F18" i="132"/>
  <c r="AT17" i="132"/>
  <c r="AK17" i="132"/>
  <c r="AM17" i="132" s="1"/>
  <c r="AO17" i="132" s="1"/>
  <c r="V17" i="132"/>
  <c r="U17" i="132"/>
  <c r="S17" i="132"/>
  <c r="P17" i="132"/>
  <c r="K17" i="132"/>
  <c r="L17" i="132" s="1"/>
  <c r="G17" i="132"/>
  <c r="F17" i="132"/>
  <c r="AT16" i="132"/>
  <c r="AK16" i="132"/>
  <c r="AM16" i="132" s="1"/>
  <c r="AO16" i="132" s="1"/>
  <c r="V16" i="132"/>
  <c r="U16" i="132"/>
  <c r="S16" i="132"/>
  <c r="K16" i="132"/>
  <c r="L16" i="132" s="1"/>
  <c r="G16" i="132"/>
  <c r="F16" i="132"/>
  <c r="AT15" i="132"/>
  <c r="AK15" i="132"/>
  <c r="AM15" i="132" s="1"/>
  <c r="AO15" i="132" s="1"/>
  <c r="V15" i="132"/>
  <c r="U15" i="132"/>
  <c r="S15" i="132"/>
  <c r="M15" i="132"/>
  <c r="K15" i="132"/>
  <c r="L15" i="132" s="1"/>
  <c r="O15" i="132" s="1"/>
  <c r="G15" i="132"/>
  <c r="G22" i="132" s="1"/>
  <c r="F15" i="132"/>
  <c r="AT14" i="132"/>
  <c r="AO14" i="132"/>
  <c r="AN14" i="132"/>
  <c r="AY14" i="132" s="1"/>
  <c r="AK14" i="132"/>
  <c r="AM14" i="132" s="1"/>
  <c r="Z14" i="132"/>
  <c r="U14" i="132"/>
  <c r="V14" i="132" s="1"/>
  <c r="S14" i="132"/>
  <c r="K14" i="132"/>
  <c r="L14" i="132" s="1"/>
  <c r="P14" i="132" s="1"/>
  <c r="F14" i="132"/>
  <c r="AT13" i="132"/>
  <c r="AO13" i="132"/>
  <c r="AN13" i="132"/>
  <c r="AY13" i="132" s="1"/>
  <c r="AK13" i="132"/>
  <c r="AM13" i="132" s="1"/>
  <c r="U13" i="132"/>
  <c r="V13" i="132" s="1"/>
  <c r="S13" i="132"/>
  <c r="K13" i="132"/>
  <c r="L13" i="132" s="1"/>
  <c r="F13" i="132"/>
  <c r="AT12" i="132"/>
  <c r="AK12" i="132"/>
  <c r="AM12" i="132" s="1"/>
  <c r="U12" i="132"/>
  <c r="V12" i="132" s="1"/>
  <c r="S12" i="132"/>
  <c r="L12" i="132"/>
  <c r="K12" i="132"/>
  <c r="F12" i="132"/>
  <c r="AT11" i="132"/>
  <c r="AK11" i="132"/>
  <c r="AM11" i="132" s="1"/>
  <c r="V11" i="132"/>
  <c r="U11" i="132"/>
  <c r="S11" i="132"/>
  <c r="K11" i="132"/>
  <c r="L11" i="132" s="1"/>
  <c r="F11" i="132"/>
  <c r="AT10" i="132"/>
  <c r="AO10" i="132"/>
  <c r="AK10" i="132"/>
  <c r="AM10" i="132" s="1"/>
  <c r="U10" i="132"/>
  <c r="AN10" i="132" s="1"/>
  <c r="S10" i="132"/>
  <c r="K10" i="132"/>
  <c r="L10" i="132" s="1"/>
  <c r="P10" i="132" s="1"/>
  <c r="M10" i="132" s="1"/>
  <c r="F10" i="132"/>
  <c r="A10" i="132"/>
  <c r="A11" i="132" s="1"/>
  <c r="A12" i="132" s="1"/>
  <c r="A13" i="132" s="1"/>
  <c r="A14" i="132" s="1"/>
  <c r="A15" i="132" s="1"/>
  <c r="A16" i="132" s="1"/>
  <c r="A17" i="132" s="1"/>
  <c r="A18" i="132" s="1"/>
  <c r="A19" i="132" s="1"/>
  <c r="A20" i="132" s="1"/>
  <c r="A21" i="132" s="1"/>
  <c r="A22" i="132" s="1"/>
  <c r="AT9" i="132"/>
  <c r="AO9" i="132"/>
  <c r="AK9" i="132"/>
  <c r="AM9" i="132" s="1"/>
  <c r="U9" i="132"/>
  <c r="AN9" i="132" s="1"/>
  <c r="AY9" i="132" s="1"/>
  <c r="S9" i="132"/>
  <c r="N9" i="132"/>
  <c r="K9" i="132"/>
  <c r="K22" i="132" s="1"/>
  <c r="F9" i="132"/>
  <c r="A9" i="132"/>
  <c r="R49" i="133"/>
  <c r="R48" i="133"/>
  <c r="M24" i="133"/>
  <c r="L24" i="133"/>
  <c r="BC21" i="133"/>
  <c r="BB21" i="133"/>
  <c r="BA21" i="133"/>
  <c r="AY21" i="133"/>
  <c r="AW21" i="133"/>
  <c r="AV21" i="133"/>
  <c r="AT21" i="133"/>
  <c r="AS21" i="133"/>
  <c r="AR21" i="133"/>
  <c r="AQ21" i="133"/>
  <c r="AO21" i="133"/>
  <c r="AL21" i="133"/>
  <c r="AJ21" i="133"/>
  <c r="AI21" i="133"/>
  <c r="AH21" i="133"/>
  <c r="AG21" i="133"/>
  <c r="AF21" i="133"/>
  <c r="AE21" i="133"/>
  <c r="AD21" i="133"/>
  <c r="AC21" i="133"/>
  <c r="AB21" i="133"/>
  <c r="AA21" i="133"/>
  <c r="Y21" i="133"/>
  <c r="X21" i="133"/>
  <c r="R21" i="133"/>
  <c r="Q21" i="133"/>
  <c r="J21" i="133"/>
  <c r="I21" i="133"/>
  <c r="G21" i="133"/>
  <c r="E21" i="133"/>
  <c r="AX20" i="133"/>
  <c r="AU20" i="133"/>
  <c r="AK20" i="133"/>
  <c r="AM20" i="133" s="1"/>
  <c r="AP20" i="133" s="1"/>
  <c r="V20" i="133"/>
  <c r="S20" i="133"/>
  <c r="N20" i="133"/>
  <c r="K20" i="133"/>
  <c r="L20" i="133" s="1"/>
  <c r="F20" i="133"/>
  <c r="AX19" i="133"/>
  <c r="AU19" i="133"/>
  <c r="AK19" i="133"/>
  <c r="AM19" i="133" s="1"/>
  <c r="AP19" i="133" s="1"/>
  <c r="V19" i="133"/>
  <c r="V21" i="133" s="1"/>
  <c r="S19" i="133"/>
  <c r="N19" i="133"/>
  <c r="K19" i="133"/>
  <c r="L19" i="133" s="1"/>
  <c r="F19" i="133"/>
  <c r="AX18" i="133"/>
  <c r="AU18" i="133"/>
  <c r="AK18" i="133"/>
  <c r="AM18" i="133" s="1"/>
  <c r="AP18" i="133" s="1"/>
  <c r="S18" i="133"/>
  <c r="L18" i="133"/>
  <c r="P18" i="133" s="1"/>
  <c r="K18" i="133"/>
  <c r="F18" i="133"/>
  <c r="AX17" i="133"/>
  <c r="AU17" i="133"/>
  <c r="AM17" i="133"/>
  <c r="AP17" i="133" s="1"/>
  <c r="AK17" i="133"/>
  <c r="S17" i="133"/>
  <c r="K17" i="133"/>
  <c r="L17" i="133" s="1"/>
  <c r="F17" i="133"/>
  <c r="AX16" i="133"/>
  <c r="AU16" i="133"/>
  <c r="AK16" i="133"/>
  <c r="AM16" i="133" s="1"/>
  <c r="AP16" i="133" s="1"/>
  <c r="Z16" i="133"/>
  <c r="Z21" i="133" s="1"/>
  <c r="S16" i="133"/>
  <c r="N16" i="133"/>
  <c r="K16" i="133"/>
  <c r="H16" i="133"/>
  <c r="H21" i="133" s="1"/>
  <c r="F16" i="133"/>
  <c r="D16" i="133"/>
  <c r="AX15" i="133"/>
  <c r="AU15" i="133"/>
  <c r="AM15" i="133"/>
  <c r="AP15" i="133" s="1"/>
  <c r="AK15" i="133"/>
  <c r="S15" i="133"/>
  <c r="K15" i="133"/>
  <c r="L15" i="133" s="1"/>
  <c r="F15" i="133"/>
  <c r="AX14" i="133"/>
  <c r="AU14" i="133"/>
  <c r="AK14" i="133"/>
  <c r="AM14" i="133" s="1"/>
  <c r="AP14" i="133" s="1"/>
  <c r="S14" i="133"/>
  <c r="N14" i="133"/>
  <c r="N21" i="133" s="1"/>
  <c r="L14" i="133"/>
  <c r="P14" i="133" s="1"/>
  <c r="K14" i="133"/>
  <c r="D14" i="133"/>
  <c r="F14" i="133" s="1"/>
  <c r="AX13" i="133"/>
  <c r="AU13" i="133"/>
  <c r="AK13" i="133"/>
  <c r="AM13" i="133" s="1"/>
  <c r="AP13" i="133" s="1"/>
  <c r="S13" i="133"/>
  <c r="L13" i="133"/>
  <c r="P13" i="133" s="1"/>
  <c r="K13" i="133"/>
  <c r="F13" i="133"/>
  <c r="AX12" i="133"/>
  <c r="AU12" i="133"/>
  <c r="AM12" i="133"/>
  <c r="AP12" i="133" s="1"/>
  <c r="AK12" i="133"/>
  <c r="S12" i="133"/>
  <c r="K12" i="133"/>
  <c r="L12" i="133" s="1"/>
  <c r="AX11" i="133"/>
  <c r="AU11" i="133"/>
  <c r="AK11" i="133"/>
  <c r="AM11" i="133" s="1"/>
  <c r="AP11" i="133" s="1"/>
  <c r="S11" i="133"/>
  <c r="K11" i="133"/>
  <c r="L11" i="133" s="1"/>
  <c r="F11" i="133"/>
  <c r="AX10" i="133"/>
  <c r="AU10" i="133"/>
  <c r="AU21" i="133" s="1"/>
  <c r="AM10" i="133"/>
  <c r="AP10" i="133" s="1"/>
  <c r="AK10" i="133"/>
  <c r="S10" i="133"/>
  <c r="S21" i="133" s="1"/>
  <c r="L10" i="133"/>
  <c r="K10" i="133"/>
  <c r="F10" i="133"/>
  <c r="A10" i="133"/>
  <c r="A11" i="133" s="1"/>
  <c r="A12" i="133" s="1"/>
  <c r="A13" i="133" s="1"/>
  <c r="A14" i="133" s="1"/>
  <c r="A15" i="133" s="1"/>
  <c r="A16" i="133" s="1"/>
  <c r="A17" i="133" s="1"/>
  <c r="A18" i="133" s="1"/>
  <c r="A19" i="133" s="1"/>
  <c r="A20" i="133" s="1"/>
  <c r="A21" i="133" s="1"/>
  <c r="AX9" i="133"/>
  <c r="AX21" i="133" s="1"/>
  <c r="AU9" i="133"/>
  <c r="AK9" i="133"/>
  <c r="AK21" i="133" s="1"/>
  <c r="S9" i="133"/>
  <c r="K9" i="133"/>
  <c r="L9" i="133" s="1"/>
  <c r="F9" i="133"/>
  <c r="R62" i="134"/>
  <c r="R63" i="134" s="1"/>
  <c r="BC42" i="134"/>
  <c r="BB42" i="134"/>
  <c r="BA42" i="134"/>
  <c r="AY42" i="134"/>
  <c r="AX42" i="134"/>
  <c r="AW42" i="134"/>
  <c r="AV42" i="134"/>
  <c r="AT42" i="134"/>
  <c r="AS42" i="134"/>
  <c r="AR42" i="134"/>
  <c r="AQ42" i="134"/>
  <c r="AO42" i="134"/>
  <c r="AL42" i="134"/>
  <c r="AJ42" i="134"/>
  <c r="AI42" i="134"/>
  <c r="AH42" i="134"/>
  <c r="AG42" i="134"/>
  <c r="AF42" i="134"/>
  <c r="AE42" i="134"/>
  <c r="AD42" i="134"/>
  <c r="AC42" i="134"/>
  <c r="AB42" i="134"/>
  <c r="AA42" i="134"/>
  <c r="Y42" i="134"/>
  <c r="X42" i="134"/>
  <c r="V42" i="134"/>
  <c r="Q42" i="134"/>
  <c r="J42" i="134"/>
  <c r="I42" i="134"/>
  <c r="H42" i="134"/>
  <c r="G42" i="134"/>
  <c r="E42" i="134"/>
  <c r="AU41" i="134"/>
  <c r="AK41" i="134"/>
  <c r="AM41" i="134" s="1"/>
  <c r="AP41" i="134" s="1"/>
  <c r="R41" i="134"/>
  <c r="S41" i="134" s="1"/>
  <c r="K41" i="134"/>
  <c r="L41" i="134" s="1"/>
  <c r="F41" i="134"/>
  <c r="AU40" i="134"/>
  <c r="AK40" i="134"/>
  <c r="AM40" i="134" s="1"/>
  <c r="AP40" i="134" s="1"/>
  <c r="T40" i="134"/>
  <c r="U40" i="134" s="1"/>
  <c r="S40" i="134"/>
  <c r="R40" i="134"/>
  <c r="P40" i="134"/>
  <c r="M40" i="134" s="1"/>
  <c r="O40" i="134"/>
  <c r="K40" i="134"/>
  <c r="L40" i="134" s="1"/>
  <c r="F40" i="134"/>
  <c r="AU39" i="134"/>
  <c r="AK39" i="134"/>
  <c r="AM39" i="134" s="1"/>
  <c r="AP39" i="134" s="1"/>
  <c r="R39" i="134"/>
  <c r="S39" i="134" s="1"/>
  <c r="K39" i="134"/>
  <c r="L39" i="134" s="1"/>
  <c r="F39" i="134"/>
  <c r="AU38" i="134"/>
  <c r="AK38" i="134"/>
  <c r="AM38" i="134" s="1"/>
  <c r="AP38" i="134" s="1"/>
  <c r="S38" i="134"/>
  <c r="R38" i="134"/>
  <c r="P38" i="134"/>
  <c r="K38" i="134"/>
  <c r="L38" i="134" s="1"/>
  <c r="F38" i="134"/>
  <c r="AU37" i="134"/>
  <c r="AP37" i="134"/>
  <c r="AK37" i="134"/>
  <c r="AM37" i="134" s="1"/>
  <c r="S37" i="134"/>
  <c r="R37" i="134"/>
  <c r="L37" i="134"/>
  <c r="K37" i="134"/>
  <c r="F37" i="134"/>
  <c r="AU36" i="134"/>
  <c r="AK36" i="134"/>
  <c r="AM36" i="134" s="1"/>
  <c r="AP36" i="134" s="1"/>
  <c r="S36" i="134"/>
  <c r="R36" i="134"/>
  <c r="K36" i="134"/>
  <c r="L36" i="134" s="1"/>
  <c r="P36" i="134" s="1"/>
  <c r="D36" i="134"/>
  <c r="F36" i="134" s="1"/>
  <c r="AU35" i="134"/>
  <c r="AK35" i="134"/>
  <c r="AM35" i="134" s="1"/>
  <c r="AP35" i="134" s="1"/>
  <c r="R35" i="134"/>
  <c r="L35" i="134"/>
  <c r="P35" i="134" s="1"/>
  <c r="K35" i="134"/>
  <c r="F35" i="134"/>
  <c r="AU34" i="134"/>
  <c r="AP34" i="134"/>
  <c r="AM34" i="134"/>
  <c r="AK34" i="134"/>
  <c r="S34" i="134"/>
  <c r="N34" i="134"/>
  <c r="N42" i="134" s="1"/>
  <c r="K34" i="134"/>
  <c r="L34" i="134" s="1"/>
  <c r="F34" i="134"/>
  <c r="AU33" i="134"/>
  <c r="AK33" i="134"/>
  <c r="AM33" i="134" s="1"/>
  <c r="AP33" i="134" s="1"/>
  <c r="S33" i="134"/>
  <c r="L33" i="134"/>
  <c r="K33" i="134"/>
  <c r="F33" i="134"/>
  <c r="AU32" i="134"/>
  <c r="AK32" i="134"/>
  <c r="AM32" i="134" s="1"/>
  <c r="AP32" i="134" s="1"/>
  <c r="S32" i="134"/>
  <c r="L32" i="134"/>
  <c r="P32" i="134" s="1"/>
  <c r="K32" i="134"/>
  <c r="F32" i="134"/>
  <c r="AU31" i="134"/>
  <c r="AP31" i="134"/>
  <c r="AM31" i="134"/>
  <c r="AK31" i="134"/>
  <c r="S31" i="134"/>
  <c r="K31" i="134"/>
  <c r="L31" i="134" s="1"/>
  <c r="F31" i="134"/>
  <c r="AU30" i="134"/>
  <c r="AP30" i="134"/>
  <c r="AK30" i="134"/>
  <c r="AM30" i="134" s="1"/>
  <c r="S30" i="134"/>
  <c r="K30" i="134"/>
  <c r="L30" i="134" s="1"/>
  <c r="F30" i="134"/>
  <c r="AU29" i="134"/>
  <c r="AK29" i="134"/>
  <c r="AM29" i="134" s="1"/>
  <c r="AP29" i="134" s="1"/>
  <c r="S29" i="134"/>
  <c r="L29" i="134"/>
  <c r="K29" i="134"/>
  <c r="F29" i="134"/>
  <c r="AU28" i="134"/>
  <c r="AK28" i="134"/>
  <c r="AM28" i="134" s="1"/>
  <c r="AP28" i="134" s="1"/>
  <c r="S28" i="134"/>
  <c r="L28" i="134"/>
  <c r="P28" i="134" s="1"/>
  <c r="M28" i="134" s="1"/>
  <c r="O28" i="134" s="1"/>
  <c r="K28" i="134"/>
  <c r="F28" i="134"/>
  <c r="AU27" i="134"/>
  <c r="AP27" i="134"/>
  <c r="AM27" i="134"/>
  <c r="AK27" i="134"/>
  <c r="S27" i="134"/>
  <c r="P27" i="134"/>
  <c r="K27" i="134"/>
  <c r="L27" i="134" s="1"/>
  <c r="F27" i="134"/>
  <c r="AU26" i="134"/>
  <c r="AP26" i="134"/>
  <c r="AK26" i="134"/>
  <c r="AM26" i="134" s="1"/>
  <c r="S26" i="134"/>
  <c r="K26" i="134"/>
  <c r="L26" i="134" s="1"/>
  <c r="F26" i="134"/>
  <c r="AU25" i="134"/>
  <c r="AK25" i="134"/>
  <c r="AM25" i="134" s="1"/>
  <c r="AP25" i="134" s="1"/>
  <c r="S25" i="134"/>
  <c r="L25" i="134"/>
  <c r="K25" i="134"/>
  <c r="F25" i="134"/>
  <c r="AU24" i="134"/>
  <c r="AK24" i="134"/>
  <c r="AM24" i="134" s="1"/>
  <c r="AP24" i="134" s="1"/>
  <c r="S24" i="134"/>
  <c r="L24" i="134"/>
  <c r="P24" i="134" s="1"/>
  <c r="K24" i="134"/>
  <c r="F24" i="134"/>
  <c r="AU23" i="134"/>
  <c r="AP23" i="134"/>
  <c r="AM23" i="134"/>
  <c r="AK23" i="134"/>
  <c r="S23" i="134"/>
  <c r="K23" i="134"/>
  <c r="L23" i="134" s="1"/>
  <c r="F23" i="134"/>
  <c r="AU22" i="134"/>
  <c r="AP22" i="134"/>
  <c r="AK22" i="134"/>
  <c r="AM22" i="134" s="1"/>
  <c r="S22" i="134"/>
  <c r="K22" i="134"/>
  <c r="L22" i="134" s="1"/>
  <c r="F22" i="134"/>
  <c r="AU21" i="134"/>
  <c r="AK21" i="134"/>
  <c r="AM21" i="134" s="1"/>
  <c r="AP21" i="134" s="1"/>
  <c r="S21" i="134"/>
  <c r="L21" i="134"/>
  <c r="K21" i="134"/>
  <c r="F21" i="134"/>
  <c r="AU20" i="134"/>
  <c r="AK20" i="134"/>
  <c r="AM20" i="134" s="1"/>
  <c r="AP20" i="134" s="1"/>
  <c r="S20" i="134"/>
  <c r="L20" i="134"/>
  <c r="P20" i="134" s="1"/>
  <c r="M20" i="134" s="1"/>
  <c r="O20" i="134" s="1"/>
  <c r="K20" i="134"/>
  <c r="F20" i="134"/>
  <c r="AU19" i="134"/>
  <c r="AP19" i="134"/>
  <c r="AM19" i="134"/>
  <c r="AK19" i="134"/>
  <c r="S19" i="134"/>
  <c r="P19" i="134"/>
  <c r="K19" i="134"/>
  <c r="L19" i="134" s="1"/>
  <c r="F19" i="134"/>
  <c r="AU18" i="134"/>
  <c r="AP18" i="134"/>
  <c r="AK18" i="134"/>
  <c r="AM18" i="134" s="1"/>
  <c r="S18" i="134"/>
  <c r="K18" i="134"/>
  <c r="L18" i="134" s="1"/>
  <c r="F18" i="134"/>
  <c r="AU17" i="134"/>
  <c r="AK17" i="134"/>
  <c r="AM17" i="134" s="1"/>
  <c r="AP17" i="134" s="1"/>
  <c r="S17" i="134"/>
  <c r="L17" i="134"/>
  <c r="K17" i="134"/>
  <c r="F17" i="134"/>
  <c r="AU16" i="134"/>
  <c r="AK16" i="134"/>
  <c r="AM16" i="134" s="1"/>
  <c r="AP16" i="134" s="1"/>
  <c r="S16" i="134"/>
  <c r="K16" i="134"/>
  <c r="L16" i="134" s="1"/>
  <c r="F16" i="134"/>
  <c r="AU15" i="134"/>
  <c r="AK15" i="134"/>
  <c r="AM15" i="134" s="1"/>
  <c r="AP15" i="134" s="1"/>
  <c r="S15" i="134"/>
  <c r="L15" i="134"/>
  <c r="K15" i="134"/>
  <c r="F15" i="134"/>
  <c r="AU14" i="134"/>
  <c r="AM14" i="134"/>
  <c r="AP14" i="134" s="1"/>
  <c r="AK14" i="134"/>
  <c r="S14" i="134"/>
  <c r="M14" i="134"/>
  <c r="O14" i="134" s="1"/>
  <c r="K14" i="134"/>
  <c r="L14" i="134" s="1"/>
  <c r="P14" i="134" s="1"/>
  <c r="T14" i="134" s="1"/>
  <c r="U14" i="134" s="1"/>
  <c r="F14" i="134"/>
  <c r="AU13" i="134"/>
  <c r="AK13" i="134"/>
  <c r="AM13" i="134" s="1"/>
  <c r="AP13" i="134" s="1"/>
  <c r="S13" i="134"/>
  <c r="P13" i="134"/>
  <c r="K13" i="134"/>
  <c r="L13" i="134" s="1"/>
  <c r="F13" i="134"/>
  <c r="AU12" i="134"/>
  <c r="AU42" i="134" s="1"/>
  <c r="AP12" i="134"/>
  <c r="AK12" i="134"/>
  <c r="AM12" i="134" s="1"/>
  <c r="S12" i="134"/>
  <c r="K12" i="134"/>
  <c r="L12" i="134" s="1"/>
  <c r="F12" i="134"/>
  <c r="AU11" i="134"/>
  <c r="AK11" i="134"/>
  <c r="AM11" i="134" s="1"/>
  <c r="AP11" i="134" s="1"/>
  <c r="S11" i="134"/>
  <c r="L11" i="134"/>
  <c r="K11" i="134"/>
  <c r="F11" i="134"/>
  <c r="AU10" i="134"/>
  <c r="AM10" i="134"/>
  <c r="AP10" i="134" s="1"/>
  <c r="AK10" i="134"/>
  <c r="S10" i="134"/>
  <c r="M10" i="134"/>
  <c r="O10" i="134" s="1"/>
  <c r="K10" i="134"/>
  <c r="L10" i="134" s="1"/>
  <c r="P10" i="134" s="1"/>
  <c r="T10" i="134" s="1"/>
  <c r="U10" i="134" s="1"/>
  <c r="F10" i="134"/>
  <c r="A10" i="134"/>
  <c r="A11" i="134" s="1"/>
  <c r="A12" i="134" s="1"/>
  <c r="A13" i="134" s="1"/>
  <c r="A14" i="134" s="1"/>
  <c r="A15" i="134" s="1"/>
  <c r="A16" i="134" s="1"/>
  <c r="A17" i="134" s="1"/>
  <c r="A18" i="134" s="1"/>
  <c r="A19" i="134" s="1"/>
  <c r="A20" i="134" s="1"/>
  <c r="A21" i="134" s="1"/>
  <c r="A22" i="134" s="1"/>
  <c r="A23" i="134" s="1"/>
  <c r="A24" i="134" s="1"/>
  <c r="A25" i="134" s="1"/>
  <c r="A26" i="134" s="1"/>
  <c r="A27" i="134" s="1"/>
  <c r="A28" i="134" s="1"/>
  <c r="A29" i="134" s="1"/>
  <c r="A30" i="134" s="1"/>
  <c r="A31" i="134" s="1"/>
  <c r="A32" i="134" s="1"/>
  <c r="A33" i="134" s="1"/>
  <c r="A34" i="134" s="1"/>
  <c r="A35" i="134" s="1"/>
  <c r="A36" i="134" s="1"/>
  <c r="A37" i="134" s="1"/>
  <c r="A38" i="134" s="1"/>
  <c r="A39" i="134" s="1"/>
  <c r="A40" i="134" s="1"/>
  <c r="A41" i="134" s="1"/>
  <c r="A42" i="134" s="1"/>
  <c r="AU9" i="134"/>
  <c r="AK9" i="134"/>
  <c r="S9" i="134"/>
  <c r="P9" i="134"/>
  <c r="K9" i="134"/>
  <c r="L9" i="134" s="1"/>
  <c r="F9" i="134"/>
  <c r="A9" i="134"/>
  <c r="R64" i="135"/>
  <c r="R65" i="135" s="1"/>
  <c r="BC39" i="135"/>
  <c r="BB39" i="135"/>
  <c r="BA39" i="135"/>
  <c r="AZ39" i="135"/>
  <c r="AX39" i="135"/>
  <c r="AW39" i="135"/>
  <c r="AV39" i="135"/>
  <c r="AU39" i="135"/>
  <c r="AS39" i="135"/>
  <c r="AR39" i="135"/>
  <c r="AQ39" i="135"/>
  <c r="AR41" i="135" s="1"/>
  <c r="AP39" i="135"/>
  <c r="AL39" i="135"/>
  <c r="AJ39" i="135"/>
  <c r="AI39" i="135"/>
  <c r="AH39" i="135"/>
  <c r="AG39" i="135"/>
  <c r="AX41" i="135" s="1"/>
  <c r="AF39" i="135"/>
  <c r="AE39" i="135"/>
  <c r="AD39" i="135"/>
  <c r="AC39" i="135"/>
  <c r="AB39" i="135"/>
  <c r="AA39" i="135"/>
  <c r="Z39" i="135"/>
  <c r="Y39" i="135"/>
  <c r="X39" i="135"/>
  <c r="R39" i="135"/>
  <c r="Q39" i="135"/>
  <c r="J39" i="135"/>
  <c r="I39" i="135"/>
  <c r="H39" i="135"/>
  <c r="G39" i="135"/>
  <c r="AT38" i="135"/>
  <c r="AK38" i="135"/>
  <c r="AM38" i="135" s="1"/>
  <c r="AO38" i="135" s="1"/>
  <c r="S38" i="135"/>
  <c r="L38" i="135"/>
  <c r="K38" i="135"/>
  <c r="F38" i="135"/>
  <c r="AT37" i="135"/>
  <c r="AM37" i="135"/>
  <c r="AO37" i="135" s="1"/>
  <c r="AK37" i="135"/>
  <c r="S37" i="135"/>
  <c r="K37" i="135"/>
  <c r="L37" i="135" s="1"/>
  <c r="P37" i="135" s="1"/>
  <c r="F37" i="135"/>
  <c r="AT36" i="135"/>
  <c r="AK36" i="135"/>
  <c r="AM36" i="135" s="1"/>
  <c r="AO36" i="135" s="1"/>
  <c r="S36" i="135"/>
  <c r="P36" i="135"/>
  <c r="K36" i="135"/>
  <c r="L36" i="135" s="1"/>
  <c r="F36" i="135"/>
  <c r="AT35" i="135"/>
  <c r="AK35" i="135"/>
  <c r="AM35" i="135" s="1"/>
  <c r="AO35" i="135" s="1"/>
  <c r="S35" i="135"/>
  <c r="L35" i="135"/>
  <c r="P35" i="135" s="1"/>
  <c r="K35" i="135"/>
  <c r="F35" i="135"/>
  <c r="AT34" i="135"/>
  <c r="AK34" i="135"/>
  <c r="AM34" i="135" s="1"/>
  <c r="AO34" i="135" s="1"/>
  <c r="V34" i="135"/>
  <c r="S34" i="135"/>
  <c r="M34" i="135"/>
  <c r="K34" i="135"/>
  <c r="L34" i="135" s="1"/>
  <c r="P34" i="135" s="1"/>
  <c r="T34" i="135" s="1"/>
  <c r="U34" i="135" s="1"/>
  <c r="F34" i="135"/>
  <c r="AT33" i="135"/>
  <c r="AO33" i="135"/>
  <c r="AK33" i="135"/>
  <c r="AM33" i="135" s="1"/>
  <c r="V33" i="135"/>
  <c r="S33" i="135"/>
  <c r="N33" i="135"/>
  <c r="L33" i="135"/>
  <c r="P33" i="135" s="1"/>
  <c r="K33" i="135"/>
  <c r="F33" i="135"/>
  <c r="AT32" i="135"/>
  <c r="AM32" i="135"/>
  <c r="AO32" i="135" s="1"/>
  <c r="AK32" i="135"/>
  <c r="S32" i="135"/>
  <c r="O32" i="135"/>
  <c r="N32" i="135"/>
  <c r="K32" i="135"/>
  <c r="L32" i="135" s="1"/>
  <c r="P32" i="135" s="1"/>
  <c r="M32" i="135" s="1"/>
  <c r="F32" i="135"/>
  <c r="AT31" i="135"/>
  <c r="AK31" i="135"/>
  <c r="AM31" i="135" s="1"/>
  <c r="AO31" i="135" s="1"/>
  <c r="S31" i="135"/>
  <c r="L31" i="135"/>
  <c r="P31" i="135" s="1"/>
  <c r="K31" i="135"/>
  <c r="F31" i="135"/>
  <c r="AT30" i="135"/>
  <c r="AK30" i="135"/>
  <c r="AM30" i="135" s="1"/>
  <c r="AO30" i="135" s="1"/>
  <c r="S30" i="135"/>
  <c r="R30" i="135"/>
  <c r="K30" i="135"/>
  <c r="L30" i="135" s="1"/>
  <c r="P30" i="135" s="1"/>
  <c r="E30" i="135"/>
  <c r="E39" i="135" s="1"/>
  <c r="D30" i="135"/>
  <c r="AT29" i="135"/>
  <c r="AM29" i="135"/>
  <c r="AO29" i="135" s="1"/>
  <c r="AK29" i="135"/>
  <c r="AG29" i="135"/>
  <c r="S29" i="135"/>
  <c r="K29" i="135"/>
  <c r="L29" i="135" s="1"/>
  <c r="P29" i="135" s="1"/>
  <c r="M29" i="135" s="1"/>
  <c r="F29" i="135"/>
  <c r="AT28" i="135"/>
  <c r="AO28" i="135"/>
  <c r="AK28" i="135"/>
  <c r="AM28" i="135" s="1"/>
  <c r="S28" i="135"/>
  <c r="K28" i="135"/>
  <c r="L28" i="135" s="1"/>
  <c r="P28" i="135" s="1"/>
  <c r="F28" i="135"/>
  <c r="AT27" i="135"/>
  <c r="AK27" i="135"/>
  <c r="AM27" i="135" s="1"/>
  <c r="AO27" i="135" s="1"/>
  <c r="S27" i="135"/>
  <c r="N27" i="135"/>
  <c r="L27" i="135"/>
  <c r="P27" i="135" s="1"/>
  <c r="K27" i="135"/>
  <c r="F27" i="135"/>
  <c r="AT26" i="135"/>
  <c r="AM26" i="135"/>
  <c r="AO26" i="135" s="1"/>
  <c r="AK26" i="135"/>
  <c r="S26" i="135"/>
  <c r="N26" i="135"/>
  <c r="K26" i="135"/>
  <c r="L26" i="135" s="1"/>
  <c r="P26" i="135" s="1"/>
  <c r="M26" i="135" s="1"/>
  <c r="F26" i="135"/>
  <c r="AT25" i="135"/>
  <c r="AK25" i="135"/>
  <c r="AM25" i="135" s="1"/>
  <c r="AO25" i="135" s="1"/>
  <c r="S25" i="135"/>
  <c r="N25" i="135"/>
  <c r="L25" i="135"/>
  <c r="P25" i="135" s="1"/>
  <c r="K25" i="135"/>
  <c r="F25" i="135"/>
  <c r="AT24" i="135"/>
  <c r="AM24" i="135"/>
  <c r="AO24" i="135" s="1"/>
  <c r="AK24" i="135"/>
  <c r="S24" i="135"/>
  <c r="K24" i="135"/>
  <c r="L24" i="135" s="1"/>
  <c r="P24" i="135" s="1"/>
  <c r="M24" i="135" s="1"/>
  <c r="F24" i="135"/>
  <c r="AT23" i="135"/>
  <c r="AO23" i="135"/>
  <c r="AK23" i="135"/>
  <c r="AM23" i="135" s="1"/>
  <c r="S23" i="135"/>
  <c r="K23" i="135"/>
  <c r="L23" i="135" s="1"/>
  <c r="P23" i="135" s="1"/>
  <c r="F23" i="135"/>
  <c r="AT22" i="135"/>
  <c r="AK22" i="135"/>
  <c r="AM22" i="135" s="1"/>
  <c r="AO22" i="135" s="1"/>
  <c r="S22" i="135"/>
  <c r="N22" i="135"/>
  <c r="L22" i="135"/>
  <c r="P22" i="135" s="1"/>
  <c r="K22" i="135"/>
  <c r="F22" i="135"/>
  <c r="AT21" i="135"/>
  <c r="AM21" i="135"/>
  <c r="AO21" i="135" s="1"/>
  <c r="AK21" i="135"/>
  <c r="S21" i="135"/>
  <c r="K21" i="135"/>
  <c r="L21" i="135" s="1"/>
  <c r="P21" i="135" s="1"/>
  <c r="M21" i="135" s="1"/>
  <c r="F21" i="135"/>
  <c r="AT20" i="135"/>
  <c r="AO20" i="135"/>
  <c r="AK20" i="135"/>
  <c r="AM20" i="135" s="1"/>
  <c r="S20" i="135"/>
  <c r="K20" i="135"/>
  <c r="L20" i="135" s="1"/>
  <c r="P20" i="135" s="1"/>
  <c r="F20" i="135"/>
  <c r="AT19" i="135"/>
  <c r="AK19" i="135"/>
  <c r="AM19" i="135" s="1"/>
  <c r="AO19" i="135" s="1"/>
  <c r="S19" i="135"/>
  <c r="P19" i="135"/>
  <c r="L19" i="135"/>
  <c r="K19" i="135"/>
  <c r="F19" i="135"/>
  <c r="AT18" i="135"/>
  <c r="AK18" i="135"/>
  <c r="AM18" i="135" s="1"/>
  <c r="AO18" i="135" s="1"/>
  <c r="S18" i="135"/>
  <c r="N18" i="135"/>
  <c r="M18" i="135"/>
  <c r="O18" i="135" s="1"/>
  <c r="K18" i="135"/>
  <c r="L18" i="135" s="1"/>
  <c r="P18" i="135" s="1"/>
  <c r="F18" i="135"/>
  <c r="AT17" i="135"/>
  <c r="AK17" i="135"/>
  <c r="AM17" i="135" s="1"/>
  <c r="AO17" i="135" s="1"/>
  <c r="S17" i="135"/>
  <c r="N17" i="135"/>
  <c r="K17" i="135"/>
  <c r="L17" i="135" s="1"/>
  <c r="F17" i="135"/>
  <c r="AT16" i="135"/>
  <c r="AM16" i="135"/>
  <c r="AO16" i="135" s="1"/>
  <c r="AK16" i="135"/>
  <c r="S16" i="135"/>
  <c r="N16" i="135"/>
  <c r="K16" i="135"/>
  <c r="L16" i="135" s="1"/>
  <c r="P16" i="135" s="1"/>
  <c r="F16" i="135"/>
  <c r="AT15" i="135"/>
  <c r="AK15" i="135"/>
  <c r="AM15" i="135" s="1"/>
  <c r="AO15" i="135" s="1"/>
  <c r="S15" i="135"/>
  <c r="K15" i="135"/>
  <c r="L15" i="135" s="1"/>
  <c r="F15" i="135"/>
  <c r="AT14" i="135"/>
  <c r="AM14" i="135"/>
  <c r="AO14" i="135" s="1"/>
  <c r="AK14" i="135"/>
  <c r="S14" i="135"/>
  <c r="M14" i="135"/>
  <c r="O14" i="135" s="1"/>
  <c r="L14" i="135"/>
  <c r="P14" i="135" s="1"/>
  <c r="T14" i="135" s="1"/>
  <c r="U14" i="135" s="1"/>
  <c r="K14" i="135"/>
  <c r="F14" i="135"/>
  <c r="AT13" i="135"/>
  <c r="AO13" i="135"/>
  <c r="AM13" i="135"/>
  <c r="AK13" i="135"/>
  <c r="S13" i="135"/>
  <c r="K13" i="135"/>
  <c r="L13" i="135" s="1"/>
  <c r="P13" i="135" s="1"/>
  <c r="D13" i="135"/>
  <c r="AT12" i="135"/>
  <c r="AO12" i="135"/>
  <c r="AM12" i="135"/>
  <c r="AK12" i="135"/>
  <c r="S12" i="135"/>
  <c r="N12" i="135"/>
  <c r="L12" i="135"/>
  <c r="P12" i="135" s="1"/>
  <c r="K12" i="135"/>
  <c r="F12" i="135"/>
  <c r="AT11" i="135"/>
  <c r="AM11" i="135"/>
  <c r="AO11" i="135" s="1"/>
  <c r="AK11" i="135"/>
  <c r="S11" i="135"/>
  <c r="N11" i="135"/>
  <c r="L11" i="135"/>
  <c r="P11" i="135" s="1"/>
  <c r="K11" i="135"/>
  <c r="F11" i="135"/>
  <c r="D11" i="135"/>
  <c r="AT10" i="135"/>
  <c r="AT39" i="135" s="1"/>
  <c r="AK10" i="135"/>
  <c r="AM10" i="135" s="1"/>
  <c r="AO10" i="135" s="1"/>
  <c r="S10" i="135"/>
  <c r="L10" i="135"/>
  <c r="K10" i="135"/>
  <c r="F10" i="135"/>
  <c r="D10" i="135"/>
  <c r="A10" i="135"/>
  <c r="A11" i="135" s="1"/>
  <c r="A12" i="135" s="1"/>
  <c r="A13" i="135" s="1"/>
  <c r="A14" i="135" s="1"/>
  <c r="A15" i="135" s="1"/>
  <c r="A16" i="135" s="1"/>
  <c r="A17" i="135" s="1"/>
  <c r="A18" i="135" s="1"/>
  <c r="A19" i="135" s="1"/>
  <c r="A20" i="135" s="1"/>
  <c r="A21" i="135" s="1"/>
  <c r="A22" i="135" s="1"/>
  <c r="A23" i="135" s="1"/>
  <c r="A24" i="135" s="1"/>
  <c r="A25" i="135" s="1"/>
  <c r="A26" i="135" s="1"/>
  <c r="A27" i="135" s="1"/>
  <c r="A28" i="135" s="1"/>
  <c r="A29" i="135" s="1"/>
  <c r="A30" i="135" s="1"/>
  <c r="A31" i="135" s="1"/>
  <c r="A32" i="135" s="1"/>
  <c r="A33" i="135" s="1"/>
  <c r="A34" i="135" s="1"/>
  <c r="A35" i="135" s="1"/>
  <c r="A36" i="135" s="1"/>
  <c r="A37" i="135" s="1"/>
  <c r="A38" i="135" s="1"/>
  <c r="A39" i="135" s="1"/>
  <c r="AT9" i="135"/>
  <c r="AK9" i="135"/>
  <c r="AK39" i="135" s="1"/>
  <c r="S9" i="135"/>
  <c r="K9" i="135"/>
  <c r="K39" i="135" s="1"/>
  <c r="F9" i="135"/>
  <c r="BC21" i="136"/>
  <c r="BB21" i="136"/>
  <c r="BA21" i="136"/>
  <c r="AY21" i="136"/>
  <c r="AX21" i="136"/>
  <c r="AW21" i="136"/>
  <c r="AV21" i="136"/>
  <c r="AT21" i="136"/>
  <c r="AS21" i="136"/>
  <c r="AR21" i="136"/>
  <c r="AQ21" i="136"/>
  <c r="AO21" i="136"/>
  <c r="AL21" i="136"/>
  <c r="AJ21" i="136"/>
  <c r="AI21" i="136"/>
  <c r="AH21" i="136"/>
  <c r="AG21" i="136"/>
  <c r="AF21" i="136"/>
  <c r="AE21" i="136"/>
  <c r="AD21" i="136"/>
  <c r="AC21" i="136"/>
  <c r="AB21" i="136"/>
  <c r="AA21" i="136"/>
  <c r="Z21" i="136"/>
  <c r="Y21" i="136"/>
  <c r="X21" i="136"/>
  <c r="V21" i="136"/>
  <c r="R21" i="136"/>
  <c r="Q21" i="136"/>
  <c r="N21" i="136"/>
  <c r="J21" i="136"/>
  <c r="I21" i="136"/>
  <c r="H21" i="136"/>
  <c r="F21" i="136"/>
  <c r="E21" i="136"/>
  <c r="D21" i="136"/>
  <c r="AU20" i="136"/>
  <c r="AM20" i="136"/>
  <c r="AP20" i="136" s="1"/>
  <c r="AK20" i="136"/>
  <c r="S20" i="136"/>
  <c r="K20" i="136"/>
  <c r="L20" i="136" s="1"/>
  <c r="P20" i="136" s="1"/>
  <c r="M20" i="136" s="1"/>
  <c r="F20" i="136"/>
  <c r="AU19" i="136"/>
  <c r="AP19" i="136"/>
  <c r="AK19" i="136"/>
  <c r="AM19" i="136" s="1"/>
  <c r="S19" i="136"/>
  <c r="K19" i="136"/>
  <c r="L19" i="136" s="1"/>
  <c r="P19" i="136" s="1"/>
  <c r="F19" i="136"/>
  <c r="AU18" i="136"/>
  <c r="AK18" i="136"/>
  <c r="AM18" i="136" s="1"/>
  <c r="AP18" i="136" s="1"/>
  <c r="S18" i="136"/>
  <c r="L18" i="136"/>
  <c r="K18" i="136"/>
  <c r="F18" i="136"/>
  <c r="AU17" i="136"/>
  <c r="AM17" i="136"/>
  <c r="AP17" i="136" s="1"/>
  <c r="AK17" i="136"/>
  <c r="S17" i="136"/>
  <c r="L17" i="136"/>
  <c r="K17" i="136"/>
  <c r="F17" i="136"/>
  <c r="AU16" i="136"/>
  <c r="AM16" i="136"/>
  <c r="AP16" i="136" s="1"/>
  <c r="AK16" i="136"/>
  <c r="S16" i="136"/>
  <c r="K16" i="136"/>
  <c r="L16" i="136" s="1"/>
  <c r="G16" i="136"/>
  <c r="AU15" i="136"/>
  <c r="AP15" i="136"/>
  <c r="AK15" i="136"/>
  <c r="AM15" i="136" s="1"/>
  <c r="S15" i="136"/>
  <c r="K15" i="136"/>
  <c r="L15" i="136" s="1"/>
  <c r="P15" i="136" s="1"/>
  <c r="F15" i="136"/>
  <c r="AU14" i="136"/>
  <c r="AK14" i="136"/>
  <c r="AM14" i="136" s="1"/>
  <c r="AP14" i="136" s="1"/>
  <c r="S14" i="136"/>
  <c r="L14" i="136"/>
  <c r="K14" i="136"/>
  <c r="F14" i="136"/>
  <c r="AU13" i="136"/>
  <c r="AM13" i="136"/>
  <c r="AP13" i="136" s="1"/>
  <c r="AK13" i="136"/>
  <c r="S13" i="136"/>
  <c r="L13" i="136"/>
  <c r="K13" i="136"/>
  <c r="F13" i="136"/>
  <c r="AU12" i="136"/>
  <c r="AM12" i="136"/>
  <c r="AP12" i="136" s="1"/>
  <c r="AK12" i="136"/>
  <c r="S12" i="136"/>
  <c r="K12" i="136"/>
  <c r="L12" i="136" s="1"/>
  <c r="P12" i="136" s="1"/>
  <c r="M12" i="136" s="1"/>
  <c r="F12" i="136"/>
  <c r="AU11" i="136"/>
  <c r="AP11" i="136"/>
  <c r="AK11" i="136"/>
  <c r="AM11" i="136" s="1"/>
  <c r="S11" i="136"/>
  <c r="K11" i="136"/>
  <c r="F11" i="136"/>
  <c r="D11" i="136"/>
  <c r="AU10" i="136"/>
  <c r="AU21" i="136" s="1"/>
  <c r="AM10" i="136"/>
  <c r="AK10" i="136"/>
  <c r="AI10" i="136"/>
  <c r="S10" i="136"/>
  <c r="M10" i="136"/>
  <c r="K10" i="136"/>
  <c r="L10" i="136" s="1"/>
  <c r="P10" i="136" s="1"/>
  <c r="T10" i="136" s="1"/>
  <c r="U10" i="136" s="1"/>
  <c r="F10" i="136"/>
  <c r="AU9" i="136"/>
  <c r="AP9" i="136"/>
  <c r="AK9" i="136"/>
  <c r="S9" i="136"/>
  <c r="S21" i="136" s="1"/>
  <c r="L9" i="136"/>
  <c r="K9" i="136"/>
  <c r="F9" i="136"/>
  <c r="A9" i="136"/>
  <c r="A10" i="136" s="1"/>
  <c r="A11" i="136" s="1"/>
  <c r="A12" i="136" s="1"/>
  <c r="A13" i="136" s="1"/>
  <c r="A14" i="136" s="1"/>
  <c r="A15" i="136" s="1"/>
  <c r="A16" i="136" s="1"/>
  <c r="A17" i="136" s="1"/>
  <c r="A18" i="136" s="1"/>
  <c r="A19" i="136" s="1"/>
  <c r="A20" i="136" s="1"/>
  <c r="A21" i="136" s="1"/>
  <c r="U8" i="136"/>
  <c r="T8" i="136"/>
  <c r="BC28" i="137"/>
  <c r="BB28" i="137"/>
  <c r="BA28" i="137"/>
  <c r="AY28" i="137"/>
  <c r="AX28" i="137"/>
  <c r="AW28" i="137"/>
  <c r="AV28" i="137"/>
  <c r="AT28" i="137"/>
  <c r="AS28" i="137"/>
  <c r="AR28" i="137"/>
  <c r="AO28" i="137"/>
  <c r="AL28" i="137"/>
  <c r="AJ28" i="137"/>
  <c r="AI28" i="137"/>
  <c r="AH28" i="137"/>
  <c r="AG28" i="137"/>
  <c r="AF28" i="137"/>
  <c r="AE28" i="137"/>
  <c r="AD28" i="137"/>
  <c r="AC28" i="137"/>
  <c r="AB28" i="137"/>
  <c r="AA28" i="137"/>
  <c r="Z28" i="137"/>
  <c r="Y28" i="137"/>
  <c r="X28" i="137"/>
  <c r="V28" i="137"/>
  <c r="R28" i="137"/>
  <c r="Q28" i="137"/>
  <c r="J28" i="137"/>
  <c r="I28" i="137"/>
  <c r="H28" i="137"/>
  <c r="E28" i="137"/>
  <c r="AU27" i="137"/>
  <c r="AM27" i="137"/>
  <c r="AP27" i="137" s="1"/>
  <c r="AK27" i="137"/>
  <c r="T27" i="137"/>
  <c r="S27" i="137"/>
  <c r="P27" i="137"/>
  <c r="M27" i="137" s="1"/>
  <c r="N27" i="137"/>
  <c r="F27" i="137"/>
  <c r="AU26" i="137"/>
  <c r="AM26" i="137"/>
  <c r="AP26" i="137" s="1"/>
  <c r="AK26" i="137"/>
  <c r="S26" i="137"/>
  <c r="P26" i="137"/>
  <c r="M26" i="137"/>
  <c r="O26" i="137" s="1"/>
  <c r="F26" i="137"/>
  <c r="AU25" i="137"/>
  <c r="AK25" i="137"/>
  <c r="AM25" i="137" s="1"/>
  <c r="AP25" i="137" s="1"/>
  <c r="S25" i="137"/>
  <c r="L25" i="137"/>
  <c r="P25" i="137" s="1"/>
  <c r="K25" i="137"/>
  <c r="D25" i="137"/>
  <c r="AU24" i="137"/>
  <c r="AK24" i="137"/>
  <c r="AM24" i="137" s="1"/>
  <c r="AP24" i="137" s="1"/>
  <c r="S24" i="137"/>
  <c r="K24" i="137"/>
  <c r="L24" i="137" s="1"/>
  <c r="P24" i="137" s="1"/>
  <c r="F24" i="137"/>
  <c r="AU23" i="137"/>
  <c r="AK23" i="137"/>
  <c r="AM23" i="137" s="1"/>
  <c r="AP23" i="137" s="1"/>
  <c r="S23" i="137"/>
  <c r="K23" i="137"/>
  <c r="L23" i="137" s="1"/>
  <c r="F23" i="137"/>
  <c r="AU22" i="137"/>
  <c r="AK22" i="137"/>
  <c r="AM22" i="137" s="1"/>
  <c r="AP22" i="137" s="1"/>
  <c r="S22" i="137"/>
  <c r="L22" i="137"/>
  <c r="K22" i="137"/>
  <c r="F22" i="137"/>
  <c r="AU21" i="137"/>
  <c r="AM21" i="137"/>
  <c r="AP21" i="137" s="1"/>
  <c r="AK21" i="137"/>
  <c r="S21" i="137"/>
  <c r="M21" i="137"/>
  <c r="O21" i="137" s="1"/>
  <c r="K21" i="137"/>
  <c r="L21" i="137" s="1"/>
  <c r="P21" i="137" s="1"/>
  <c r="T21" i="137" s="1"/>
  <c r="U21" i="137" s="1"/>
  <c r="F21" i="137"/>
  <c r="AU20" i="137"/>
  <c r="AK20" i="137"/>
  <c r="AM20" i="137" s="1"/>
  <c r="AP20" i="137" s="1"/>
  <c r="S20" i="137"/>
  <c r="N20" i="137"/>
  <c r="K20" i="137"/>
  <c r="L20" i="137" s="1"/>
  <c r="D20" i="137"/>
  <c r="F20" i="137" s="1"/>
  <c r="AU19" i="137"/>
  <c r="AM19" i="137"/>
  <c r="AP19" i="137" s="1"/>
  <c r="AK19" i="137"/>
  <c r="S19" i="137"/>
  <c r="N19" i="137"/>
  <c r="N28" i="137" s="1"/>
  <c r="K19" i="137"/>
  <c r="L19" i="137" s="1"/>
  <c r="P19" i="137" s="1"/>
  <c r="M19" i="137" s="1"/>
  <c r="F19" i="137"/>
  <c r="AU18" i="137"/>
  <c r="AK18" i="137"/>
  <c r="AM18" i="137" s="1"/>
  <c r="AP18" i="137" s="1"/>
  <c r="S18" i="137"/>
  <c r="K18" i="137"/>
  <c r="L18" i="137" s="1"/>
  <c r="P18" i="137" s="1"/>
  <c r="G18" i="137"/>
  <c r="D18" i="137"/>
  <c r="AU17" i="137"/>
  <c r="AM17" i="137"/>
  <c r="AP17" i="137" s="1"/>
  <c r="AK17" i="137"/>
  <c r="S17" i="137"/>
  <c r="L17" i="137"/>
  <c r="K17" i="137"/>
  <c r="F17" i="137"/>
  <c r="AU16" i="137"/>
  <c r="AM16" i="137"/>
  <c r="AP16" i="137" s="1"/>
  <c r="AK16" i="137"/>
  <c r="S16" i="137"/>
  <c r="K16" i="137"/>
  <c r="L16" i="137" s="1"/>
  <c r="P16" i="137" s="1"/>
  <c r="M16" i="137" s="1"/>
  <c r="F16" i="137"/>
  <c r="AU15" i="137"/>
  <c r="AP15" i="137"/>
  <c r="AK15" i="137"/>
  <c r="AM15" i="137" s="1"/>
  <c r="S15" i="137"/>
  <c r="K15" i="137"/>
  <c r="L15" i="137" s="1"/>
  <c r="P15" i="137" s="1"/>
  <c r="F15" i="137"/>
  <c r="AU14" i="137"/>
  <c r="AK14" i="137"/>
  <c r="AM14" i="137" s="1"/>
  <c r="AP14" i="137" s="1"/>
  <c r="S14" i="137"/>
  <c r="L14" i="137"/>
  <c r="P14" i="137" s="1"/>
  <c r="K14" i="137"/>
  <c r="G14" i="137"/>
  <c r="D14" i="137"/>
  <c r="A14" i="137"/>
  <c r="A15" i="137" s="1"/>
  <c r="A16" i="137" s="1"/>
  <c r="A17" i="137" s="1"/>
  <c r="A18" i="137" s="1"/>
  <c r="A19" i="137" s="1"/>
  <c r="A20" i="137" s="1"/>
  <c r="A21" i="137" s="1"/>
  <c r="A22" i="137" s="1"/>
  <c r="A23" i="137" s="1"/>
  <c r="A24" i="137" s="1"/>
  <c r="A25" i="137" s="1"/>
  <c r="A26" i="137" s="1"/>
  <c r="A27" i="137" s="1"/>
  <c r="A28" i="137" s="1"/>
  <c r="AU13" i="137"/>
  <c r="AK13" i="137"/>
  <c r="AM13" i="137" s="1"/>
  <c r="AP13" i="137" s="1"/>
  <c r="S13" i="137"/>
  <c r="P13" i="137"/>
  <c r="K13" i="137"/>
  <c r="L13" i="137" s="1"/>
  <c r="F13" i="137"/>
  <c r="AU12" i="137"/>
  <c r="AP12" i="137"/>
  <c r="AK12" i="137"/>
  <c r="AM12" i="137" s="1"/>
  <c r="S12" i="137"/>
  <c r="K12" i="137"/>
  <c r="L12" i="137" s="1"/>
  <c r="F12" i="137"/>
  <c r="AU11" i="137"/>
  <c r="AK11" i="137"/>
  <c r="AM11" i="137" s="1"/>
  <c r="AP11" i="137" s="1"/>
  <c r="S11" i="137"/>
  <c r="L11" i="137"/>
  <c r="K11" i="137"/>
  <c r="F11" i="137"/>
  <c r="A11" i="137"/>
  <c r="A12" i="137" s="1"/>
  <c r="A13" i="137" s="1"/>
  <c r="AU10" i="137"/>
  <c r="AQ10" i="137"/>
  <c r="AQ28" i="137" s="1"/>
  <c r="AP10" i="137"/>
  <c r="AK10" i="137"/>
  <c r="AM10" i="137" s="1"/>
  <c r="S10" i="137"/>
  <c r="K10" i="137"/>
  <c r="L10" i="137" s="1"/>
  <c r="F10" i="137"/>
  <c r="AU9" i="137"/>
  <c r="AK9" i="137"/>
  <c r="AM9" i="137" s="1"/>
  <c r="S9" i="137"/>
  <c r="K9" i="137"/>
  <c r="K28" i="137" s="1"/>
  <c r="F9" i="137"/>
  <c r="A9" i="137"/>
  <c r="A10" i="137" s="1"/>
  <c r="BC14" i="138"/>
  <c r="BB14" i="138"/>
  <c r="BA14" i="138"/>
  <c r="AY14" i="138"/>
  <c r="AX14" i="138"/>
  <c r="AW14" i="138"/>
  <c r="AV14" i="138"/>
  <c r="AS14" i="138"/>
  <c r="AR14" i="138"/>
  <c r="AQ14" i="138"/>
  <c r="AO14" i="138"/>
  <c r="AJ14" i="138"/>
  <c r="AI14" i="138"/>
  <c r="AH14" i="138"/>
  <c r="AG14" i="138"/>
  <c r="AF14" i="138"/>
  <c r="AE14" i="138"/>
  <c r="AD14" i="138"/>
  <c r="AC14" i="138"/>
  <c r="AB14" i="138"/>
  <c r="AA14" i="138"/>
  <c r="Z14" i="138"/>
  <c r="Y14" i="138"/>
  <c r="X14" i="138"/>
  <c r="V14" i="138"/>
  <c r="R14" i="138"/>
  <c r="Q14" i="138"/>
  <c r="N14" i="138"/>
  <c r="J14" i="138"/>
  <c r="I14" i="138"/>
  <c r="H14" i="138"/>
  <c r="G14" i="138"/>
  <c r="E14" i="138"/>
  <c r="D14" i="138"/>
  <c r="AT13" i="138"/>
  <c r="AK13" i="138"/>
  <c r="AP13" i="138" s="1"/>
  <c r="U13" i="138"/>
  <c r="O13" i="138"/>
  <c r="N13" i="138"/>
  <c r="F13" i="138"/>
  <c r="AT12" i="138"/>
  <c r="AK12" i="138"/>
  <c r="W12" i="138"/>
  <c r="U12" i="138"/>
  <c r="S12" i="138"/>
  <c r="L12" i="138"/>
  <c r="K12" i="138"/>
  <c r="F12" i="138"/>
  <c r="AT11" i="138"/>
  <c r="AK11" i="138"/>
  <c r="AP11" i="138" s="1"/>
  <c r="W11" i="138"/>
  <c r="U11" i="138"/>
  <c r="AL11" i="138" s="1"/>
  <c r="AU11" i="138" s="1"/>
  <c r="S11" i="138"/>
  <c r="K11" i="138"/>
  <c r="L11" i="138" s="1"/>
  <c r="F11" i="138"/>
  <c r="AT10" i="138"/>
  <c r="AK10" i="138"/>
  <c r="AP10" i="138" s="1"/>
  <c r="U10" i="138"/>
  <c r="S10" i="138"/>
  <c r="K10" i="138"/>
  <c r="L10" i="138" s="1"/>
  <c r="F10" i="138"/>
  <c r="A10" i="138"/>
  <c r="A11" i="138" s="1"/>
  <c r="A12" i="138" s="1"/>
  <c r="A13" i="138" s="1"/>
  <c r="A14" i="138" s="1"/>
  <c r="AT9" i="138"/>
  <c r="AT14" i="138" s="1"/>
  <c r="AL9" i="138"/>
  <c r="AK9" i="138"/>
  <c r="AP9" i="138" s="1"/>
  <c r="U9" i="138"/>
  <c r="S9" i="138"/>
  <c r="S14" i="138" s="1"/>
  <c r="L9" i="138"/>
  <c r="P9" i="138" s="1"/>
  <c r="K9" i="138"/>
  <c r="K14" i="138" s="1"/>
  <c r="F9" i="138"/>
  <c r="F14" i="138" s="1"/>
  <c r="BC78" i="139"/>
  <c r="BB78" i="139"/>
  <c r="BA78" i="139"/>
  <c r="AY78" i="139"/>
  <c r="AX78" i="139"/>
  <c r="AV78" i="139"/>
  <c r="AT78" i="139"/>
  <c r="AS78" i="139"/>
  <c r="AR78" i="139"/>
  <c r="AQ78" i="139"/>
  <c r="AO78" i="139"/>
  <c r="AL78" i="139"/>
  <c r="AJ78" i="139"/>
  <c r="AJ80" i="139" s="1"/>
  <c r="AH78" i="139"/>
  <c r="AG78" i="139"/>
  <c r="AF78" i="139"/>
  <c r="AA78" i="139"/>
  <c r="Y78" i="139"/>
  <c r="X78" i="139"/>
  <c r="R78" i="139"/>
  <c r="J78" i="139"/>
  <c r="I78" i="139"/>
  <c r="H78" i="139"/>
  <c r="E78" i="139"/>
  <c r="AU77" i="139"/>
  <c r="AK77" i="139"/>
  <c r="AM77" i="139" s="1"/>
  <c r="AP77" i="139" s="1"/>
  <c r="N77" i="139"/>
  <c r="U77" i="139" s="1"/>
  <c r="D77" i="139"/>
  <c r="AU76" i="139"/>
  <c r="AK76" i="139"/>
  <c r="AM76" i="139" s="1"/>
  <c r="AP76" i="139" s="1"/>
  <c r="U76" i="139"/>
  <c r="V76" i="139" s="1"/>
  <c r="O76" i="139"/>
  <c r="F76" i="139"/>
  <c r="AU75" i="139"/>
  <c r="AK75" i="139"/>
  <c r="AM75" i="139" s="1"/>
  <c r="AP75" i="139" s="1"/>
  <c r="U75" i="139"/>
  <c r="W75" i="139" s="1"/>
  <c r="O75" i="139"/>
  <c r="F75" i="139"/>
  <c r="AU74" i="139"/>
  <c r="AK74" i="139"/>
  <c r="AM74" i="139" s="1"/>
  <c r="AP74" i="139" s="1"/>
  <c r="U74" i="139"/>
  <c r="W74" i="139" s="1"/>
  <c r="O74" i="139"/>
  <c r="F74" i="139"/>
  <c r="AU73" i="139"/>
  <c r="AM73" i="139"/>
  <c r="AP73" i="139" s="1"/>
  <c r="AK73" i="139"/>
  <c r="V73" i="139"/>
  <c r="U73" i="139"/>
  <c r="O73" i="139"/>
  <c r="N73" i="139"/>
  <c r="F73" i="139"/>
  <c r="AU72" i="139"/>
  <c r="AK72" i="139"/>
  <c r="AM72" i="139" s="1"/>
  <c r="AP72" i="139" s="1"/>
  <c r="S72" i="139"/>
  <c r="N72" i="139"/>
  <c r="K72" i="139"/>
  <c r="L72" i="139" s="1"/>
  <c r="F72" i="139"/>
  <c r="AU71" i="139"/>
  <c r="AK71" i="139"/>
  <c r="AM71" i="139" s="1"/>
  <c r="AP71" i="139" s="1"/>
  <c r="S71" i="139"/>
  <c r="L71" i="139"/>
  <c r="K71" i="139"/>
  <c r="F71" i="139"/>
  <c r="AU70" i="139"/>
  <c r="AK70" i="139"/>
  <c r="AM70" i="139" s="1"/>
  <c r="AP70" i="139" s="1"/>
  <c r="AD70" i="139"/>
  <c r="AD78" i="139" s="1"/>
  <c r="Q70" i="139"/>
  <c r="S70" i="139" s="1"/>
  <c r="K70" i="139"/>
  <c r="L70" i="139" s="1"/>
  <c r="G70" i="139"/>
  <c r="D70" i="139"/>
  <c r="F70" i="139" s="1"/>
  <c r="AU69" i="139"/>
  <c r="AK69" i="139"/>
  <c r="AM69" i="139" s="1"/>
  <c r="AP69" i="139" s="1"/>
  <c r="S69" i="139"/>
  <c r="K69" i="139"/>
  <c r="L69" i="139" s="1"/>
  <c r="P69" i="139" s="1"/>
  <c r="F69" i="139"/>
  <c r="AU68" i="139"/>
  <c r="AK68" i="139"/>
  <c r="AM68" i="139" s="1"/>
  <c r="AP68" i="139" s="1"/>
  <c r="S68" i="139"/>
  <c r="K68" i="139"/>
  <c r="L68" i="139" s="1"/>
  <c r="P68" i="139" s="1"/>
  <c r="F68" i="139"/>
  <c r="AU67" i="139"/>
  <c r="AK67" i="139"/>
  <c r="AM67" i="139" s="1"/>
  <c r="AP67" i="139" s="1"/>
  <c r="S67" i="139"/>
  <c r="N67" i="139"/>
  <c r="K67" i="139"/>
  <c r="L67" i="139" s="1"/>
  <c r="P67" i="139" s="1"/>
  <c r="D67" i="139"/>
  <c r="F67" i="139" s="1"/>
  <c r="AU66" i="139"/>
  <c r="AI66" i="139"/>
  <c r="AI78" i="139" s="1"/>
  <c r="S66" i="139"/>
  <c r="K66" i="139"/>
  <c r="L66" i="139" s="1"/>
  <c r="P66" i="139" s="1"/>
  <c r="F66" i="139"/>
  <c r="AU65" i="139"/>
  <c r="AK65" i="139"/>
  <c r="AM65" i="139" s="1"/>
  <c r="AP65" i="139" s="1"/>
  <c r="S65" i="139"/>
  <c r="K65" i="139"/>
  <c r="L65" i="139" s="1"/>
  <c r="F65" i="139"/>
  <c r="AU64" i="139"/>
  <c r="AP64" i="139"/>
  <c r="AK64" i="139"/>
  <c r="AM64" i="139" s="1"/>
  <c r="S64" i="139"/>
  <c r="K64" i="139"/>
  <c r="L64" i="139" s="1"/>
  <c r="P64" i="139" s="1"/>
  <c r="F64" i="139"/>
  <c r="AU63" i="139"/>
  <c r="AK63" i="139"/>
  <c r="AM63" i="139" s="1"/>
  <c r="AP63" i="139" s="1"/>
  <c r="S63" i="139"/>
  <c r="K63" i="139"/>
  <c r="L63" i="139" s="1"/>
  <c r="P63" i="139" s="1"/>
  <c r="M63" i="139" s="1"/>
  <c r="D63" i="139"/>
  <c r="AU62" i="139"/>
  <c r="AK62" i="139"/>
  <c r="AM62" i="139" s="1"/>
  <c r="AP62" i="139" s="1"/>
  <c r="V62" i="139"/>
  <c r="S62" i="139"/>
  <c r="N62" i="139"/>
  <c r="K62" i="139"/>
  <c r="L62" i="139" s="1"/>
  <c r="P62" i="139" s="1"/>
  <c r="D62" i="139"/>
  <c r="F62" i="139" s="1"/>
  <c r="AU61" i="139"/>
  <c r="AK61" i="139"/>
  <c r="AM61" i="139" s="1"/>
  <c r="AP61" i="139" s="1"/>
  <c r="S61" i="139"/>
  <c r="K61" i="139"/>
  <c r="L61" i="139" s="1"/>
  <c r="F61" i="139"/>
  <c r="AU60" i="139"/>
  <c r="AK60" i="139"/>
  <c r="AM60" i="139" s="1"/>
  <c r="AP60" i="139" s="1"/>
  <c r="S60" i="139"/>
  <c r="K60" i="139"/>
  <c r="L60" i="139" s="1"/>
  <c r="P60" i="139" s="1"/>
  <c r="F60" i="139"/>
  <c r="AU59" i="139"/>
  <c r="AK59" i="139"/>
  <c r="AM59" i="139" s="1"/>
  <c r="AP59" i="139" s="1"/>
  <c r="S59" i="139"/>
  <c r="K59" i="139"/>
  <c r="L59" i="139" s="1"/>
  <c r="P59" i="139" s="1"/>
  <c r="F59" i="139"/>
  <c r="AU58" i="139"/>
  <c r="AK58" i="139"/>
  <c r="AM58" i="139" s="1"/>
  <c r="AP58" i="139" s="1"/>
  <c r="S58" i="139"/>
  <c r="K58" i="139"/>
  <c r="L58" i="139" s="1"/>
  <c r="P58" i="139" s="1"/>
  <c r="F58" i="139"/>
  <c r="AU57" i="139"/>
  <c r="AK57" i="139"/>
  <c r="AM57" i="139" s="1"/>
  <c r="AP57" i="139" s="1"/>
  <c r="S57" i="139"/>
  <c r="K57" i="139"/>
  <c r="L57" i="139" s="1"/>
  <c r="P57" i="139" s="1"/>
  <c r="F57" i="139"/>
  <c r="AU56" i="139"/>
  <c r="AK56" i="139"/>
  <c r="AM56" i="139" s="1"/>
  <c r="AP56" i="139" s="1"/>
  <c r="S56" i="139"/>
  <c r="K56" i="139"/>
  <c r="L56" i="139" s="1"/>
  <c r="F56" i="139"/>
  <c r="AU55" i="139"/>
  <c r="AK55" i="139"/>
  <c r="AM55" i="139" s="1"/>
  <c r="AP55" i="139" s="1"/>
  <c r="S55" i="139"/>
  <c r="K55" i="139"/>
  <c r="L55" i="139" s="1"/>
  <c r="P55" i="139" s="1"/>
  <c r="F55" i="139"/>
  <c r="AU54" i="139"/>
  <c r="AK54" i="139"/>
  <c r="AM54" i="139" s="1"/>
  <c r="AP54" i="139" s="1"/>
  <c r="S54" i="139"/>
  <c r="K54" i="139"/>
  <c r="L54" i="139" s="1"/>
  <c r="P54" i="139" s="1"/>
  <c r="F54" i="139"/>
  <c r="AU53" i="139"/>
  <c r="S53" i="139"/>
  <c r="K53" i="139"/>
  <c r="L53" i="139" s="1"/>
  <c r="F53" i="139"/>
  <c r="AU52" i="139"/>
  <c r="AK52" i="139"/>
  <c r="AM52" i="139" s="1"/>
  <c r="AP52" i="139" s="1"/>
  <c r="S52" i="139"/>
  <c r="K52" i="139"/>
  <c r="L52" i="139" s="1"/>
  <c r="P52" i="139" s="1"/>
  <c r="F52" i="139"/>
  <c r="AU51" i="139"/>
  <c r="AK51" i="139"/>
  <c r="AM51" i="139" s="1"/>
  <c r="AP51" i="139" s="1"/>
  <c r="S51" i="139"/>
  <c r="K51" i="139"/>
  <c r="L51" i="139" s="1"/>
  <c r="P51" i="139" s="1"/>
  <c r="D51" i="139"/>
  <c r="F51" i="139" s="1"/>
  <c r="AU50" i="139"/>
  <c r="AK50" i="139"/>
  <c r="AM50" i="139" s="1"/>
  <c r="AP50" i="139" s="1"/>
  <c r="S50" i="139"/>
  <c r="K50" i="139"/>
  <c r="L50" i="139" s="1"/>
  <c r="F50" i="139"/>
  <c r="AU49" i="139"/>
  <c r="AK49" i="139"/>
  <c r="AM49" i="139" s="1"/>
  <c r="AP49" i="139" s="1"/>
  <c r="S49" i="139"/>
  <c r="K49" i="139"/>
  <c r="L49" i="139" s="1"/>
  <c r="F49" i="139"/>
  <c r="AU48" i="139"/>
  <c r="AK48" i="139"/>
  <c r="AM48" i="139" s="1"/>
  <c r="AP48" i="139" s="1"/>
  <c r="S48" i="139"/>
  <c r="K48" i="139"/>
  <c r="L48" i="139" s="1"/>
  <c r="F48" i="139"/>
  <c r="AU47" i="139"/>
  <c r="AK47" i="139"/>
  <c r="AM47" i="139" s="1"/>
  <c r="AP47" i="139" s="1"/>
  <c r="V47" i="139"/>
  <c r="S47" i="139"/>
  <c r="N47" i="139"/>
  <c r="K47" i="139"/>
  <c r="L47" i="139" s="1"/>
  <c r="F47" i="139"/>
  <c r="AU46" i="139"/>
  <c r="AK46" i="139"/>
  <c r="AM46" i="139" s="1"/>
  <c r="AP46" i="139" s="1"/>
  <c r="S46" i="139"/>
  <c r="K46" i="139"/>
  <c r="L46" i="139" s="1"/>
  <c r="P46" i="139" s="1"/>
  <c r="M46" i="139" s="1"/>
  <c r="O46" i="139" s="1"/>
  <c r="D46" i="139"/>
  <c r="F46" i="139" s="1"/>
  <c r="AU45" i="139"/>
  <c r="AK45" i="139"/>
  <c r="AM45" i="139" s="1"/>
  <c r="AP45" i="139" s="1"/>
  <c r="S45" i="139"/>
  <c r="K45" i="139"/>
  <c r="L45" i="139" s="1"/>
  <c r="F45" i="139"/>
  <c r="AU44" i="139"/>
  <c r="AK44" i="139"/>
  <c r="AM44" i="139" s="1"/>
  <c r="AP44" i="139" s="1"/>
  <c r="S44" i="139"/>
  <c r="K44" i="139"/>
  <c r="L44" i="139" s="1"/>
  <c r="P44" i="139" s="1"/>
  <c r="D44" i="139"/>
  <c r="AU43" i="139"/>
  <c r="AK43" i="139"/>
  <c r="AM43" i="139" s="1"/>
  <c r="AP43" i="139" s="1"/>
  <c r="S43" i="139"/>
  <c r="K43" i="139"/>
  <c r="L43" i="139" s="1"/>
  <c r="P43" i="139" s="1"/>
  <c r="D43" i="139"/>
  <c r="F43" i="139" s="1"/>
  <c r="AU42" i="139"/>
  <c r="AK42" i="139"/>
  <c r="AM42" i="139" s="1"/>
  <c r="AP42" i="139" s="1"/>
  <c r="Q42" i="139"/>
  <c r="S42" i="139" s="1"/>
  <c r="N42" i="139"/>
  <c r="K42" i="139"/>
  <c r="L42" i="139" s="1"/>
  <c r="G42" i="139"/>
  <c r="F42" i="139"/>
  <c r="AU41" i="139"/>
  <c r="AK41" i="139"/>
  <c r="AM41" i="139" s="1"/>
  <c r="AP41" i="139" s="1"/>
  <c r="S41" i="139"/>
  <c r="K41" i="139"/>
  <c r="L41" i="139" s="1"/>
  <c r="F41" i="139"/>
  <c r="AU40" i="139"/>
  <c r="AK40" i="139"/>
  <c r="AM40" i="139" s="1"/>
  <c r="AP40" i="139" s="1"/>
  <c r="Q40" i="139"/>
  <c r="K40" i="139"/>
  <c r="L40" i="139" s="1"/>
  <c r="G40" i="139"/>
  <c r="D40" i="139"/>
  <c r="AU39" i="139"/>
  <c r="AK39" i="139"/>
  <c r="AM39" i="139" s="1"/>
  <c r="AP39" i="139" s="1"/>
  <c r="S39" i="139"/>
  <c r="K39" i="139"/>
  <c r="L39" i="139" s="1"/>
  <c r="F39" i="139"/>
  <c r="AU38" i="139"/>
  <c r="AK38" i="139"/>
  <c r="AM38" i="139" s="1"/>
  <c r="AP38" i="139" s="1"/>
  <c r="S38" i="139"/>
  <c r="L38" i="139"/>
  <c r="P38" i="139" s="1"/>
  <c r="K38" i="139"/>
  <c r="F38" i="139"/>
  <c r="AU37" i="139"/>
  <c r="AK37" i="139"/>
  <c r="AM37" i="139" s="1"/>
  <c r="AP37" i="139" s="1"/>
  <c r="S37" i="139"/>
  <c r="P37" i="139"/>
  <c r="K37" i="139"/>
  <c r="L37" i="139" s="1"/>
  <c r="F37" i="139"/>
  <c r="AU36" i="139"/>
  <c r="AK36" i="139"/>
  <c r="AM36" i="139" s="1"/>
  <c r="AP36" i="139" s="1"/>
  <c r="S36" i="139"/>
  <c r="K36" i="139"/>
  <c r="L36" i="139" s="1"/>
  <c r="F36" i="139"/>
  <c r="AU35" i="139"/>
  <c r="AK35" i="139"/>
  <c r="AM35" i="139" s="1"/>
  <c r="AP35" i="139" s="1"/>
  <c r="S35" i="139"/>
  <c r="K35" i="139"/>
  <c r="L35" i="139" s="1"/>
  <c r="G35" i="139"/>
  <c r="F35" i="139"/>
  <c r="AU34" i="139"/>
  <c r="AK34" i="139"/>
  <c r="AM34" i="139" s="1"/>
  <c r="AP34" i="139" s="1"/>
  <c r="S34" i="139"/>
  <c r="K34" i="139"/>
  <c r="L34" i="139" s="1"/>
  <c r="P34" i="139" s="1"/>
  <c r="M34" i="139" s="1"/>
  <c r="F34" i="139"/>
  <c r="AU33" i="139"/>
  <c r="AK33" i="139"/>
  <c r="AM33" i="139" s="1"/>
  <c r="AP33" i="139" s="1"/>
  <c r="S33" i="139"/>
  <c r="K33" i="139"/>
  <c r="L33" i="139" s="1"/>
  <c r="P33" i="139" s="1"/>
  <c r="F33" i="139"/>
  <c r="AU32" i="139"/>
  <c r="AK32" i="139"/>
  <c r="AM32" i="139" s="1"/>
  <c r="AP32" i="139" s="1"/>
  <c r="S32" i="139"/>
  <c r="K32" i="139"/>
  <c r="L32" i="139" s="1"/>
  <c r="P32" i="139" s="1"/>
  <c r="D32" i="139"/>
  <c r="AU31" i="139"/>
  <c r="AK31" i="139"/>
  <c r="AM31" i="139" s="1"/>
  <c r="AP31" i="139" s="1"/>
  <c r="S31" i="139"/>
  <c r="K31" i="139"/>
  <c r="L31" i="139" s="1"/>
  <c r="F31" i="139"/>
  <c r="AU30" i="139"/>
  <c r="AK30" i="139"/>
  <c r="AM30" i="139" s="1"/>
  <c r="AP30" i="139" s="1"/>
  <c r="S30" i="139"/>
  <c r="K30" i="139"/>
  <c r="L30" i="139" s="1"/>
  <c r="F30" i="139"/>
  <c r="AU29" i="139"/>
  <c r="AK29" i="139"/>
  <c r="AM29" i="139" s="1"/>
  <c r="AP29" i="139" s="1"/>
  <c r="S29" i="139"/>
  <c r="K29" i="139"/>
  <c r="L29" i="139" s="1"/>
  <c r="F29" i="139"/>
  <c r="AU28" i="139"/>
  <c r="AK28" i="139"/>
  <c r="AM28" i="139" s="1"/>
  <c r="AP28" i="139" s="1"/>
  <c r="S28" i="139"/>
  <c r="K28" i="139"/>
  <c r="L28" i="139" s="1"/>
  <c r="P28" i="139" s="1"/>
  <c r="M28" i="139" s="1"/>
  <c r="O28" i="139" s="1"/>
  <c r="F28" i="139"/>
  <c r="AU27" i="139"/>
  <c r="AK27" i="139"/>
  <c r="AM27" i="139" s="1"/>
  <c r="AP27" i="139" s="1"/>
  <c r="S27" i="139"/>
  <c r="K27" i="139"/>
  <c r="L27" i="139" s="1"/>
  <c r="P27" i="139" s="1"/>
  <c r="D27" i="139"/>
  <c r="F27" i="139" s="1"/>
  <c r="AU26" i="139"/>
  <c r="AK26" i="139"/>
  <c r="AM26" i="139" s="1"/>
  <c r="AP26" i="139" s="1"/>
  <c r="S26" i="139"/>
  <c r="K26" i="139"/>
  <c r="L26" i="139" s="1"/>
  <c r="F26" i="139"/>
  <c r="AU25" i="139"/>
  <c r="AK25" i="139"/>
  <c r="AM25" i="139" s="1"/>
  <c r="AP25" i="139" s="1"/>
  <c r="S25" i="139"/>
  <c r="K25" i="139"/>
  <c r="L25" i="139" s="1"/>
  <c r="G25" i="139"/>
  <c r="F25" i="139"/>
  <c r="AU24" i="139"/>
  <c r="AK24" i="139"/>
  <c r="AM24" i="139" s="1"/>
  <c r="AP24" i="139" s="1"/>
  <c r="S24" i="139"/>
  <c r="K24" i="139"/>
  <c r="L24" i="139" s="1"/>
  <c r="P24" i="139" s="1"/>
  <c r="F24" i="139"/>
  <c r="AU23" i="139"/>
  <c r="AK23" i="139"/>
  <c r="AM23" i="139" s="1"/>
  <c r="AP23" i="139" s="1"/>
  <c r="S23" i="139"/>
  <c r="K23" i="139"/>
  <c r="L23" i="139" s="1"/>
  <c r="P23" i="139" s="1"/>
  <c r="D23" i="139"/>
  <c r="AU22" i="139"/>
  <c r="AK22" i="139"/>
  <c r="AM22" i="139" s="1"/>
  <c r="AP22" i="139" s="1"/>
  <c r="S22" i="139"/>
  <c r="K22" i="139"/>
  <c r="L22" i="139" s="1"/>
  <c r="P22" i="139" s="1"/>
  <c r="F22" i="139"/>
  <c r="AU21" i="139"/>
  <c r="AK21" i="139"/>
  <c r="AM21" i="139" s="1"/>
  <c r="AP21" i="139" s="1"/>
  <c r="S21" i="139"/>
  <c r="K21" i="139"/>
  <c r="L21" i="139" s="1"/>
  <c r="F21" i="139"/>
  <c r="AU20" i="139"/>
  <c r="AK20" i="139"/>
  <c r="AM20" i="139" s="1"/>
  <c r="AP20" i="139" s="1"/>
  <c r="Q20" i="139"/>
  <c r="S20" i="139" s="1"/>
  <c r="N20" i="139"/>
  <c r="K20" i="139"/>
  <c r="L20" i="139" s="1"/>
  <c r="G20" i="139"/>
  <c r="P20" i="139" s="1"/>
  <c r="F20" i="139"/>
  <c r="AU19" i="139"/>
  <c r="AK19" i="139"/>
  <c r="AM19" i="139" s="1"/>
  <c r="AP19" i="139" s="1"/>
  <c r="S19" i="139"/>
  <c r="K19" i="139"/>
  <c r="L19" i="139" s="1"/>
  <c r="F19" i="139"/>
  <c r="AU18" i="139"/>
  <c r="AK18" i="139"/>
  <c r="AM18" i="139" s="1"/>
  <c r="AP18" i="139" s="1"/>
  <c r="S18" i="139"/>
  <c r="K18" i="139"/>
  <c r="L18" i="139" s="1"/>
  <c r="F18" i="139"/>
  <c r="AU17" i="139"/>
  <c r="AK17" i="139"/>
  <c r="AM17" i="139" s="1"/>
  <c r="AP17" i="139" s="1"/>
  <c r="S17" i="139"/>
  <c r="K17" i="139"/>
  <c r="L17" i="139" s="1"/>
  <c r="P17" i="139" s="1"/>
  <c r="F17" i="139"/>
  <c r="AU16" i="139"/>
  <c r="AP16" i="139"/>
  <c r="AK16" i="139"/>
  <c r="AM16" i="139" s="1"/>
  <c r="S16" i="139"/>
  <c r="K16" i="139"/>
  <c r="L16" i="139" s="1"/>
  <c r="P16" i="139" s="1"/>
  <c r="F16" i="139"/>
  <c r="AU15" i="139"/>
  <c r="AK15" i="139"/>
  <c r="AM15" i="139" s="1"/>
  <c r="AP15" i="139" s="1"/>
  <c r="S15" i="139"/>
  <c r="K15" i="139"/>
  <c r="L15" i="139" s="1"/>
  <c r="F15" i="139"/>
  <c r="AU14" i="139"/>
  <c r="AK14" i="139"/>
  <c r="AM14" i="139" s="1"/>
  <c r="AP14" i="139" s="1"/>
  <c r="S14" i="139"/>
  <c r="K14" i="139"/>
  <c r="L14" i="139" s="1"/>
  <c r="P14" i="139" s="1"/>
  <c r="D14" i="139"/>
  <c r="AU13" i="139"/>
  <c r="AC13" i="139"/>
  <c r="S13" i="139"/>
  <c r="L13" i="139"/>
  <c r="K13" i="139"/>
  <c r="F13" i="139"/>
  <c r="AU12" i="139"/>
  <c r="AK12" i="139"/>
  <c r="AM12" i="139" s="1"/>
  <c r="AP12" i="139" s="1"/>
  <c r="S12" i="139"/>
  <c r="K12" i="139"/>
  <c r="L12" i="139" s="1"/>
  <c r="F12" i="139"/>
  <c r="AU11" i="139"/>
  <c r="AK11" i="139"/>
  <c r="AM11" i="139" s="1"/>
  <c r="AP11" i="139" s="1"/>
  <c r="S11" i="139"/>
  <c r="K11" i="139"/>
  <c r="L11" i="139" s="1"/>
  <c r="P11" i="139" s="1"/>
  <c r="F11" i="139"/>
  <c r="AU10" i="139"/>
  <c r="AP10" i="139"/>
  <c r="AK10" i="139"/>
  <c r="AM10" i="139" s="1"/>
  <c r="S10" i="139"/>
  <c r="K10" i="139"/>
  <c r="L10" i="139" s="1"/>
  <c r="P10" i="139" s="1"/>
  <c r="F10" i="139"/>
  <c r="AU9" i="139"/>
  <c r="AE9" i="139"/>
  <c r="AE78" i="139" s="1"/>
  <c r="S9" i="139"/>
  <c r="N9" i="139"/>
  <c r="K9" i="139"/>
  <c r="L9" i="139" s="1"/>
  <c r="P9" i="139" s="1"/>
  <c r="D9" i="139"/>
  <c r="AU8" i="139"/>
  <c r="AK8" i="139"/>
  <c r="AM8" i="139" s="1"/>
  <c r="AP8" i="139" s="1"/>
  <c r="S8" i="139"/>
  <c r="K8" i="139"/>
  <c r="L8" i="139" s="1"/>
  <c r="F8" i="139"/>
  <c r="A8" i="139"/>
  <c r="A9" i="139" s="1"/>
  <c r="A10" i="139" s="1"/>
  <c r="A11" i="139" s="1"/>
  <c r="A12" i="139" s="1"/>
  <c r="A13" i="139" s="1"/>
  <c r="A14" i="139" s="1"/>
  <c r="A15" i="139" s="1"/>
  <c r="A16" i="139" s="1"/>
  <c r="A17" i="139" s="1"/>
  <c r="A18" i="139" s="1"/>
  <c r="A19" i="139" s="1"/>
  <c r="A20" i="139" s="1"/>
  <c r="A21" i="139" s="1"/>
  <c r="A22" i="139" s="1"/>
  <c r="A23" i="139" s="1"/>
  <c r="A24" i="139" s="1"/>
  <c r="A25" i="139" s="1"/>
  <c r="A26" i="139" s="1"/>
  <c r="A27" i="139" s="1"/>
  <c r="A28" i="139" s="1"/>
  <c r="A29" i="139" s="1"/>
  <c r="A30" i="139" s="1"/>
  <c r="A31" i="139" s="1"/>
  <c r="A32" i="139" s="1"/>
  <c r="A33" i="139" s="1"/>
  <c r="A34" i="139" s="1"/>
  <c r="A35" i="139" s="1"/>
  <c r="A36" i="139" s="1"/>
  <c r="A37" i="139" s="1"/>
  <c r="A38" i="139" s="1"/>
  <c r="A39" i="139" s="1"/>
  <c r="A40" i="139" s="1"/>
  <c r="A41" i="139" s="1"/>
  <c r="A42" i="139" s="1"/>
  <c r="A43" i="139" s="1"/>
  <c r="A44" i="139" s="1"/>
  <c r="A45" i="139" s="1"/>
  <c r="A46" i="139" s="1"/>
  <c r="A47" i="139" s="1"/>
  <c r="A48" i="139" s="1"/>
  <c r="A49" i="139" s="1"/>
  <c r="A50" i="139" s="1"/>
  <c r="A51" i="139" s="1"/>
  <c r="A52" i="139" s="1"/>
  <c r="A53" i="139" s="1"/>
  <c r="A54" i="139" s="1"/>
  <c r="A55" i="139" s="1"/>
  <c r="A56" i="139" s="1"/>
  <c r="A57" i="139" s="1"/>
  <c r="A58" i="139" s="1"/>
  <c r="A59" i="139" s="1"/>
  <c r="A60" i="139" s="1"/>
  <c r="A61" i="139" s="1"/>
  <c r="A62" i="139" s="1"/>
  <c r="A63" i="139" s="1"/>
  <c r="A64" i="139" s="1"/>
  <c r="A65" i="139" s="1"/>
  <c r="A66" i="139" s="1"/>
  <c r="A67" i="139" s="1"/>
  <c r="A68" i="139" s="1"/>
  <c r="A69" i="139" s="1"/>
  <c r="A70" i="139" s="1"/>
  <c r="A71" i="139" s="1"/>
  <c r="A72" i="139" s="1"/>
  <c r="A73" i="139" s="1"/>
  <c r="A74" i="139" s="1"/>
  <c r="A75" i="139" s="1"/>
  <c r="A76" i="139" s="1"/>
  <c r="A77" i="139" s="1"/>
  <c r="A78" i="139" s="1"/>
  <c r="AU7" i="139"/>
  <c r="AK7" i="139"/>
  <c r="V7" i="139"/>
  <c r="Q7" i="139"/>
  <c r="S7" i="139" s="1"/>
  <c r="M7" i="139" s="1"/>
  <c r="K7" i="139"/>
  <c r="L7" i="139" s="1"/>
  <c r="G7" i="139"/>
  <c r="P7" i="139" s="1"/>
  <c r="F7" i="139"/>
  <c r="Q120" i="140"/>
  <c r="BC115" i="140"/>
  <c r="BA115" i="140"/>
  <c r="AZ115" i="140"/>
  <c r="AY115" i="140"/>
  <c r="AX115" i="140"/>
  <c r="AV115" i="140"/>
  <c r="AU115" i="140"/>
  <c r="AT115" i="140"/>
  <c r="AS115" i="140"/>
  <c r="AQ115" i="140"/>
  <c r="AP115" i="140"/>
  <c r="AO115" i="140"/>
  <c r="AL115" i="140"/>
  <c r="AJ115" i="140"/>
  <c r="AI115" i="140"/>
  <c r="AH115" i="140"/>
  <c r="AG115" i="140"/>
  <c r="AF115" i="140"/>
  <c r="AE115" i="140"/>
  <c r="AD115" i="140"/>
  <c r="AC115" i="140"/>
  <c r="AB115" i="140"/>
  <c r="AA115" i="140"/>
  <c r="Y115" i="140"/>
  <c r="X115" i="140"/>
  <c r="W115" i="140"/>
  <c r="R115" i="140"/>
  <c r="J115" i="140"/>
  <c r="I115" i="140"/>
  <c r="H115" i="140"/>
  <c r="E115" i="140"/>
  <c r="AW114" i="140"/>
  <c r="AK114" i="140"/>
  <c r="AM114" i="140" s="1"/>
  <c r="AR114" i="140" s="1"/>
  <c r="S114" i="140"/>
  <c r="K114" i="140"/>
  <c r="L114" i="140" s="1"/>
  <c r="P114" i="140" s="1"/>
  <c r="F114" i="140"/>
  <c r="AW113" i="140"/>
  <c r="AK113" i="140"/>
  <c r="AM113" i="140" s="1"/>
  <c r="AR113" i="140" s="1"/>
  <c r="S113" i="140"/>
  <c r="K113" i="140"/>
  <c r="L113" i="140" s="1"/>
  <c r="G113" i="140"/>
  <c r="F113" i="140"/>
  <c r="AW112" i="140"/>
  <c r="AK112" i="140"/>
  <c r="AM112" i="140" s="1"/>
  <c r="AR112" i="140" s="1"/>
  <c r="S112" i="140"/>
  <c r="K112" i="140"/>
  <c r="L112" i="140" s="1"/>
  <c r="G112" i="140"/>
  <c r="F112" i="140"/>
  <c r="AW111" i="140"/>
  <c r="AK111" i="140"/>
  <c r="AM111" i="140" s="1"/>
  <c r="AR111" i="140" s="1"/>
  <c r="S111" i="140"/>
  <c r="K111" i="140"/>
  <c r="L111" i="140" s="1"/>
  <c r="G111" i="140"/>
  <c r="F111" i="140"/>
  <c r="AW110" i="140"/>
  <c r="AK110" i="140"/>
  <c r="AM110" i="140" s="1"/>
  <c r="AR110" i="140" s="1"/>
  <c r="S110" i="140"/>
  <c r="K110" i="140"/>
  <c r="L110" i="140" s="1"/>
  <c r="G110" i="140"/>
  <c r="D110" i="140"/>
  <c r="F110" i="140" s="1"/>
  <c r="AW109" i="140"/>
  <c r="AK109" i="140"/>
  <c r="AM109" i="140" s="1"/>
  <c r="AR109" i="140" s="1"/>
  <c r="S109" i="140"/>
  <c r="K109" i="140"/>
  <c r="L109" i="140" s="1"/>
  <c r="G109" i="140"/>
  <c r="F109" i="140"/>
  <c r="AW108" i="140"/>
  <c r="AK108" i="140"/>
  <c r="AM108" i="140" s="1"/>
  <c r="AR108" i="140" s="1"/>
  <c r="S108" i="140"/>
  <c r="K108" i="140"/>
  <c r="L108" i="140" s="1"/>
  <c r="F108" i="140"/>
  <c r="AW107" i="140"/>
  <c r="AK107" i="140"/>
  <c r="AM107" i="140" s="1"/>
  <c r="AR107" i="140" s="1"/>
  <c r="S107" i="140"/>
  <c r="K107" i="140"/>
  <c r="L107" i="140" s="1"/>
  <c r="G107" i="140"/>
  <c r="D107" i="140"/>
  <c r="F107" i="140" s="1"/>
  <c r="AW106" i="140"/>
  <c r="AK106" i="140"/>
  <c r="AM106" i="140" s="1"/>
  <c r="AR106" i="140" s="1"/>
  <c r="S106" i="140"/>
  <c r="K106" i="140"/>
  <c r="L106" i="140" s="1"/>
  <c r="F106" i="140"/>
  <c r="AW105" i="140"/>
  <c r="AK105" i="140"/>
  <c r="AM105" i="140" s="1"/>
  <c r="AR105" i="140" s="1"/>
  <c r="S105" i="140"/>
  <c r="K105" i="140"/>
  <c r="L105" i="140" s="1"/>
  <c r="F105" i="140"/>
  <c r="AW104" i="140"/>
  <c r="AK104" i="140"/>
  <c r="AM104" i="140" s="1"/>
  <c r="AR104" i="140" s="1"/>
  <c r="Z104" i="140"/>
  <c r="S104" i="140"/>
  <c r="K104" i="140"/>
  <c r="L104" i="140" s="1"/>
  <c r="G104" i="140"/>
  <c r="D104" i="140"/>
  <c r="F104" i="140" s="1"/>
  <c r="AW103" i="140"/>
  <c r="AK103" i="140"/>
  <c r="AM103" i="140" s="1"/>
  <c r="AR103" i="140" s="1"/>
  <c r="S103" i="140"/>
  <c r="K103" i="140"/>
  <c r="L103" i="140" s="1"/>
  <c r="P103" i="140" s="1"/>
  <c r="F103" i="140"/>
  <c r="AW102" i="140"/>
  <c r="AK102" i="140"/>
  <c r="AM102" i="140" s="1"/>
  <c r="AR102" i="140" s="1"/>
  <c r="S102" i="140"/>
  <c r="N102" i="140"/>
  <c r="N115" i="140" s="1"/>
  <c r="K102" i="140"/>
  <c r="L102" i="140" s="1"/>
  <c r="F102" i="140"/>
  <c r="AW101" i="140"/>
  <c r="AK101" i="140"/>
  <c r="AM101" i="140" s="1"/>
  <c r="AR101" i="140" s="1"/>
  <c r="S101" i="140"/>
  <c r="K101" i="140"/>
  <c r="L101" i="140" s="1"/>
  <c r="G101" i="140"/>
  <c r="F101" i="140"/>
  <c r="AW100" i="140"/>
  <c r="AK100" i="140"/>
  <c r="AM100" i="140" s="1"/>
  <c r="AR100" i="140" s="1"/>
  <c r="S100" i="140"/>
  <c r="K100" i="140"/>
  <c r="L100" i="140" s="1"/>
  <c r="F100" i="140"/>
  <c r="AW99" i="140"/>
  <c r="AK99" i="140"/>
  <c r="AM99" i="140" s="1"/>
  <c r="AR99" i="140" s="1"/>
  <c r="S99" i="140"/>
  <c r="K99" i="140"/>
  <c r="L99" i="140" s="1"/>
  <c r="F99" i="140"/>
  <c r="AW98" i="140"/>
  <c r="AK98" i="140"/>
  <c r="AM98" i="140" s="1"/>
  <c r="AR98" i="140" s="1"/>
  <c r="S98" i="140"/>
  <c r="K98" i="140"/>
  <c r="L98" i="140" s="1"/>
  <c r="F98" i="140"/>
  <c r="AW97" i="140"/>
  <c r="AK97" i="140"/>
  <c r="AM97" i="140" s="1"/>
  <c r="AR97" i="140" s="1"/>
  <c r="Z97" i="140"/>
  <c r="S97" i="140"/>
  <c r="K97" i="140"/>
  <c r="L97" i="140" s="1"/>
  <c r="P97" i="140" s="1"/>
  <c r="D97" i="140"/>
  <c r="F97" i="140" s="1"/>
  <c r="AW96" i="140"/>
  <c r="AK96" i="140"/>
  <c r="AM96" i="140" s="1"/>
  <c r="AR96" i="140" s="1"/>
  <c r="S96" i="140"/>
  <c r="K96" i="140"/>
  <c r="L96" i="140" s="1"/>
  <c r="F96" i="140"/>
  <c r="AW95" i="140"/>
  <c r="AK95" i="140"/>
  <c r="AM95" i="140" s="1"/>
  <c r="AR95" i="140" s="1"/>
  <c r="Q95" i="140"/>
  <c r="S95" i="140" s="1"/>
  <c r="K95" i="140"/>
  <c r="G95" i="140"/>
  <c r="D95" i="140"/>
  <c r="BB93" i="140"/>
  <c r="BA93" i="140"/>
  <c r="AZ93" i="140"/>
  <c r="AX93" i="140"/>
  <c r="AW93" i="140"/>
  <c r="AV93" i="140"/>
  <c r="AU93" i="140"/>
  <c r="AS93" i="140"/>
  <c r="AR93" i="140"/>
  <c r="AQ93" i="140"/>
  <c r="AP93" i="140"/>
  <c r="AL93" i="140"/>
  <c r="AI93" i="140"/>
  <c r="AG93" i="140"/>
  <c r="AF93" i="140"/>
  <c r="AE93" i="140"/>
  <c r="AD93" i="140"/>
  <c r="AC93" i="140"/>
  <c r="AB93" i="140"/>
  <c r="AA93" i="140"/>
  <c r="Y93" i="140"/>
  <c r="X93" i="140"/>
  <c r="W93" i="140"/>
  <c r="J93" i="140"/>
  <c r="I93" i="140"/>
  <c r="H93" i="140"/>
  <c r="AT92" i="140"/>
  <c r="AK92" i="140"/>
  <c r="AM92" i="140" s="1"/>
  <c r="AO92" i="140" s="1"/>
  <c r="U92" i="140"/>
  <c r="V92" i="140" s="1"/>
  <c r="O92" i="140"/>
  <c r="F92" i="140"/>
  <c r="AT91" i="140"/>
  <c r="AK91" i="140"/>
  <c r="AM91" i="140" s="1"/>
  <c r="U91" i="140"/>
  <c r="V91" i="140" s="1"/>
  <c r="O91" i="140"/>
  <c r="F91" i="140"/>
  <c r="AT90" i="140"/>
  <c r="AK90" i="140"/>
  <c r="AM90" i="140" s="1"/>
  <c r="AO90" i="140" s="1"/>
  <c r="U90" i="140"/>
  <c r="V90" i="140" s="1"/>
  <c r="O90" i="140"/>
  <c r="F90" i="140"/>
  <c r="AT89" i="140"/>
  <c r="AK89" i="140"/>
  <c r="AM89" i="140" s="1"/>
  <c r="AO89" i="140" s="1"/>
  <c r="U89" i="140"/>
  <c r="V89" i="140" s="1"/>
  <c r="O89" i="140"/>
  <c r="F89" i="140"/>
  <c r="AT88" i="140"/>
  <c r="AK88" i="140"/>
  <c r="AM88" i="140" s="1"/>
  <c r="AO88" i="140" s="1"/>
  <c r="U88" i="140"/>
  <c r="O88" i="140"/>
  <c r="F88" i="140"/>
  <c r="AT87" i="140"/>
  <c r="AK87" i="140"/>
  <c r="AM87" i="140" s="1"/>
  <c r="AO87" i="140" s="1"/>
  <c r="U87" i="140"/>
  <c r="V87" i="140" s="1"/>
  <c r="O87" i="140"/>
  <c r="F87" i="140"/>
  <c r="AT86" i="140"/>
  <c r="AK86" i="140"/>
  <c r="AM86" i="140" s="1"/>
  <c r="AO86" i="140" s="1"/>
  <c r="U86" i="140"/>
  <c r="V86" i="140" s="1"/>
  <c r="O86" i="140"/>
  <c r="F86" i="140"/>
  <c r="AT85" i="140"/>
  <c r="AK85" i="140"/>
  <c r="AM85" i="140" s="1"/>
  <c r="U85" i="140"/>
  <c r="V85" i="140" s="1"/>
  <c r="O85" i="140"/>
  <c r="F85" i="140"/>
  <c r="AT84" i="140"/>
  <c r="AK84" i="140"/>
  <c r="AM84" i="140" s="1"/>
  <c r="AO84" i="140" s="1"/>
  <c r="U84" i="140"/>
  <c r="O84" i="140"/>
  <c r="F84" i="140"/>
  <c r="AT83" i="140"/>
  <c r="AK83" i="140"/>
  <c r="AM83" i="140" s="1"/>
  <c r="AO83" i="140" s="1"/>
  <c r="N83" i="140"/>
  <c r="U83" i="140" s="1"/>
  <c r="K83" i="140"/>
  <c r="L83" i="140" s="1"/>
  <c r="P83" i="140" s="1"/>
  <c r="M83" i="140" s="1"/>
  <c r="F83" i="140"/>
  <c r="AT82" i="140"/>
  <c r="AK82" i="140"/>
  <c r="AM82" i="140" s="1"/>
  <c r="AO82" i="140" s="1"/>
  <c r="U82" i="140"/>
  <c r="V82" i="140" s="1"/>
  <c r="K82" i="140"/>
  <c r="L82" i="140" s="1"/>
  <c r="F82" i="140"/>
  <c r="AT81" i="140"/>
  <c r="AK81" i="140"/>
  <c r="AM81" i="140" s="1"/>
  <c r="AO81" i="140" s="1"/>
  <c r="S81" i="140"/>
  <c r="N81" i="140"/>
  <c r="U81" i="140" s="1"/>
  <c r="K81" i="140"/>
  <c r="L81" i="140" s="1"/>
  <c r="P81" i="140" s="1"/>
  <c r="F81" i="140"/>
  <c r="AT80" i="140"/>
  <c r="AK80" i="140"/>
  <c r="AM80" i="140" s="1"/>
  <c r="AO80" i="140" s="1"/>
  <c r="S80" i="140"/>
  <c r="K80" i="140"/>
  <c r="L80" i="140" s="1"/>
  <c r="F80" i="140"/>
  <c r="AT79" i="140"/>
  <c r="AK79" i="140"/>
  <c r="AM79" i="140" s="1"/>
  <c r="AO79" i="140" s="1"/>
  <c r="S79" i="140"/>
  <c r="K79" i="140"/>
  <c r="L79" i="140" s="1"/>
  <c r="P79" i="140" s="1"/>
  <c r="F79" i="140"/>
  <c r="AT78" i="140"/>
  <c r="AK78" i="140"/>
  <c r="AM78" i="140" s="1"/>
  <c r="AO78" i="140" s="1"/>
  <c r="S78" i="140"/>
  <c r="N78" i="140"/>
  <c r="K78" i="140"/>
  <c r="L78" i="140" s="1"/>
  <c r="P78" i="140" s="1"/>
  <c r="F78" i="140"/>
  <c r="AT77" i="140"/>
  <c r="AK77" i="140"/>
  <c r="AM77" i="140" s="1"/>
  <c r="AO77" i="140" s="1"/>
  <c r="S77" i="140"/>
  <c r="K77" i="140"/>
  <c r="L77" i="140" s="1"/>
  <c r="F77" i="140"/>
  <c r="AT76" i="140"/>
  <c r="AK76" i="140"/>
  <c r="AM76" i="140" s="1"/>
  <c r="AO76" i="140" s="1"/>
  <c r="S76" i="140"/>
  <c r="K76" i="140"/>
  <c r="L76" i="140" s="1"/>
  <c r="G76" i="140"/>
  <c r="F76" i="140"/>
  <c r="AT75" i="140"/>
  <c r="AK75" i="140"/>
  <c r="AM75" i="140" s="1"/>
  <c r="AO75" i="140" s="1"/>
  <c r="S75" i="140"/>
  <c r="K75" i="140"/>
  <c r="L75" i="140" s="1"/>
  <c r="P75" i="140" s="1"/>
  <c r="F75" i="140"/>
  <c r="AT74" i="140"/>
  <c r="AK74" i="140"/>
  <c r="AM74" i="140" s="1"/>
  <c r="AO74" i="140" s="1"/>
  <c r="S74" i="140"/>
  <c r="K74" i="140"/>
  <c r="L74" i="140" s="1"/>
  <c r="F74" i="140"/>
  <c r="AT73" i="140"/>
  <c r="AK73" i="140"/>
  <c r="AM73" i="140" s="1"/>
  <c r="AO73" i="140" s="1"/>
  <c r="S73" i="140"/>
  <c r="K73" i="140"/>
  <c r="L73" i="140" s="1"/>
  <c r="P73" i="140" s="1"/>
  <c r="F73" i="140"/>
  <c r="AT72" i="140"/>
  <c r="AK72" i="140"/>
  <c r="AM72" i="140" s="1"/>
  <c r="AO72" i="140" s="1"/>
  <c r="S72" i="140"/>
  <c r="K72" i="140"/>
  <c r="L72" i="140" s="1"/>
  <c r="P72" i="140" s="1"/>
  <c r="F72" i="140"/>
  <c r="AT71" i="140"/>
  <c r="AK71" i="140"/>
  <c r="AM71" i="140" s="1"/>
  <c r="AO71" i="140" s="1"/>
  <c r="S71" i="140"/>
  <c r="K71" i="140"/>
  <c r="L71" i="140" s="1"/>
  <c r="F71" i="140"/>
  <c r="AT70" i="140"/>
  <c r="AK70" i="140"/>
  <c r="AM70" i="140" s="1"/>
  <c r="AO70" i="140" s="1"/>
  <c r="S70" i="140"/>
  <c r="K70" i="140"/>
  <c r="L70" i="140" s="1"/>
  <c r="F70" i="140"/>
  <c r="AT69" i="140"/>
  <c r="AK69" i="140"/>
  <c r="AM69" i="140" s="1"/>
  <c r="AO69" i="140" s="1"/>
  <c r="S69" i="140"/>
  <c r="N69" i="140"/>
  <c r="K69" i="140"/>
  <c r="L69" i="140" s="1"/>
  <c r="P69" i="140" s="1"/>
  <c r="D69" i="140"/>
  <c r="F69" i="140" s="1"/>
  <c r="AT68" i="140"/>
  <c r="AK68" i="140"/>
  <c r="AM68" i="140" s="1"/>
  <c r="AO68" i="140" s="1"/>
  <c r="Z68" i="140"/>
  <c r="S68" i="140"/>
  <c r="K68" i="140"/>
  <c r="L68" i="140" s="1"/>
  <c r="P68" i="140" s="1"/>
  <c r="F68" i="140"/>
  <c r="AT67" i="140"/>
  <c r="AK67" i="140"/>
  <c r="AM67" i="140" s="1"/>
  <c r="AO67" i="140" s="1"/>
  <c r="S67" i="140"/>
  <c r="K67" i="140"/>
  <c r="L67" i="140" s="1"/>
  <c r="P67" i="140" s="1"/>
  <c r="F67" i="140"/>
  <c r="AT66" i="140"/>
  <c r="AK66" i="140"/>
  <c r="AM66" i="140" s="1"/>
  <c r="AO66" i="140" s="1"/>
  <c r="S66" i="140"/>
  <c r="K66" i="140"/>
  <c r="L66" i="140" s="1"/>
  <c r="F66" i="140"/>
  <c r="AT65" i="140"/>
  <c r="AK65" i="140"/>
  <c r="AM65" i="140" s="1"/>
  <c r="AO65" i="140" s="1"/>
  <c r="S65" i="140"/>
  <c r="K65" i="140"/>
  <c r="L65" i="140" s="1"/>
  <c r="F65" i="140"/>
  <c r="AT64" i="140"/>
  <c r="AK64" i="140"/>
  <c r="AM64" i="140" s="1"/>
  <c r="AO64" i="140" s="1"/>
  <c r="S64" i="140"/>
  <c r="K64" i="140"/>
  <c r="L64" i="140" s="1"/>
  <c r="G64" i="140"/>
  <c r="F64" i="140"/>
  <c r="AT63" i="140"/>
  <c r="AK63" i="140"/>
  <c r="AM63" i="140" s="1"/>
  <c r="AO63" i="140" s="1"/>
  <c r="S63" i="140"/>
  <c r="K63" i="140"/>
  <c r="L63" i="140" s="1"/>
  <c r="F63" i="140"/>
  <c r="AT62" i="140"/>
  <c r="AK62" i="140"/>
  <c r="AM62" i="140" s="1"/>
  <c r="AO62" i="140" s="1"/>
  <c r="S62" i="140"/>
  <c r="K62" i="140"/>
  <c r="L62" i="140" s="1"/>
  <c r="F62" i="140"/>
  <c r="AT61" i="140"/>
  <c r="AK61" i="140"/>
  <c r="AM61" i="140" s="1"/>
  <c r="AO61" i="140" s="1"/>
  <c r="S61" i="140"/>
  <c r="K61" i="140"/>
  <c r="L61" i="140" s="1"/>
  <c r="F61" i="140"/>
  <c r="AT60" i="140"/>
  <c r="AK60" i="140"/>
  <c r="AM60" i="140" s="1"/>
  <c r="AO60" i="140" s="1"/>
  <c r="S60" i="140"/>
  <c r="N60" i="140"/>
  <c r="K60" i="140"/>
  <c r="L60" i="140" s="1"/>
  <c r="P60" i="140" s="1"/>
  <c r="D60" i="140"/>
  <c r="F60" i="140" s="1"/>
  <c r="AT59" i="140"/>
  <c r="AK59" i="140"/>
  <c r="AM59" i="140" s="1"/>
  <c r="AO59" i="140" s="1"/>
  <c r="S59" i="140"/>
  <c r="K59" i="140"/>
  <c r="L59" i="140" s="1"/>
  <c r="P59" i="140" s="1"/>
  <c r="F59" i="140"/>
  <c r="AT58" i="140"/>
  <c r="AK58" i="140"/>
  <c r="AM58" i="140" s="1"/>
  <c r="AO58" i="140" s="1"/>
  <c r="Q58" i="140"/>
  <c r="S58" i="140" s="1"/>
  <c r="N58" i="140"/>
  <c r="K58" i="140"/>
  <c r="L58" i="140" s="1"/>
  <c r="G58" i="140"/>
  <c r="D58" i="140"/>
  <c r="F58" i="140" s="1"/>
  <c r="AT57" i="140"/>
  <c r="AK57" i="140"/>
  <c r="AM57" i="140" s="1"/>
  <c r="AO57" i="140" s="1"/>
  <c r="S57" i="140"/>
  <c r="K57" i="140"/>
  <c r="L57" i="140" s="1"/>
  <c r="P57" i="140" s="1"/>
  <c r="D57" i="140"/>
  <c r="F57" i="140" s="1"/>
  <c r="AT56" i="140"/>
  <c r="AK56" i="140"/>
  <c r="AM56" i="140" s="1"/>
  <c r="AO56" i="140" s="1"/>
  <c r="S56" i="140"/>
  <c r="K56" i="140"/>
  <c r="L56" i="140" s="1"/>
  <c r="P56" i="140" s="1"/>
  <c r="D56" i="140"/>
  <c r="BC55" i="140"/>
  <c r="AT55" i="140"/>
  <c r="AK55" i="140"/>
  <c r="AM55" i="140" s="1"/>
  <c r="AO55" i="140" s="1"/>
  <c r="S55" i="140"/>
  <c r="N55" i="140"/>
  <c r="K55" i="140"/>
  <c r="L55" i="140" s="1"/>
  <c r="G55" i="140"/>
  <c r="D55" i="140"/>
  <c r="AT54" i="140"/>
  <c r="AK54" i="140"/>
  <c r="AM54" i="140" s="1"/>
  <c r="AO54" i="140" s="1"/>
  <c r="Q54" i="140"/>
  <c r="S54" i="140" s="1"/>
  <c r="N54" i="140"/>
  <c r="K54" i="140"/>
  <c r="L54" i="140" s="1"/>
  <c r="P54" i="140" s="1"/>
  <c r="F54" i="140"/>
  <c r="AT53" i="140"/>
  <c r="AK53" i="140"/>
  <c r="AM53" i="140" s="1"/>
  <c r="AO53" i="140" s="1"/>
  <c r="S53" i="140"/>
  <c r="K53" i="140"/>
  <c r="L53" i="140" s="1"/>
  <c r="F53" i="140"/>
  <c r="AT52" i="140"/>
  <c r="AK52" i="140"/>
  <c r="AM52" i="140" s="1"/>
  <c r="AO52" i="140" s="1"/>
  <c r="S52" i="140"/>
  <c r="K52" i="140"/>
  <c r="L52" i="140" s="1"/>
  <c r="P52" i="140" s="1"/>
  <c r="D52" i="140"/>
  <c r="AT51" i="140"/>
  <c r="AK51" i="140"/>
  <c r="AM51" i="140" s="1"/>
  <c r="AO51" i="140" s="1"/>
  <c r="S51" i="140"/>
  <c r="K51" i="140"/>
  <c r="L51" i="140" s="1"/>
  <c r="P51" i="140" s="1"/>
  <c r="F51" i="140"/>
  <c r="AT50" i="140"/>
  <c r="AK50" i="140"/>
  <c r="AM50" i="140" s="1"/>
  <c r="AO50" i="140" s="1"/>
  <c r="S50" i="140"/>
  <c r="K50" i="140"/>
  <c r="L50" i="140" s="1"/>
  <c r="P50" i="140" s="1"/>
  <c r="F50" i="140"/>
  <c r="AT49" i="140"/>
  <c r="AK49" i="140"/>
  <c r="AM49" i="140" s="1"/>
  <c r="AO49" i="140" s="1"/>
  <c r="S49" i="140"/>
  <c r="K49" i="140"/>
  <c r="L49" i="140" s="1"/>
  <c r="P49" i="140" s="1"/>
  <c r="F49" i="140"/>
  <c r="AT48" i="140"/>
  <c r="AK48" i="140"/>
  <c r="AM48" i="140" s="1"/>
  <c r="AO48" i="140" s="1"/>
  <c r="S48" i="140"/>
  <c r="K48" i="140"/>
  <c r="L48" i="140" s="1"/>
  <c r="F48" i="140"/>
  <c r="AT47" i="140"/>
  <c r="AK47" i="140"/>
  <c r="AM47" i="140" s="1"/>
  <c r="AO47" i="140" s="1"/>
  <c r="S47" i="140"/>
  <c r="K47" i="140"/>
  <c r="L47" i="140" s="1"/>
  <c r="G47" i="140"/>
  <c r="F47" i="140"/>
  <c r="AT46" i="140"/>
  <c r="AK46" i="140"/>
  <c r="AM46" i="140" s="1"/>
  <c r="AO46" i="140" s="1"/>
  <c r="S46" i="140"/>
  <c r="K46" i="140"/>
  <c r="L46" i="140" s="1"/>
  <c r="P46" i="140" s="1"/>
  <c r="D46" i="140"/>
  <c r="AT45" i="140"/>
  <c r="AK45" i="140"/>
  <c r="AM45" i="140" s="1"/>
  <c r="AO45" i="140" s="1"/>
  <c r="S45" i="140"/>
  <c r="K45" i="140"/>
  <c r="L45" i="140" s="1"/>
  <c r="F45" i="140"/>
  <c r="AT44" i="140"/>
  <c r="AK44" i="140"/>
  <c r="AM44" i="140" s="1"/>
  <c r="AO44" i="140" s="1"/>
  <c r="S44" i="140"/>
  <c r="K44" i="140"/>
  <c r="L44" i="140" s="1"/>
  <c r="G44" i="140"/>
  <c r="F44" i="140"/>
  <c r="AT43" i="140"/>
  <c r="AK43" i="140"/>
  <c r="AM43" i="140" s="1"/>
  <c r="AO43" i="140" s="1"/>
  <c r="S43" i="140"/>
  <c r="K43" i="140"/>
  <c r="L43" i="140" s="1"/>
  <c r="F43" i="140"/>
  <c r="AT42" i="140"/>
  <c r="AK42" i="140"/>
  <c r="AM42" i="140" s="1"/>
  <c r="AO42" i="140" s="1"/>
  <c r="S42" i="140"/>
  <c r="K42" i="140"/>
  <c r="L42" i="140" s="1"/>
  <c r="P42" i="140" s="1"/>
  <c r="F42" i="140"/>
  <c r="AT41" i="140"/>
  <c r="AK41" i="140"/>
  <c r="AM41" i="140" s="1"/>
  <c r="AO41" i="140" s="1"/>
  <c r="S41" i="140"/>
  <c r="K41" i="140"/>
  <c r="L41" i="140" s="1"/>
  <c r="P41" i="140" s="1"/>
  <c r="F41" i="140"/>
  <c r="AT40" i="140"/>
  <c r="AK40" i="140"/>
  <c r="AM40" i="140" s="1"/>
  <c r="AO40" i="140" s="1"/>
  <c r="S40" i="140"/>
  <c r="K40" i="140"/>
  <c r="L40" i="140" s="1"/>
  <c r="P40" i="140" s="1"/>
  <c r="F40" i="140"/>
  <c r="BC39" i="140"/>
  <c r="AT39" i="140"/>
  <c r="AK39" i="140"/>
  <c r="AM39" i="140" s="1"/>
  <c r="AO39" i="140" s="1"/>
  <c r="Z39" i="140"/>
  <c r="Q39" i="140"/>
  <c r="S39" i="140" s="1"/>
  <c r="N39" i="140"/>
  <c r="K39" i="140"/>
  <c r="L39" i="140" s="1"/>
  <c r="P39" i="140" s="1"/>
  <c r="D39" i="140"/>
  <c r="F39" i="140" s="1"/>
  <c r="AT38" i="140"/>
  <c r="AK38" i="140"/>
  <c r="AM38" i="140" s="1"/>
  <c r="AO38" i="140" s="1"/>
  <c r="S38" i="140"/>
  <c r="K38" i="140"/>
  <c r="L38" i="140" s="1"/>
  <c r="F38" i="140"/>
  <c r="AT37" i="140"/>
  <c r="AK37" i="140"/>
  <c r="AM37" i="140" s="1"/>
  <c r="AO37" i="140" s="1"/>
  <c r="S37" i="140"/>
  <c r="K37" i="140"/>
  <c r="L37" i="140" s="1"/>
  <c r="P37" i="140" s="1"/>
  <c r="F37" i="140"/>
  <c r="AT36" i="140"/>
  <c r="AK36" i="140"/>
  <c r="AM36" i="140" s="1"/>
  <c r="AO36" i="140" s="1"/>
  <c r="S36" i="140"/>
  <c r="K36" i="140"/>
  <c r="L36" i="140" s="1"/>
  <c r="G36" i="140"/>
  <c r="F36" i="140"/>
  <c r="AT35" i="140"/>
  <c r="AK35" i="140"/>
  <c r="AM35" i="140" s="1"/>
  <c r="AO35" i="140" s="1"/>
  <c r="S35" i="140"/>
  <c r="N35" i="140"/>
  <c r="K35" i="140"/>
  <c r="L35" i="140" s="1"/>
  <c r="G35" i="140"/>
  <c r="F35" i="140"/>
  <c r="AT34" i="140"/>
  <c r="AK34" i="140"/>
  <c r="AM34" i="140" s="1"/>
  <c r="AO34" i="140" s="1"/>
  <c r="S34" i="140"/>
  <c r="K34" i="140"/>
  <c r="L34" i="140" s="1"/>
  <c r="F34" i="140"/>
  <c r="AT33" i="140"/>
  <c r="AK33" i="140"/>
  <c r="AM33" i="140" s="1"/>
  <c r="AO33" i="140" s="1"/>
  <c r="S33" i="140"/>
  <c r="N33" i="140"/>
  <c r="K33" i="140"/>
  <c r="L33" i="140" s="1"/>
  <c r="P33" i="140" s="1"/>
  <c r="F33" i="140"/>
  <c r="AT32" i="140"/>
  <c r="AK32" i="140"/>
  <c r="AM32" i="140" s="1"/>
  <c r="AO32" i="140" s="1"/>
  <c r="S32" i="140"/>
  <c r="K32" i="140"/>
  <c r="L32" i="140" s="1"/>
  <c r="P32" i="140" s="1"/>
  <c r="F32" i="140"/>
  <c r="AT31" i="140"/>
  <c r="AK31" i="140"/>
  <c r="AM31" i="140" s="1"/>
  <c r="AO31" i="140" s="1"/>
  <c r="S31" i="140"/>
  <c r="N31" i="140"/>
  <c r="K31" i="140"/>
  <c r="L31" i="140" s="1"/>
  <c r="G31" i="140"/>
  <c r="F31" i="140"/>
  <c r="AT30" i="140"/>
  <c r="AK30" i="140"/>
  <c r="AM30" i="140" s="1"/>
  <c r="AO30" i="140" s="1"/>
  <c r="S30" i="140"/>
  <c r="N30" i="140"/>
  <c r="K30" i="140"/>
  <c r="L30" i="140" s="1"/>
  <c r="P30" i="140" s="1"/>
  <c r="F30" i="140"/>
  <c r="AT29" i="140"/>
  <c r="AK29" i="140"/>
  <c r="AM29" i="140" s="1"/>
  <c r="AO29" i="140" s="1"/>
  <c r="S29" i="140"/>
  <c r="N29" i="140"/>
  <c r="K29" i="140"/>
  <c r="L29" i="140" s="1"/>
  <c r="P29" i="140" s="1"/>
  <c r="F29" i="140"/>
  <c r="AT28" i="140"/>
  <c r="AK28" i="140"/>
  <c r="AM28" i="140" s="1"/>
  <c r="AO28" i="140" s="1"/>
  <c r="S28" i="140"/>
  <c r="K28" i="140"/>
  <c r="L28" i="140" s="1"/>
  <c r="P28" i="140" s="1"/>
  <c r="F28" i="140"/>
  <c r="AT27" i="140"/>
  <c r="AK27" i="140"/>
  <c r="AM27" i="140" s="1"/>
  <c r="AO27" i="140" s="1"/>
  <c r="S27" i="140"/>
  <c r="K27" i="140"/>
  <c r="L27" i="140" s="1"/>
  <c r="F27" i="140"/>
  <c r="AT26" i="140"/>
  <c r="AK26" i="140"/>
  <c r="AM26" i="140" s="1"/>
  <c r="AO26" i="140" s="1"/>
  <c r="S26" i="140"/>
  <c r="N26" i="140"/>
  <c r="K26" i="140"/>
  <c r="L26" i="140" s="1"/>
  <c r="G26" i="140"/>
  <c r="F26" i="140"/>
  <c r="AT25" i="140"/>
  <c r="AK25" i="140"/>
  <c r="AM25" i="140" s="1"/>
  <c r="AO25" i="140" s="1"/>
  <c r="S25" i="140"/>
  <c r="K25" i="140"/>
  <c r="L25" i="140" s="1"/>
  <c r="F25" i="140"/>
  <c r="AT24" i="140"/>
  <c r="AK24" i="140"/>
  <c r="AM24" i="140" s="1"/>
  <c r="AO24" i="140" s="1"/>
  <c r="S24" i="140"/>
  <c r="K24" i="140"/>
  <c r="L24" i="140" s="1"/>
  <c r="F24" i="140"/>
  <c r="AT23" i="140"/>
  <c r="AK23" i="140"/>
  <c r="AM23" i="140" s="1"/>
  <c r="AO23" i="140" s="1"/>
  <c r="S23" i="140"/>
  <c r="K23" i="140"/>
  <c r="L23" i="140" s="1"/>
  <c r="P23" i="140" s="1"/>
  <c r="F23" i="140"/>
  <c r="AT22" i="140"/>
  <c r="AK22" i="140"/>
  <c r="AM22" i="140" s="1"/>
  <c r="AO22" i="140" s="1"/>
  <c r="S22" i="140"/>
  <c r="N22" i="140"/>
  <c r="K22" i="140"/>
  <c r="L22" i="140" s="1"/>
  <c r="P22" i="140" s="1"/>
  <c r="F22" i="140"/>
  <c r="AT21" i="140"/>
  <c r="AK21" i="140"/>
  <c r="AM21" i="140" s="1"/>
  <c r="AO21" i="140" s="1"/>
  <c r="S21" i="140"/>
  <c r="K21" i="140"/>
  <c r="L21" i="140" s="1"/>
  <c r="P21" i="140" s="1"/>
  <c r="F21" i="140"/>
  <c r="AT20" i="140"/>
  <c r="AH20" i="140"/>
  <c r="AH93" i="140" s="1"/>
  <c r="S20" i="140"/>
  <c r="N20" i="140"/>
  <c r="K20" i="140"/>
  <c r="L20" i="140" s="1"/>
  <c r="G20" i="140"/>
  <c r="D20" i="140"/>
  <c r="AT19" i="140"/>
  <c r="AK19" i="140"/>
  <c r="AM19" i="140" s="1"/>
  <c r="AO19" i="140" s="1"/>
  <c r="S19" i="140"/>
  <c r="K19" i="140"/>
  <c r="L19" i="140" s="1"/>
  <c r="G19" i="140"/>
  <c r="F19" i="140"/>
  <c r="AT18" i="140"/>
  <c r="AK18" i="140"/>
  <c r="AM18" i="140" s="1"/>
  <c r="AO18" i="140" s="1"/>
  <c r="S18" i="140"/>
  <c r="K18" i="140"/>
  <c r="L18" i="140" s="1"/>
  <c r="P18" i="140" s="1"/>
  <c r="F18" i="140"/>
  <c r="AT17" i="140"/>
  <c r="AK17" i="140"/>
  <c r="AM17" i="140" s="1"/>
  <c r="AO17" i="140" s="1"/>
  <c r="S17" i="140"/>
  <c r="N17" i="140"/>
  <c r="K17" i="140"/>
  <c r="L17" i="140" s="1"/>
  <c r="P17" i="140" s="1"/>
  <c r="F17" i="140"/>
  <c r="AT16" i="140"/>
  <c r="AK16" i="140"/>
  <c r="AM16" i="140" s="1"/>
  <c r="AO16" i="140" s="1"/>
  <c r="S16" i="140"/>
  <c r="N16" i="140"/>
  <c r="K16" i="140"/>
  <c r="L16" i="140" s="1"/>
  <c r="G16" i="140"/>
  <c r="D16" i="140"/>
  <c r="F16" i="140" s="1"/>
  <c r="AT15" i="140"/>
  <c r="AK15" i="140"/>
  <c r="AM15" i="140" s="1"/>
  <c r="AO15" i="140" s="1"/>
  <c r="S15" i="140"/>
  <c r="K15" i="140"/>
  <c r="L15" i="140" s="1"/>
  <c r="G15" i="140"/>
  <c r="D15" i="140"/>
  <c r="F15" i="140" s="1"/>
  <c r="AT14" i="140"/>
  <c r="AK14" i="140"/>
  <c r="AM14" i="140" s="1"/>
  <c r="AO14" i="140" s="1"/>
  <c r="S14" i="140"/>
  <c r="N14" i="140"/>
  <c r="K14" i="140"/>
  <c r="L14" i="140" s="1"/>
  <c r="P14" i="140" s="1"/>
  <c r="F14" i="140"/>
  <c r="AT13" i="140"/>
  <c r="AK13" i="140"/>
  <c r="AM13" i="140" s="1"/>
  <c r="AO13" i="140" s="1"/>
  <c r="S13" i="140"/>
  <c r="N13" i="140"/>
  <c r="K13" i="140"/>
  <c r="L13" i="140" s="1"/>
  <c r="G13" i="140"/>
  <c r="D13" i="140"/>
  <c r="AT12" i="140"/>
  <c r="AK12" i="140"/>
  <c r="AM12" i="140" s="1"/>
  <c r="AO12" i="140" s="1"/>
  <c r="S12" i="140"/>
  <c r="K12" i="140"/>
  <c r="L12" i="140" s="1"/>
  <c r="G12" i="140"/>
  <c r="D12" i="140"/>
  <c r="F12" i="140" s="1"/>
  <c r="AT11" i="140"/>
  <c r="AK11" i="140"/>
  <c r="AM11" i="140" s="1"/>
  <c r="AO11" i="140" s="1"/>
  <c r="S11" i="140"/>
  <c r="K11" i="140"/>
  <c r="L11" i="140" s="1"/>
  <c r="P11" i="140" s="1"/>
  <c r="F11" i="140"/>
  <c r="AT10" i="140"/>
  <c r="AK10" i="140"/>
  <c r="AM10" i="140" s="1"/>
  <c r="AO10" i="140" s="1"/>
  <c r="S10" i="140"/>
  <c r="K10" i="140"/>
  <c r="L10" i="140" s="1"/>
  <c r="P10" i="140" s="1"/>
  <c r="M10" i="140" s="1"/>
  <c r="F10" i="140"/>
  <c r="AT9" i="140"/>
  <c r="AJ9" i="140"/>
  <c r="AJ93" i="140" s="1"/>
  <c r="Z9" i="140"/>
  <c r="R9" i="140"/>
  <c r="Q9" i="140"/>
  <c r="N9" i="140"/>
  <c r="K9" i="140"/>
  <c r="L9" i="140" s="1"/>
  <c r="P9" i="140" s="1"/>
  <c r="E9" i="140"/>
  <c r="AT8" i="140"/>
  <c r="AK8" i="140"/>
  <c r="AM8" i="140" s="1"/>
  <c r="AO8" i="140" s="1"/>
  <c r="S8" i="140"/>
  <c r="K8" i="140"/>
  <c r="L8" i="140" s="1"/>
  <c r="G8" i="140"/>
  <c r="F8" i="140"/>
  <c r="AT7" i="140"/>
  <c r="AK7" i="140"/>
  <c r="AM7" i="140" s="1"/>
  <c r="AO7" i="140" s="1"/>
  <c r="S7" i="140"/>
  <c r="K7" i="140"/>
  <c r="L7" i="140" s="1"/>
  <c r="P7" i="140" s="1"/>
  <c r="F7" i="140"/>
  <c r="AT6" i="140"/>
  <c r="AK6" i="140"/>
  <c r="AM6" i="140" s="1"/>
  <c r="AO6" i="140" s="1"/>
  <c r="S6" i="140"/>
  <c r="K6" i="140"/>
  <c r="L6" i="140" s="1"/>
  <c r="P6" i="140" s="1"/>
  <c r="F6" i="140"/>
  <c r="AT5" i="140"/>
  <c r="AK5" i="140"/>
  <c r="AM5" i="140" s="1"/>
  <c r="AO5" i="140" s="1"/>
  <c r="S5" i="140"/>
  <c r="N5" i="140"/>
  <c r="K5" i="140"/>
  <c r="D5" i="140"/>
  <c r="F5" i="140" s="1"/>
  <c r="A6" i="140"/>
  <c r="A7" i="140" s="1"/>
  <c r="A8" i="140" s="1"/>
  <c r="A9" i="140" s="1"/>
  <c r="A10" i="140" s="1"/>
  <c r="A11" i="140" s="1"/>
  <c r="A12" i="140" s="1"/>
  <c r="A13" i="140" s="1"/>
  <c r="A14" i="140" s="1"/>
  <c r="A15" i="140" s="1"/>
  <c r="A16" i="140" s="1"/>
  <c r="A17" i="140" s="1"/>
  <c r="A18" i="140" s="1"/>
  <c r="A19" i="140" s="1"/>
  <c r="A20" i="140" s="1"/>
  <c r="A21" i="140" s="1"/>
  <c r="A22" i="140" s="1"/>
  <c r="A23" i="140" s="1"/>
  <c r="A24" i="140" s="1"/>
  <c r="A25" i="140" s="1"/>
  <c r="A26" i="140" s="1"/>
  <c r="A27" i="140" s="1"/>
  <c r="A28" i="140" s="1"/>
  <c r="A29" i="140" s="1"/>
  <c r="A30" i="140" s="1"/>
  <c r="A31" i="140" s="1"/>
  <c r="A32" i="140" s="1"/>
  <c r="A33" i="140" s="1"/>
  <c r="A34" i="140" s="1"/>
  <c r="A35" i="140" s="1"/>
  <c r="A36" i="140" s="1"/>
  <c r="A37" i="140" s="1"/>
  <c r="A38" i="140" s="1"/>
  <c r="A39" i="140" s="1"/>
  <c r="A40" i="140" s="1"/>
  <c r="A41" i="140" s="1"/>
  <c r="A42" i="140" s="1"/>
  <c r="A43" i="140" s="1"/>
  <c r="A44" i="140" s="1"/>
  <c r="A45" i="140" s="1"/>
  <c r="A46" i="140" s="1"/>
  <c r="A47" i="140" s="1"/>
  <c r="A48" i="140" s="1"/>
  <c r="A49" i="140" s="1"/>
  <c r="A50" i="140" s="1"/>
  <c r="A51" i="140" s="1"/>
  <c r="A52" i="140" s="1"/>
  <c r="A53" i="140" s="1"/>
  <c r="A54" i="140" s="1"/>
  <c r="A55" i="140" s="1"/>
  <c r="A56" i="140" s="1"/>
  <c r="A57" i="140" s="1"/>
  <c r="A58" i="140" s="1"/>
  <c r="A59" i="140" s="1"/>
  <c r="A60" i="140" s="1"/>
  <c r="A61" i="140" s="1"/>
  <c r="A62" i="140" s="1"/>
  <c r="A63" i="140" s="1"/>
  <c r="A64" i="140" s="1"/>
  <c r="A65" i="140" s="1"/>
  <c r="A66" i="140" s="1"/>
  <c r="A67" i="140" s="1"/>
  <c r="A68" i="140" s="1"/>
  <c r="A69" i="140" s="1"/>
  <c r="A70" i="140" s="1"/>
  <c r="A71" i="140" s="1"/>
  <c r="A72" i="140" s="1"/>
  <c r="A73" i="140" s="1"/>
  <c r="A74" i="140" s="1"/>
  <c r="A75" i="140" s="1"/>
  <c r="A76" i="140" s="1"/>
  <c r="A77" i="140" s="1"/>
  <c r="A78" i="140" s="1"/>
  <c r="A79" i="140" s="1"/>
  <c r="A80" i="140" s="1"/>
  <c r="A81" i="140" s="1"/>
  <c r="A82" i="140" s="1"/>
  <c r="A83" i="140" s="1"/>
  <c r="A84" i="140" s="1"/>
  <c r="A85" i="140" s="1"/>
  <c r="A86" i="140" s="1"/>
  <c r="A87" i="140" s="1"/>
  <c r="A88" i="140" s="1"/>
  <c r="A89" i="140" s="1"/>
  <c r="A90" i="140" s="1"/>
  <c r="A91" i="140" s="1"/>
  <c r="A92" i="140" s="1"/>
  <c r="A95" i="140" s="1"/>
  <c r="A96" i="140" s="1"/>
  <c r="A97" i="140" s="1"/>
  <c r="A98" i="140" s="1"/>
  <c r="A99" i="140" s="1"/>
  <c r="A100" i="140" s="1"/>
  <c r="A101" i="140" s="1"/>
  <c r="A102" i="140" s="1"/>
  <c r="A103" i="140" s="1"/>
  <c r="A104" i="140" s="1"/>
  <c r="A105" i="140" s="1"/>
  <c r="A106" i="140" s="1"/>
  <c r="A107" i="140" s="1"/>
  <c r="A108" i="140" s="1"/>
  <c r="A109" i="140" s="1"/>
  <c r="A110" i="140" s="1"/>
  <c r="A111" i="140" s="1"/>
  <c r="A112" i="140" s="1"/>
  <c r="A113" i="140" s="1"/>
  <c r="A114" i="140" s="1"/>
  <c r="A116" i="140" s="1"/>
  <c r="BC101" i="141"/>
  <c r="BB101" i="141"/>
  <c r="BA101" i="141"/>
  <c r="AZ101" i="141"/>
  <c r="AX101" i="141"/>
  <c r="AW101" i="141"/>
  <c r="AV101" i="141"/>
  <c r="AU101" i="141"/>
  <c r="AS101" i="141"/>
  <c r="AR101" i="141"/>
  <c r="AQ101" i="141"/>
  <c r="AP101" i="141"/>
  <c r="AL101" i="141"/>
  <c r="AJ101" i="141"/>
  <c r="AI101" i="141"/>
  <c r="AH101" i="141"/>
  <c r="AG101" i="141"/>
  <c r="AF101" i="141"/>
  <c r="AD101" i="141"/>
  <c r="AC101" i="141"/>
  <c r="AB101" i="141"/>
  <c r="AA101" i="141"/>
  <c r="Z101" i="141"/>
  <c r="Y101" i="141"/>
  <c r="X101" i="141"/>
  <c r="W101" i="141"/>
  <c r="R101" i="141"/>
  <c r="Q101" i="141"/>
  <c r="J101" i="141"/>
  <c r="I101" i="141"/>
  <c r="H101" i="141"/>
  <c r="AT100" i="141"/>
  <c r="AK100" i="141"/>
  <c r="AM100" i="141" s="1"/>
  <c r="AO100" i="141" s="1"/>
  <c r="S100" i="141"/>
  <c r="N100" i="141"/>
  <c r="K100" i="141"/>
  <c r="L100" i="141" s="1"/>
  <c r="P100" i="141" s="1"/>
  <c r="F100" i="141"/>
  <c r="AT99" i="141"/>
  <c r="AK99" i="141"/>
  <c r="AM99" i="141" s="1"/>
  <c r="AO99" i="141" s="1"/>
  <c r="S99" i="141"/>
  <c r="N99" i="141"/>
  <c r="K99" i="141"/>
  <c r="L99" i="141" s="1"/>
  <c r="P99" i="141" s="1"/>
  <c r="D99" i="141"/>
  <c r="AT98" i="141"/>
  <c r="AK98" i="141"/>
  <c r="AM98" i="141" s="1"/>
  <c r="AO98" i="141" s="1"/>
  <c r="S98" i="141"/>
  <c r="K98" i="141"/>
  <c r="L98" i="141" s="1"/>
  <c r="F98" i="141"/>
  <c r="AT97" i="141"/>
  <c r="AK97" i="141"/>
  <c r="AM97" i="141" s="1"/>
  <c r="AO97" i="141" s="1"/>
  <c r="S97" i="141"/>
  <c r="K97" i="141"/>
  <c r="L97" i="141" s="1"/>
  <c r="F97" i="141"/>
  <c r="AT96" i="141"/>
  <c r="AK96" i="141"/>
  <c r="AM96" i="141" s="1"/>
  <c r="AO96" i="141" s="1"/>
  <c r="S96" i="141"/>
  <c r="K96" i="141"/>
  <c r="L96" i="141" s="1"/>
  <c r="F96" i="141"/>
  <c r="AT95" i="141"/>
  <c r="AK95" i="141"/>
  <c r="AM95" i="141" s="1"/>
  <c r="AO95" i="141" s="1"/>
  <c r="S95" i="141"/>
  <c r="K95" i="141"/>
  <c r="L95" i="141" s="1"/>
  <c r="F95" i="141"/>
  <c r="AT94" i="141"/>
  <c r="AK94" i="141"/>
  <c r="AM94" i="141" s="1"/>
  <c r="AO94" i="141" s="1"/>
  <c r="S94" i="141"/>
  <c r="K94" i="141"/>
  <c r="L94" i="141" s="1"/>
  <c r="F94" i="141"/>
  <c r="AT93" i="141"/>
  <c r="AK93" i="141"/>
  <c r="AM93" i="141" s="1"/>
  <c r="AO93" i="141" s="1"/>
  <c r="S93" i="141"/>
  <c r="N93" i="141"/>
  <c r="K93" i="141"/>
  <c r="L93" i="141" s="1"/>
  <c r="P93" i="141" s="1"/>
  <c r="D93" i="141"/>
  <c r="AT92" i="141"/>
  <c r="AK92" i="141"/>
  <c r="AM92" i="141" s="1"/>
  <c r="AO92" i="141" s="1"/>
  <c r="S92" i="141"/>
  <c r="K92" i="141"/>
  <c r="L92" i="141" s="1"/>
  <c r="G92" i="141"/>
  <c r="F92" i="141"/>
  <c r="AT91" i="141"/>
  <c r="AE91" i="141"/>
  <c r="AE101" i="141" s="1"/>
  <c r="S91" i="141"/>
  <c r="K91" i="141"/>
  <c r="L91" i="141" s="1"/>
  <c r="G91" i="141"/>
  <c r="E91" i="141"/>
  <c r="E101" i="141" s="1"/>
  <c r="D91" i="141"/>
  <c r="AT90" i="141"/>
  <c r="AK90" i="141"/>
  <c r="AM90" i="141" s="1"/>
  <c r="AO90" i="141" s="1"/>
  <c r="S90" i="141"/>
  <c r="K90" i="141"/>
  <c r="L90" i="141" s="1"/>
  <c r="P90" i="141" s="1"/>
  <c r="D90" i="141"/>
  <c r="F90" i="141" s="1"/>
  <c r="AT89" i="141"/>
  <c r="AK89" i="141"/>
  <c r="AM89" i="141" s="1"/>
  <c r="AO89" i="141" s="1"/>
  <c r="S89" i="141"/>
  <c r="N89" i="141"/>
  <c r="K89" i="141"/>
  <c r="L89" i="141" s="1"/>
  <c r="P89" i="141" s="1"/>
  <c r="F89" i="141"/>
  <c r="AT88" i="141"/>
  <c r="AK88" i="141"/>
  <c r="AM88" i="141" s="1"/>
  <c r="AO88" i="141" s="1"/>
  <c r="S88" i="141"/>
  <c r="N88" i="141"/>
  <c r="K88" i="141"/>
  <c r="L88" i="141" s="1"/>
  <c r="F88" i="141"/>
  <c r="AT87" i="141"/>
  <c r="AK87" i="141"/>
  <c r="AM87" i="141" s="1"/>
  <c r="AO87" i="141" s="1"/>
  <c r="S87" i="141"/>
  <c r="K87" i="141"/>
  <c r="L87" i="141" s="1"/>
  <c r="P87" i="141" s="1"/>
  <c r="D87" i="141"/>
  <c r="AT86" i="141"/>
  <c r="AK86" i="141"/>
  <c r="AM86" i="141" s="1"/>
  <c r="S86" i="141"/>
  <c r="N86" i="141"/>
  <c r="K86" i="141"/>
  <c r="L86" i="141" s="1"/>
  <c r="D86" i="141"/>
  <c r="F86" i="141" s="1"/>
  <c r="AY85" i="141"/>
  <c r="AT85" i="141"/>
  <c r="AO85" i="141"/>
  <c r="AK85" i="141"/>
  <c r="AN85" i="141" s="1"/>
  <c r="BC84" i="141"/>
  <c r="BB84" i="141"/>
  <c r="BA84" i="141"/>
  <c r="AZ84" i="141"/>
  <c r="AX84" i="141"/>
  <c r="AW84" i="141"/>
  <c r="AV84" i="141"/>
  <c r="AU84" i="141"/>
  <c r="AS84" i="141"/>
  <c r="AR84" i="141"/>
  <c r="AQ84" i="141"/>
  <c r="AP84" i="141"/>
  <c r="AL84" i="141"/>
  <c r="AJ84" i="141"/>
  <c r="AH84" i="141"/>
  <c r="AG84" i="141"/>
  <c r="AE84" i="141"/>
  <c r="AD84" i="141"/>
  <c r="AC84" i="141"/>
  <c r="AB84" i="141"/>
  <c r="AA84" i="141"/>
  <c r="Z84" i="141"/>
  <c r="Y84" i="141"/>
  <c r="X84" i="141"/>
  <c r="W84" i="141"/>
  <c r="R84" i="141"/>
  <c r="Q84" i="141"/>
  <c r="J84" i="141"/>
  <c r="I84" i="141"/>
  <c r="H84" i="141"/>
  <c r="G84" i="141"/>
  <c r="E84" i="141"/>
  <c r="AT83" i="141"/>
  <c r="AK83" i="141"/>
  <c r="AM83" i="141" s="1"/>
  <c r="AO83" i="141" s="1"/>
  <c r="S83" i="141"/>
  <c r="K83" i="141"/>
  <c r="L83" i="141" s="1"/>
  <c r="F83" i="141"/>
  <c r="AT82" i="141"/>
  <c r="AK82" i="141"/>
  <c r="AM82" i="141" s="1"/>
  <c r="AO82" i="141" s="1"/>
  <c r="S82" i="141"/>
  <c r="N82" i="141"/>
  <c r="K82" i="141"/>
  <c r="L82" i="141" s="1"/>
  <c r="F82" i="141"/>
  <c r="AT81" i="141"/>
  <c r="AK81" i="141"/>
  <c r="AM81" i="141" s="1"/>
  <c r="AO81" i="141" s="1"/>
  <c r="S81" i="141"/>
  <c r="K81" i="141"/>
  <c r="L81" i="141" s="1"/>
  <c r="P81" i="141" s="1"/>
  <c r="M81" i="141" s="1"/>
  <c r="D81" i="141"/>
  <c r="F81" i="141" s="1"/>
  <c r="AT80" i="141"/>
  <c r="AK80" i="141"/>
  <c r="AM80" i="141" s="1"/>
  <c r="V80" i="141"/>
  <c r="S80" i="141"/>
  <c r="K80" i="141"/>
  <c r="L80" i="141" s="1"/>
  <c r="F80" i="141"/>
  <c r="AT79" i="141"/>
  <c r="AK79" i="141"/>
  <c r="AM79" i="141" s="1"/>
  <c r="AO79" i="141" s="1"/>
  <c r="S79" i="141"/>
  <c r="N79" i="141"/>
  <c r="K79" i="141"/>
  <c r="L79" i="141" s="1"/>
  <c r="F79" i="141"/>
  <c r="AT78" i="141"/>
  <c r="AK78" i="141"/>
  <c r="AM78" i="141" s="1"/>
  <c r="AO78" i="141" s="1"/>
  <c r="S78" i="141"/>
  <c r="K78" i="141"/>
  <c r="L78" i="141" s="1"/>
  <c r="P78" i="141" s="1"/>
  <c r="D78" i="141"/>
  <c r="F78" i="141" s="1"/>
  <c r="AT77" i="141"/>
  <c r="AK77" i="141"/>
  <c r="AM77" i="141" s="1"/>
  <c r="AO77" i="141" s="1"/>
  <c r="S77" i="141"/>
  <c r="N77" i="141"/>
  <c r="K77" i="141"/>
  <c r="L77" i="141" s="1"/>
  <c r="P77" i="141" s="1"/>
  <c r="F77" i="141"/>
  <c r="AT76" i="141"/>
  <c r="AK76" i="141"/>
  <c r="AM76" i="141" s="1"/>
  <c r="AO76" i="141" s="1"/>
  <c r="S76" i="141"/>
  <c r="K76" i="141"/>
  <c r="L76" i="141" s="1"/>
  <c r="F76" i="141"/>
  <c r="AT75" i="141"/>
  <c r="AK75" i="141"/>
  <c r="AM75" i="141" s="1"/>
  <c r="AO75" i="141" s="1"/>
  <c r="S75" i="141"/>
  <c r="N75" i="141"/>
  <c r="K75" i="141"/>
  <c r="L75" i="141" s="1"/>
  <c r="P75" i="141" s="1"/>
  <c r="F75" i="141"/>
  <c r="AT74" i="141"/>
  <c r="AK74" i="141"/>
  <c r="AM74" i="141" s="1"/>
  <c r="AO74" i="141" s="1"/>
  <c r="S74" i="141"/>
  <c r="N74" i="141"/>
  <c r="K74" i="141"/>
  <c r="L74" i="141" s="1"/>
  <c r="P74" i="141" s="1"/>
  <c r="F74" i="141"/>
  <c r="AT73" i="141"/>
  <c r="AK73" i="141"/>
  <c r="AM73" i="141" s="1"/>
  <c r="AO73" i="141" s="1"/>
  <c r="S73" i="141"/>
  <c r="K73" i="141"/>
  <c r="L73" i="141" s="1"/>
  <c r="P73" i="141" s="1"/>
  <c r="F73" i="141"/>
  <c r="AT72" i="141"/>
  <c r="AM72" i="141"/>
  <c r="AO72" i="141" s="1"/>
  <c r="AK72" i="141"/>
  <c r="S72" i="141"/>
  <c r="N72" i="141"/>
  <c r="K72" i="141"/>
  <c r="L72" i="141" s="1"/>
  <c r="P72" i="141" s="1"/>
  <c r="D72" i="141"/>
  <c r="AT71" i="141"/>
  <c r="AK71" i="141"/>
  <c r="AM71" i="141" s="1"/>
  <c r="AO71" i="141" s="1"/>
  <c r="S71" i="141"/>
  <c r="K71" i="141"/>
  <c r="L71" i="141" s="1"/>
  <c r="P71" i="141" s="1"/>
  <c r="D71" i="141"/>
  <c r="F71" i="141" s="1"/>
  <c r="AT70" i="141"/>
  <c r="AI70" i="141"/>
  <c r="AF70" i="141"/>
  <c r="S70" i="141"/>
  <c r="K70" i="141"/>
  <c r="L70" i="141" s="1"/>
  <c r="P70" i="141" s="1"/>
  <c r="M70" i="141" s="1"/>
  <c r="T70" i="141" s="1"/>
  <c r="U70" i="141" s="1"/>
  <c r="D70" i="141"/>
  <c r="F70" i="141" s="1"/>
  <c r="AT69" i="141"/>
  <c r="AK69" i="141"/>
  <c r="AM69" i="141" s="1"/>
  <c r="AO69" i="141" s="1"/>
  <c r="S69" i="141"/>
  <c r="N69" i="141"/>
  <c r="K69" i="141"/>
  <c r="L69" i="141" s="1"/>
  <c r="P69" i="141" s="1"/>
  <c r="F69" i="141"/>
  <c r="AT68" i="141"/>
  <c r="AK68" i="141"/>
  <c r="AM68" i="141" s="1"/>
  <c r="AO68" i="141" s="1"/>
  <c r="S68" i="141"/>
  <c r="K68" i="141"/>
  <c r="L68" i="141" s="1"/>
  <c r="F68" i="141"/>
  <c r="AT67" i="141"/>
  <c r="AK67" i="141"/>
  <c r="AM67" i="141" s="1"/>
  <c r="AO67" i="141" s="1"/>
  <c r="S67" i="141"/>
  <c r="N67" i="141"/>
  <c r="K67" i="141"/>
  <c r="L67" i="141" s="1"/>
  <c r="P67" i="141" s="1"/>
  <c r="D67" i="141"/>
  <c r="AT66" i="141"/>
  <c r="AK66" i="141"/>
  <c r="AM66" i="141" s="1"/>
  <c r="AO66" i="141" s="1"/>
  <c r="S66" i="141"/>
  <c r="K66" i="141"/>
  <c r="L66" i="141" s="1"/>
  <c r="P66" i="141" s="1"/>
  <c r="F66" i="141"/>
  <c r="AT65" i="141"/>
  <c r="AK65" i="141"/>
  <c r="AM65" i="141" s="1"/>
  <c r="AO65" i="141" s="1"/>
  <c r="S65" i="141"/>
  <c r="N65" i="141"/>
  <c r="K65" i="141"/>
  <c r="L65" i="141" s="1"/>
  <c r="P65" i="141" s="1"/>
  <c r="F65" i="141"/>
  <c r="AT64" i="141"/>
  <c r="AK64" i="141"/>
  <c r="AM64" i="141" s="1"/>
  <c r="AO64" i="141" s="1"/>
  <c r="S64" i="141"/>
  <c r="N64" i="141"/>
  <c r="K64" i="141"/>
  <c r="L64" i="141" s="1"/>
  <c r="P64" i="141" s="1"/>
  <c r="D64" i="141"/>
  <c r="F64" i="141" s="1"/>
  <c r="AT63" i="141"/>
  <c r="AK63" i="141"/>
  <c r="AM63" i="141" s="1"/>
  <c r="AO63" i="141" s="1"/>
  <c r="S63" i="141"/>
  <c r="N63" i="141"/>
  <c r="K63" i="141"/>
  <c r="L63" i="141" s="1"/>
  <c r="P63" i="141" s="1"/>
  <c r="D63" i="141"/>
  <c r="AT62" i="141"/>
  <c r="AF62" i="141"/>
  <c r="AF84" i="141" s="1"/>
  <c r="S62" i="141"/>
  <c r="N62" i="141"/>
  <c r="K62" i="141"/>
  <c r="L62" i="141" s="1"/>
  <c r="F62" i="141"/>
  <c r="AY61" i="141"/>
  <c r="AT61" i="141"/>
  <c r="AO61" i="141"/>
  <c r="AK61" i="141"/>
  <c r="AN61" i="141" s="1"/>
  <c r="BC60" i="141"/>
  <c r="BB60" i="141"/>
  <c r="BA60" i="141"/>
  <c r="AZ60" i="141"/>
  <c r="AX60" i="141"/>
  <c r="AW60" i="141"/>
  <c r="AV60" i="141"/>
  <c r="AU60" i="141"/>
  <c r="AS60" i="141"/>
  <c r="AR60" i="141"/>
  <c r="AQ60" i="141"/>
  <c r="AP60" i="141"/>
  <c r="AL60" i="141"/>
  <c r="AJ60" i="141"/>
  <c r="AH60" i="141"/>
  <c r="AG60" i="141"/>
  <c r="AF60" i="141"/>
  <c r="AE60" i="141"/>
  <c r="AD60" i="141"/>
  <c r="AC60" i="141"/>
  <c r="AB60" i="141"/>
  <c r="AA60" i="141"/>
  <c r="Z60" i="141"/>
  <c r="Y60" i="141"/>
  <c r="X60" i="141"/>
  <c r="W60" i="141"/>
  <c r="R60" i="141"/>
  <c r="Q60" i="141"/>
  <c r="J60" i="141"/>
  <c r="I60" i="141"/>
  <c r="H60" i="141"/>
  <c r="E60" i="141"/>
  <c r="AT59" i="141"/>
  <c r="AK59" i="141"/>
  <c r="AM59" i="141" s="1"/>
  <c r="AO59" i="141" s="1"/>
  <c r="N59" i="141"/>
  <c r="U59" i="141" s="1"/>
  <c r="V59" i="141" s="1"/>
  <c r="F59" i="141"/>
  <c r="AT58" i="141"/>
  <c r="AK58" i="141"/>
  <c r="AM58" i="141" s="1"/>
  <c r="AO58" i="141" s="1"/>
  <c r="N58" i="141"/>
  <c r="F58" i="141"/>
  <c r="AT57" i="141"/>
  <c r="AK57" i="141"/>
  <c r="AM57" i="141" s="1"/>
  <c r="AO57" i="141" s="1"/>
  <c r="N57" i="141"/>
  <c r="U57" i="141" s="1"/>
  <c r="F57" i="141"/>
  <c r="AT56" i="141"/>
  <c r="AK56" i="141"/>
  <c r="AM56" i="141" s="1"/>
  <c r="AO56" i="141" s="1"/>
  <c r="N56" i="141"/>
  <c r="U56" i="141" s="1"/>
  <c r="V56" i="141" s="1"/>
  <c r="F56" i="141"/>
  <c r="AT55" i="141"/>
  <c r="AK55" i="141"/>
  <c r="AM55" i="141" s="1"/>
  <c r="AO55" i="141" s="1"/>
  <c r="U55" i="141"/>
  <c r="O55" i="141"/>
  <c r="F55" i="141"/>
  <c r="AT54" i="141"/>
  <c r="AK54" i="141"/>
  <c r="AM54" i="141" s="1"/>
  <c r="AO54" i="141" s="1"/>
  <c r="N54" i="141"/>
  <c r="F54" i="141"/>
  <c r="AT53" i="141"/>
  <c r="AK53" i="141"/>
  <c r="AM53" i="141" s="1"/>
  <c r="AO53" i="141" s="1"/>
  <c r="S53" i="141"/>
  <c r="N53" i="141"/>
  <c r="K53" i="141"/>
  <c r="L53" i="141" s="1"/>
  <c r="G53" i="141"/>
  <c r="D53" i="141"/>
  <c r="AT52" i="141"/>
  <c r="AK52" i="141"/>
  <c r="AM52" i="141" s="1"/>
  <c r="AO52" i="141" s="1"/>
  <c r="S52" i="141"/>
  <c r="N52" i="141"/>
  <c r="K52" i="141"/>
  <c r="L52" i="141" s="1"/>
  <c r="P52" i="141" s="1"/>
  <c r="F52" i="141"/>
  <c r="AT51" i="141"/>
  <c r="AK51" i="141"/>
  <c r="AM51" i="141" s="1"/>
  <c r="AO51" i="141" s="1"/>
  <c r="S51" i="141"/>
  <c r="N51" i="141"/>
  <c r="K51" i="141"/>
  <c r="L51" i="141" s="1"/>
  <c r="F51" i="141"/>
  <c r="AT50" i="141"/>
  <c r="AI50" i="141"/>
  <c r="AK50" i="141" s="1"/>
  <c r="AM50" i="141" s="1"/>
  <c r="AO50" i="141" s="1"/>
  <c r="S50" i="141"/>
  <c r="K50" i="141"/>
  <c r="L50" i="141" s="1"/>
  <c r="P50" i="141" s="1"/>
  <c r="F50" i="141"/>
  <c r="AT49" i="141"/>
  <c r="AK49" i="141"/>
  <c r="AM49" i="141" s="1"/>
  <c r="AO49" i="141" s="1"/>
  <c r="S49" i="141"/>
  <c r="N49" i="141"/>
  <c r="K49" i="141"/>
  <c r="L49" i="141" s="1"/>
  <c r="F49" i="141"/>
  <c r="AT48" i="141"/>
  <c r="AK48" i="141"/>
  <c r="AM48" i="141" s="1"/>
  <c r="AO48" i="141" s="1"/>
  <c r="S48" i="141"/>
  <c r="N48" i="141"/>
  <c r="K48" i="141"/>
  <c r="L48" i="141" s="1"/>
  <c r="P48" i="141" s="1"/>
  <c r="D48" i="141"/>
  <c r="F48" i="141" s="1"/>
  <c r="AT47" i="141"/>
  <c r="AK47" i="141"/>
  <c r="AM47" i="141" s="1"/>
  <c r="AO47" i="141" s="1"/>
  <c r="S47" i="141"/>
  <c r="K47" i="141"/>
  <c r="L47" i="141" s="1"/>
  <c r="F47" i="141"/>
  <c r="AT46" i="141"/>
  <c r="AK46" i="141"/>
  <c r="AM46" i="141" s="1"/>
  <c r="AO46" i="141" s="1"/>
  <c r="S46" i="141"/>
  <c r="N46" i="141"/>
  <c r="K46" i="141"/>
  <c r="L46" i="141" s="1"/>
  <c r="P46" i="141" s="1"/>
  <c r="F46" i="141"/>
  <c r="AT45" i="141"/>
  <c r="AI45" i="141"/>
  <c r="AK45" i="141" s="1"/>
  <c r="AM45" i="141" s="1"/>
  <c r="AO45" i="141" s="1"/>
  <c r="S45" i="141"/>
  <c r="N45" i="141"/>
  <c r="K45" i="141"/>
  <c r="L45" i="141" s="1"/>
  <c r="P45" i="141" s="1"/>
  <c r="F45" i="141"/>
  <c r="AT44" i="141"/>
  <c r="AK44" i="141"/>
  <c r="AM44" i="141" s="1"/>
  <c r="AO44" i="141" s="1"/>
  <c r="S44" i="141"/>
  <c r="K44" i="141"/>
  <c r="L44" i="141" s="1"/>
  <c r="P44" i="141" s="1"/>
  <c r="D44" i="141"/>
  <c r="AT43" i="141"/>
  <c r="AK43" i="141"/>
  <c r="AM43" i="141" s="1"/>
  <c r="AO43" i="141" s="1"/>
  <c r="S43" i="141"/>
  <c r="N43" i="141"/>
  <c r="K43" i="141"/>
  <c r="L43" i="141" s="1"/>
  <c r="F43" i="141"/>
  <c r="AT42" i="141"/>
  <c r="AK42" i="141"/>
  <c r="AM42" i="141" s="1"/>
  <c r="AO42" i="141" s="1"/>
  <c r="S42" i="141"/>
  <c r="K42" i="141"/>
  <c r="L42" i="141" s="1"/>
  <c r="P42" i="141" s="1"/>
  <c r="D42" i="141"/>
  <c r="AT41" i="141"/>
  <c r="AK41" i="141"/>
  <c r="AM41" i="141" s="1"/>
  <c r="AO41" i="141" s="1"/>
  <c r="S41" i="141"/>
  <c r="N41" i="141"/>
  <c r="K41" i="141"/>
  <c r="L41" i="141" s="1"/>
  <c r="F41" i="141"/>
  <c r="AT40" i="141"/>
  <c r="AK40" i="141"/>
  <c r="AM40" i="141" s="1"/>
  <c r="AO40" i="141" s="1"/>
  <c r="S40" i="141"/>
  <c r="K40" i="141"/>
  <c r="L40" i="141" s="1"/>
  <c r="F40" i="141"/>
  <c r="AT39" i="141"/>
  <c r="AK39" i="141"/>
  <c r="AM39" i="141" s="1"/>
  <c r="AO39" i="141" s="1"/>
  <c r="S39" i="141"/>
  <c r="K39" i="141"/>
  <c r="L39" i="141" s="1"/>
  <c r="F39" i="141"/>
  <c r="AT38" i="141"/>
  <c r="AK38" i="141"/>
  <c r="AM38" i="141" s="1"/>
  <c r="AO38" i="141" s="1"/>
  <c r="S38" i="141"/>
  <c r="K38" i="141"/>
  <c r="L38" i="141" s="1"/>
  <c r="P38" i="141" s="1"/>
  <c r="F38" i="141"/>
  <c r="AT37" i="141"/>
  <c r="AK37" i="141"/>
  <c r="AM37" i="141" s="1"/>
  <c r="AO37" i="141" s="1"/>
  <c r="S37" i="141"/>
  <c r="N37" i="141"/>
  <c r="K37" i="141"/>
  <c r="L37" i="141" s="1"/>
  <c r="P37" i="141" s="1"/>
  <c r="F37" i="141"/>
  <c r="AT36" i="141"/>
  <c r="AK36" i="141"/>
  <c r="AM36" i="141" s="1"/>
  <c r="AO36" i="141" s="1"/>
  <c r="S36" i="141"/>
  <c r="K36" i="141"/>
  <c r="L36" i="141" s="1"/>
  <c r="F36" i="141"/>
  <c r="AT35" i="141"/>
  <c r="AK35" i="141"/>
  <c r="AM35" i="141" s="1"/>
  <c r="AO35" i="141" s="1"/>
  <c r="S35" i="141"/>
  <c r="N35" i="141"/>
  <c r="K35" i="141"/>
  <c r="L35" i="141" s="1"/>
  <c r="P35" i="141" s="1"/>
  <c r="F35" i="141"/>
  <c r="AT34" i="141"/>
  <c r="AK34" i="141"/>
  <c r="AM34" i="141" s="1"/>
  <c r="AO34" i="141" s="1"/>
  <c r="S34" i="141"/>
  <c r="N34" i="141"/>
  <c r="K34" i="141"/>
  <c r="L34" i="141" s="1"/>
  <c r="P34" i="141" s="1"/>
  <c r="F34" i="141"/>
  <c r="AT33" i="141"/>
  <c r="AK33" i="141"/>
  <c r="AM33" i="141" s="1"/>
  <c r="AO33" i="141" s="1"/>
  <c r="S33" i="141"/>
  <c r="K33" i="141"/>
  <c r="L33" i="141" s="1"/>
  <c r="F33" i="141"/>
  <c r="AT32" i="141"/>
  <c r="AI32" i="141"/>
  <c r="S32" i="141"/>
  <c r="K32" i="141"/>
  <c r="L32" i="141" s="1"/>
  <c r="P32" i="141" s="1"/>
  <c r="F32" i="141"/>
  <c r="AT31" i="141"/>
  <c r="AK31" i="141"/>
  <c r="AM31" i="141" s="1"/>
  <c r="AO31" i="141" s="1"/>
  <c r="S31" i="141"/>
  <c r="N31" i="141"/>
  <c r="K31" i="141"/>
  <c r="L31" i="141" s="1"/>
  <c r="P31" i="141" s="1"/>
  <c r="D31" i="141"/>
  <c r="AT30" i="141"/>
  <c r="AK30" i="141"/>
  <c r="AM30" i="141" s="1"/>
  <c r="AO30" i="141" s="1"/>
  <c r="S30" i="141"/>
  <c r="K30" i="141"/>
  <c r="L30" i="141" s="1"/>
  <c r="P30" i="141" s="1"/>
  <c r="F30" i="141"/>
  <c r="AT29" i="141"/>
  <c r="AK29" i="141"/>
  <c r="AM29" i="141" s="1"/>
  <c r="AO29" i="141" s="1"/>
  <c r="S29" i="141"/>
  <c r="N29" i="141"/>
  <c r="K29" i="141"/>
  <c r="L29" i="141" s="1"/>
  <c r="P29" i="141" s="1"/>
  <c r="D29" i="141"/>
  <c r="AT28" i="141"/>
  <c r="AK28" i="141"/>
  <c r="AM28" i="141" s="1"/>
  <c r="AO28" i="141" s="1"/>
  <c r="S28" i="141"/>
  <c r="N28" i="141"/>
  <c r="K28" i="141"/>
  <c r="L28" i="141" s="1"/>
  <c r="P28" i="141" s="1"/>
  <c r="F28" i="141"/>
  <c r="AT27" i="141"/>
  <c r="AK27" i="141"/>
  <c r="AM27" i="141" s="1"/>
  <c r="AO27" i="141" s="1"/>
  <c r="S27" i="141"/>
  <c r="K27" i="141"/>
  <c r="L27" i="141" s="1"/>
  <c r="P27" i="141" s="1"/>
  <c r="D27" i="141"/>
  <c r="F27" i="141" s="1"/>
  <c r="AT26" i="141"/>
  <c r="AK26" i="141"/>
  <c r="AM26" i="141" s="1"/>
  <c r="AO26" i="141" s="1"/>
  <c r="S26" i="141"/>
  <c r="N26" i="141"/>
  <c r="K26" i="141"/>
  <c r="L26" i="141" s="1"/>
  <c r="P26" i="141" s="1"/>
  <c r="F26" i="141"/>
  <c r="AT25" i="141"/>
  <c r="AK25" i="141"/>
  <c r="AM25" i="141" s="1"/>
  <c r="AO25" i="141" s="1"/>
  <c r="S25" i="141"/>
  <c r="N25" i="141"/>
  <c r="K25" i="141"/>
  <c r="L25" i="141" s="1"/>
  <c r="P25" i="141" s="1"/>
  <c r="F25" i="141"/>
  <c r="AT24" i="141"/>
  <c r="AK24" i="141"/>
  <c r="AM24" i="141" s="1"/>
  <c r="AO24" i="141" s="1"/>
  <c r="S24" i="141"/>
  <c r="K24" i="141"/>
  <c r="L24" i="141" s="1"/>
  <c r="F24" i="141"/>
  <c r="AT23" i="141"/>
  <c r="AK23" i="141"/>
  <c r="AM23" i="141" s="1"/>
  <c r="AO23" i="141" s="1"/>
  <c r="S23" i="141"/>
  <c r="K23" i="141"/>
  <c r="L23" i="141" s="1"/>
  <c r="P23" i="141" s="1"/>
  <c r="F23" i="141"/>
  <c r="AT22" i="141"/>
  <c r="AK22" i="141"/>
  <c r="AM22" i="141" s="1"/>
  <c r="AO22" i="141" s="1"/>
  <c r="S22" i="141"/>
  <c r="N22" i="141"/>
  <c r="K22" i="141"/>
  <c r="L22" i="141" s="1"/>
  <c r="P22" i="141" s="1"/>
  <c r="D22" i="141"/>
  <c r="F22" i="141" s="1"/>
  <c r="AT21" i="141"/>
  <c r="AK21" i="141"/>
  <c r="AM21" i="141" s="1"/>
  <c r="AO21" i="141" s="1"/>
  <c r="S21" i="141"/>
  <c r="N21" i="141"/>
  <c r="K21" i="141"/>
  <c r="L21" i="141" s="1"/>
  <c r="G21" i="141"/>
  <c r="G60" i="141" s="1"/>
  <c r="D21" i="141"/>
  <c r="AT20" i="141"/>
  <c r="AK20" i="141"/>
  <c r="AM20" i="141" s="1"/>
  <c r="AO20" i="141" s="1"/>
  <c r="S20" i="141"/>
  <c r="N20" i="141"/>
  <c r="K20" i="141"/>
  <c r="L20" i="141" s="1"/>
  <c r="P20" i="141" s="1"/>
  <c r="D20" i="141"/>
  <c r="AT19" i="141"/>
  <c r="AK19" i="141"/>
  <c r="AM19" i="141" s="1"/>
  <c r="AO19" i="141" s="1"/>
  <c r="S19" i="141"/>
  <c r="N19" i="141"/>
  <c r="K19" i="141"/>
  <c r="L19" i="141" s="1"/>
  <c r="D19" i="141"/>
  <c r="F19" i="141" s="1"/>
  <c r="AT18" i="141"/>
  <c r="AK18" i="141"/>
  <c r="AM18" i="141" s="1"/>
  <c r="AO18" i="141" s="1"/>
  <c r="S18" i="141"/>
  <c r="K18" i="141"/>
  <c r="L18" i="141" s="1"/>
  <c r="P18" i="141" s="1"/>
  <c r="D18" i="141"/>
  <c r="AT17" i="141"/>
  <c r="AK17" i="141"/>
  <c r="AM17" i="141" s="1"/>
  <c r="AO17" i="141" s="1"/>
  <c r="S17" i="141"/>
  <c r="N17" i="141"/>
  <c r="K17" i="141"/>
  <c r="L17" i="141" s="1"/>
  <c r="P17" i="141" s="1"/>
  <c r="F17" i="141"/>
  <c r="AT16" i="141"/>
  <c r="AK16" i="141"/>
  <c r="AM16" i="141" s="1"/>
  <c r="AO16" i="141" s="1"/>
  <c r="S16" i="141"/>
  <c r="K16" i="141"/>
  <c r="L16" i="141" s="1"/>
  <c r="P16" i="141" s="1"/>
  <c r="F16" i="141"/>
  <c r="AT15" i="141"/>
  <c r="AK15" i="141"/>
  <c r="AM15" i="141" s="1"/>
  <c r="AO15" i="141" s="1"/>
  <c r="S15" i="141"/>
  <c r="N15" i="141"/>
  <c r="K15" i="141"/>
  <c r="L15" i="141" s="1"/>
  <c r="D15" i="141"/>
  <c r="F15" i="141" s="1"/>
  <c r="AT14" i="141"/>
  <c r="AK14" i="141"/>
  <c r="AM14" i="141" s="1"/>
  <c r="AO14" i="141" s="1"/>
  <c r="S14" i="141"/>
  <c r="N14" i="141"/>
  <c r="K14" i="141"/>
  <c r="L14" i="141" s="1"/>
  <c r="P14" i="141" s="1"/>
  <c r="F14" i="141"/>
  <c r="AT13" i="141"/>
  <c r="AK13" i="141"/>
  <c r="AM13" i="141" s="1"/>
  <c r="AO13" i="141" s="1"/>
  <c r="S13" i="141"/>
  <c r="N13" i="141"/>
  <c r="K13" i="141"/>
  <c r="L13" i="141" s="1"/>
  <c r="P13" i="141" s="1"/>
  <c r="M13" i="141" s="1"/>
  <c r="D13" i="141"/>
  <c r="AT12" i="141"/>
  <c r="AK12" i="141"/>
  <c r="AM12" i="141" s="1"/>
  <c r="AO12" i="141" s="1"/>
  <c r="S12" i="141"/>
  <c r="N12" i="141"/>
  <c r="K12" i="141"/>
  <c r="L12" i="141" s="1"/>
  <c r="D12" i="141"/>
  <c r="F12" i="141" s="1"/>
  <c r="AT11" i="141"/>
  <c r="AK11" i="141"/>
  <c r="AM11" i="141" s="1"/>
  <c r="AO11" i="141" s="1"/>
  <c r="S11" i="141"/>
  <c r="N11" i="141"/>
  <c r="K11" i="141"/>
  <c r="L11" i="141" s="1"/>
  <c r="P11" i="141" s="1"/>
  <c r="F11" i="141"/>
  <c r="AT10" i="141"/>
  <c r="AK10" i="141"/>
  <c r="AM10" i="141" s="1"/>
  <c r="AO10" i="141" s="1"/>
  <c r="S10" i="141"/>
  <c r="N10" i="141"/>
  <c r="K10" i="141"/>
  <c r="L10" i="141" s="1"/>
  <c r="P10" i="141" s="1"/>
  <c r="D10" i="141"/>
  <c r="AT9" i="141"/>
  <c r="AK9" i="141"/>
  <c r="AM9" i="141" s="1"/>
  <c r="AO9" i="141" s="1"/>
  <c r="S9" i="141"/>
  <c r="K9" i="141"/>
  <c r="L9" i="141" s="1"/>
  <c r="P9" i="141" s="1"/>
  <c r="F9" i="141"/>
  <c r="AT8" i="141"/>
  <c r="AK8" i="141"/>
  <c r="S8" i="141"/>
  <c r="N8" i="141"/>
  <c r="K8" i="141"/>
  <c r="L8" i="141" s="1"/>
  <c r="P8" i="141" s="1"/>
  <c r="F8" i="141"/>
  <c r="A8" i="141"/>
  <c r="A9" i="141" s="1"/>
  <c r="A10" i="141" s="1"/>
  <c r="A11" i="141" s="1"/>
  <c r="A12" i="141" s="1"/>
  <c r="A13" i="141" s="1"/>
  <c r="A14" i="141" s="1"/>
  <c r="A15" i="141" s="1"/>
  <c r="A16" i="141" s="1"/>
  <c r="A17" i="141" s="1"/>
  <c r="A18" i="141" s="1"/>
  <c r="A19" i="141" s="1"/>
  <c r="A20" i="141" s="1"/>
  <c r="A21" i="141" s="1"/>
  <c r="A22" i="141" s="1"/>
  <c r="A23" i="141" s="1"/>
  <c r="A24" i="141" s="1"/>
  <c r="A25" i="141" s="1"/>
  <c r="A26" i="141" s="1"/>
  <c r="A27" i="141" s="1"/>
  <c r="A28" i="141" s="1"/>
  <c r="A29" i="141" s="1"/>
  <c r="A30" i="141" s="1"/>
  <c r="A31" i="141" s="1"/>
  <c r="A32" i="141" s="1"/>
  <c r="A33" i="141" s="1"/>
  <c r="A34" i="141" s="1"/>
  <c r="A35" i="141" s="1"/>
  <c r="A36" i="141" s="1"/>
  <c r="A37" i="141" s="1"/>
  <c r="A38" i="141" s="1"/>
  <c r="A39" i="141" s="1"/>
  <c r="A40" i="141" s="1"/>
  <c r="A41" i="141" s="1"/>
  <c r="A42" i="141" s="1"/>
  <c r="A43" i="141" s="1"/>
  <c r="A44" i="141" s="1"/>
  <c r="A45" i="141" s="1"/>
  <c r="A46" i="141" s="1"/>
  <c r="A47" i="141" s="1"/>
  <c r="A48" i="141" s="1"/>
  <c r="A49" i="141" s="1"/>
  <c r="A50" i="141" s="1"/>
  <c r="A51" i="141" s="1"/>
  <c r="A52" i="141" s="1"/>
  <c r="A53" i="141" s="1"/>
  <c r="A54" i="141" s="1"/>
  <c r="A55" i="141" s="1"/>
  <c r="A56" i="141" s="1"/>
  <c r="A57" i="141" s="1"/>
  <c r="A58" i="141" s="1"/>
  <c r="A59" i="141" s="1"/>
  <c r="A60" i="141" s="1"/>
  <c r="A62" i="141" s="1"/>
  <c r="A63" i="141" s="1"/>
  <c r="A64" i="141" s="1"/>
  <c r="A65" i="141" s="1"/>
  <c r="A66" i="141" s="1"/>
  <c r="A67" i="141" s="1"/>
  <c r="A68" i="141" s="1"/>
  <c r="A69" i="141" s="1"/>
  <c r="A70" i="141" s="1"/>
  <c r="A71" i="141" s="1"/>
  <c r="A72" i="141" s="1"/>
  <c r="A73" i="141" s="1"/>
  <c r="A74" i="141" s="1"/>
  <c r="A75" i="141" s="1"/>
  <c r="A76" i="141" s="1"/>
  <c r="A77" i="141" s="1"/>
  <c r="A78" i="141" s="1"/>
  <c r="A79" i="141" s="1"/>
  <c r="A80" i="141" s="1"/>
  <c r="A81" i="141" s="1"/>
  <c r="A82" i="141" s="1"/>
  <c r="A83" i="141" s="1"/>
  <c r="A86" i="141" s="1"/>
  <c r="A87" i="141" s="1"/>
  <c r="A88" i="141" s="1"/>
  <c r="A89" i="141" s="1"/>
  <c r="A90" i="141" s="1"/>
  <c r="A91" i="141" s="1"/>
  <c r="A92" i="141" s="1"/>
  <c r="A93" i="141" s="1"/>
  <c r="A94" i="141" s="1"/>
  <c r="A95" i="141" s="1"/>
  <c r="A96" i="141" s="1"/>
  <c r="A97" i="141" s="1"/>
  <c r="A98" i="141" s="1"/>
  <c r="A99" i="141" s="1"/>
  <c r="A100" i="141" s="1"/>
  <c r="A101" i="141" s="1"/>
  <c r="A102" i="141" s="1"/>
  <c r="AZ19" i="142"/>
  <c r="AY19" i="142"/>
  <c r="AX19" i="142"/>
  <c r="AW19" i="142"/>
  <c r="AV19" i="142"/>
  <c r="AU19" i="142"/>
  <c r="AT19" i="142"/>
  <c r="AS19" i="142"/>
  <c r="AR19" i="142"/>
  <c r="AQ19" i="142"/>
  <c r="AP19" i="142"/>
  <c r="AO19" i="142"/>
  <c r="AN19" i="142"/>
  <c r="AM19" i="142"/>
  <c r="AL19" i="142"/>
  <c r="AK19" i="142"/>
  <c r="AJ19" i="142"/>
  <c r="AI19" i="142"/>
  <c r="AH19" i="142"/>
  <c r="AG19" i="142"/>
  <c r="AF19" i="142"/>
  <c r="AE19" i="142"/>
  <c r="AD19" i="142"/>
  <c r="AC19" i="142"/>
  <c r="AB19" i="142"/>
  <c r="AA19" i="142"/>
  <c r="Z19" i="142"/>
  <c r="Y19" i="142"/>
  <c r="X19" i="142"/>
  <c r="W19" i="142"/>
  <c r="V19" i="142"/>
  <c r="U19" i="142"/>
  <c r="T19" i="142"/>
  <c r="S19" i="142"/>
  <c r="R19" i="142"/>
  <c r="Q19" i="142"/>
  <c r="P19" i="142"/>
  <c r="O19" i="142"/>
  <c r="N19" i="142"/>
  <c r="M19" i="142"/>
  <c r="L19" i="142"/>
  <c r="K19" i="142"/>
  <c r="J19" i="142"/>
  <c r="I19" i="142"/>
  <c r="H19" i="142"/>
  <c r="G19" i="142"/>
  <c r="F19" i="142"/>
  <c r="E19" i="142"/>
  <c r="D19" i="142"/>
  <c r="C19" i="142"/>
  <c r="B19" i="142"/>
  <c r="AZ18" i="142"/>
  <c r="AY18" i="142"/>
  <c r="AX18" i="142"/>
  <c r="AW18" i="142"/>
  <c r="AV18" i="142"/>
  <c r="AU18" i="142"/>
  <c r="AT18" i="142"/>
  <c r="AS18" i="142"/>
  <c r="AR18" i="142"/>
  <c r="AQ18" i="142"/>
  <c r="AP18" i="142"/>
  <c r="AO18" i="142"/>
  <c r="AN18" i="142"/>
  <c r="AM18" i="142"/>
  <c r="AL18" i="142"/>
  <c r="AK18" i="142"/>
  <c r="AJ18" i="142"/>
  <c r="AI18" i="142"/>
  <c r="AH18" i="142"/>
  <c r="AG18" i="142"/>
  <c r="AF18" i="142"/>
  <c r="AE18" i="142"/>
  <c r="AD18" i="142"/>
  <c r="AC18" i="142"/>
  <c r="AB18" i="142"/>
  <c r="AA18" i="142"/>
  <c r="Z18" i="142"/>
  <c r="Y18" i="142"/>
  <c r="X18" i="142"/>
  <c r="W18" i="142"/>
  <c r="V18" i="142"/>
  <c r="U18" i="142"/>
  <c r="T18" i="142"/>
  <c r="S18" i="142"/>
  <c r="R18" i="142"/>
  <c r="Q18" i="142"/>
  <c r="P18" i="142"/>
  <c r="O18" i="142"/>
  <c r="N18" i="142"/>
  <c r="M18" i="142"/>
  <c r="L18" i="142"/>
  <c r="K18" i="142"/>
  <c r="J18" i="142"/>
  <c r="I18" i="142"/>
  <c r="H18" i="142"/>
  <c r="G18" i="142"/>
  <c r="F18" i="142"/>
  <c r="E18" i="142"/>
  <c r="D18" i="142"/>
  <c r="C18" i="142"/>
  <c r="B18" i="142"/>
  <c r="AZ17" i="142"/>
  <c r="AY17" i="142"/>
  <c r="AX17" i="142"/>
  <c r="AW17" i="142"/>
  <c r="AV17" i="142"/>
  <c r="AU17" i="142"/>
  <c r="AT17" i="142"/>
  <c r="AS17" i="142"/>
  <c r="AR17" i="142"/>
  <c r="AQ17" i="142"/>
  <c r="AP17" i="142"/>
  <c r="AO17" i="142"/>
  <c r="AN17" i="142"/>
  <c r="AM17" i="142"/>
  <c r="AL17" i="142"/>
  <c r="AK17" i="142"/>
  <c r="AJ17" i="142"/>
  <c r="AI17" i="142"/>
  <c r="AH17" i="142"/>
  <c r="AG17" i="142"/>
  <c r="AF17" i="142"/>
  <c r="AE17" i="142"/>
  <c r="AD17" i="142"/>
  <c r="AC17" i="142"/>
  <c r="AB17" i="142"/>
  <c r="AA17" i="142"/>
  <c r="Z17" i="142"/>
  <c r="Y17" i="142"/>
  <c r="X17" i="142"/>
  <c r="W17" i="142"/>
  <c r="V17" i="142"/>
  <c r="U17" i="142"/>
  <c r="T17" i="142"/>
  <c r="S17" i="142"/>
  <c r="R17" i="142"/>
  <c r="Q17" i="142"/>
  <c r="P17" i="142"/>
  <c r="O17" i="142"/>
  <c r="N17" i="142"/>
  <c r="M17" i="142"/>
  <c r="L17" i="142"/>
  <c r="K17" i="142"/>
  <c r="J17" i="142"/>
  <c r="I17" i="142"/>
  <c r="H17" i="142"/>
  <c r="G17" i="142"/>
  <c r="F17" i="142"/>
  <c r="E17" i="142"/>
  <c r="D17" i="142"/>
  <c r="C17" i="142"/>
  <c r="B17" i="142"/>
  <c r="AZ16" i="142"/>
  <c r="AY16" i="142"/>
  <c r="AX16" i="142"/>
  <c r="AW16" i="142"/>
  <c r="AV16" i="142"/>
  <c r="AU16" i="142"/>
  <c r="AT16" i="142"/>
  <c r="AS16" i="142"/>
  <c r="AR16" i="142"/>
  <c r="AQ16" i="142"/>
  <c r="AP16" i="142"/>
  <c r="AO16" i="142"/>
  <c r="AN16" i="142"/>
  <c r="AM16" i="142"/>
  <c r="AL16" i="142"/>
  <c r="AK16" i="142"/>
  <c r="AJ16" i="142"/>
  <c r="AI16" i="142"/>
  <c r="AH16" i="142"/>
  <c r="AG16" i="142"/>
  <c r="AF16" i="142"/>
  <c r="AE16" i="142"/>
  <c r="AD16" i="142"/>
  <c r="AC16" i="142"/>
  <c r="AB16" i="142"/>
  <c r="AA16" i="142"/>
  <c r="Z16" i="142"/>
  <c r="Y16" i="142"/>
  <c r="X16" i="142"/>
  <c r="W16" i="142"/>
  <c r="V16" i="142"/>
  <c r="U16" i="142"/>
  <c r="T16" i="142"/>
  <c r="S16" i="142"/>
  <c r="R16" i="142"/>
  <c r="Q16" i="142"/>
  <c r="P16" i="142"/>
  <c r="O16" i="142"/>
  <c r="N16" i="142"/>
  <c r="M16" i="142"/>
  <c r="L16" i="142"/>
  <c r="K16" i="142"/>
  <c r="J16" i="142"/>
  <c r="I16" i="142"/>
  <c r="H16" i="142"/>
  <c r="G16" i="142"/>
  <c r="F16" i="142"/>
  <c r="E16" i="142"/>
  <c r="D16" i="142"/>
  <c r="C16" i="142"/>
  <c r="B16" i="142"/>
  <c r="AZ15" i="142"/>
  <c r="AY15" i="142"/>
  <c r="AX15" i="142"/>
  <c r="AW15" i="142"/>
  <c r="AV15" i="142"/>
  <c r="AU15" i="142"/>
  <c r="AT15" i="142"/>
  <c r="AS15" i="142"/>
  <c r="AR15" i="142"/>
  <c r="AQ15" i="142"/>
  <c r="AP15" i="142"/>
  <c r="AO15" i="142"/>
  <c r="AN15" i="142"/>
  <c r="AM15" i="142"/>
  <c r="AL15" i="142"/>
  <c r="AK15" i="142"/>
  <c r="AJ15" i="142"/>
  <c r="AI15" i="142"/>
  <c r="AH15" i="142"/>
  <c r="AG15" i="142"/>
  <c r="AF15" i="142"/>
  <c r="AE15" i="142"/>
  <c r="AD15" i="142"/>
  <c r="AC15" i="142"/>
  <c r="AB15" i="142"/>
  <c r="AA15" i="142"/>
  <c r="Z15" i="142"/>
  <c r="Y15" i="142"/>
  <c r="X15" i="142"/>
  <c r="W15" i="142"/>
  <c r="V15" i="142"/>
  <c r="U15" i="142"/>
  <c r="T15" i="142"/>
  <c r="S15" i="142"/>
  <c r="R15" i="142"/>
  <c r="Q15" i="142"/>
  <c r="P15" i="142"/>
  <c r="O15" i="142"/>
  <c r="N15" i="142"/>
  <c r="M15" i="142"/>
  <c r="L15" i="142"/>
  <c r="K15" i="142"/>
  <c r="J15" i="142"/>
  <c r="I15" i="142"/>
  <c r="H15" i="142"/>
  <c r="G15" i="142"/>
  <c r="F15" i="142"/>
  <c r="E15" i="142"/>
  <c r="D15" i="142"/>
  <c r="C15" i="142"/>
  <c r="B15" i="142"/>
  <c r="AZ14" i="142"/>
  <c r="AY14" i="142"/>
  <c r="AX14" i="142"/>
  <c r="AW14" i="142"/>
  <c r="AV14" i="142"/>
  <c r="AU14" i="142"/>
  <c r="AT14" i="142"/>
  <c r="AS14" i="142"/>
  <c r="AR14" i="142"/>
  <c r="AQ14" i="142"/>
  <c r="AP14" i="142"/>
  <c r="AO14" i="142"/>
  <c r="AN14" i="142"/>
  <c r="AM14" i="142"/>
  <c r="AL14" i="142"/>
  <c r="AK14" i="142"/>
  <c r="AJ14" i="142"/>
  <c r="AI14" i="142"/>
  <c r="AH14" i="142"/>
  <c r="AG14" i="142"/>
  <c r="AF14" i="142"/>
  <c r="AE14" i="142"/>
  <c r="AD14" i="142"/>
  <c r="AC14" i="142"/>
  <c r="AB14" i="142"/>
  <c r="AA14" i="142"/>
  <c r="Z14" i="142"/>
  <c r="Y14" i="142"/>
  <c r="X14" i="142"/>
  <c r="W14" i="142"/>
  <c r="V14" i="142"/>
  <c r="U14" i="142"/>
  <c r="T14" i="142"/>
  <c r="S14" i="142"/>
  <c r="R14" i="142"/>
  <c r="Q14" i="142"/>
  <c r="P14" i="142"/>
  <c r="O14" i="142"/>
  <c r="N14" i="142"/>
  <c r="M14" i="142"/>
  <c r="L14" i="142"/>
  <c r="K14" i="142"/>
  <c r="J14" i="142"/>
  <c r="I14" i="142"/>
  <c r="H14" i="142"/>
  <c r="G14" i="142"/>
  <c r="F14" i="142"/>
  <c r="E14" i="142"/>
  <c r="D14" i="142"/>
  <c r="C14" i="142"/>
  <c r="B14" i="142"/>
  <c r="AZ13" i="142"/>
  <c r="AY13" i="142"/>
  <c r="AX13" i="142"/>
  <c r="AW13" i="142"/>
  <c r="AV13" i="142"/>
  <c r="AU13" i="142"/>
  <c r="AT13" i="142"/>
  <c r="AS13" i="142"/>
  <c r="AR13" i="142"/>
  <c r="AQ13" i="142"/>
  <c r="AP13" i="142"/>
  <c r="AO13" i="142"/>
  <c r="AN13" i="142"/>
  <c r="AM13" i="142"/>
  <c r="AL13" i="142"/>
  <c r="AK13" i="142"/>
  <c r="AJ13" i="142"/>
  <c r="AI13" i="142"/>
  <c r="AH13" i="142"/>
  <c r="AG13" i="142"/>
  <c r="AF13" i="142"/>
  <c r="AE13" i="142"/>
  <c r="AD13" i="142"/>
  <c r="AC13" i="142"/>
  <c r="AB13" i="142"/>
  <c r="AA13" i="142"/>
  <c r="Z13" i="142"/>
  <c r="Y13" i="142"/>
  <c r="X13" i="142"/>
  <c r="W13" i="142"/>
  <c r="V13" i="142"/>
  <c r="U13" i="142"/>
  <c r="T13" i="142"/>
  <c r="S13" i="142"/>
  <c r="R13" i="142"/>
  <c r="Q13" i="142"/>
  <c r="P13" i="142"/>
  <c r="O13" i="142"/>
  <c r="N13" i="142"/>
  <c r="M13" i="142"/>
  <c r="L13" i="142"/>
  <c r="K13" i="142"/>
  <c r="J13" i="142"/>
  <c r="I13" i="142"/>
  <c r="H13" i="142"/>
  <c r="G13" i="142"/>
  <c r="F13" i="142"/>
  <c r="E13" i="142"/>
  <c r="D13" i="142"/>
  <c r="C13" i="142"/>
  <c r="B13" i="142"/>
  <c r="AZ12" i="142"/>
  <c r="AY12" i="142"/>
  <c r="AX12" i="142"/>
  <c r="AW12" i="142"/>
  <c r="AV12" i="142"/>
  <c r="AU12" i="142"/>
  <c r="AT12" i="142"/>
  <c r="AS12" i="142"/>
  <c r="AR12" i="142"/>
  <c r="AQ12" i="142"/>
  <c r="AP12" i="142"/>
  <c r="AO12" i="142"/>
  <c r="AN12" i="142"/>
  <c r="AM12" i="142"/>
  <c r="AL12" i="142"/>
  <c r="AK12" i="142"/>
  <c r="AJ12" i="142"/>
  <c r="AI12" i="142"/>
  <c r="AH12" i="142"/>
  <c r="AG12" i="142"/>
  <c r="AF12" i="142"/>
  <c r="AE12" i="142"/>
  <c r="AD12" i="142"/>
  <c r="AC12" i="142"/>
  <c r="AB12" i="142"/>
  <c r="AA12" i="142"/>
  <c r="Z12" i="142"/>
  <c r="Y12" i="142"/>
  <c r="X12" i="142"/>
  <c r="W12" i="142"/>
  <c r="V12" i="142"/>
  <c r="U12" i="142"/>
  <c r="T12" i="142"/>
  <c r="S12" i="142"/>
  <c r="R12" i="142"/>
  <c r="Q12" i="142"/>
  <c r="P12" i="142"/>
  <c r="O12" i="142"/>
  <c r="N12" i="142"/>
  <c r="M12" i="142"/>
  <c r="L12" i="142"/>
  <c r="K12" i="142"/>
  <c r="J12" i="142"/>
  <c r="I12" i="142"/>
  <c r="H12" i="142"/>
  <c r="G12" i="142"/>
  <c r="F12" i="142"/>
  <c r="E12" i="142"/>
  <c r="D12" i="142"/>
  <c r="C12" i="142"/>
  <c r="B12" i="142"/>
  <c r="AZ11" i="142"/>
  <c r="AY11" i="142"/>
  <c r="AX11" i="142"/>
  <c r="AW11" i="142"/>
  <c r="AV11" i="142"/>
  <c r="AU11" i="142"/>
  <c r="AT11" i="142"/>
  <c r="AS11" i="142"/>
  <c r="AR11" i="142"/>
  <c r="AQ11" i="142"/>
  <c r="AP11" i="142"/>
  <c r="AO11" i="142"/>
  <c r="AN11" i="142"/>
  <c r="AM11" i="142"/>
  <c r="AL11" i="142"/>
  <c r="AK11" i="142"/>
  <c r="AJ11" i="142"/>
  <c r="AI11" i="142"/>
  <c r="AH11" i="142"/>
  <c r="AG11" i="142"/>
  <c r="AF11" i="142"/>
  <c r="AE11" i="142"/>
  <c r="AD11" i="142"/>
  <c r="AC11" i="142"/>
  <c r="AB11" i="142"/>
  <c r="AA11" i="142"/>
  <c r="Z11" i="142"/>
  <c r="Y11" i="142"/>
  <c r="X11" i="142"/>
  <c r="W11" i="142"/>
  <c r="V11" i="142"/>
  <c r="U11" i="142"/>
  <c r="T11" i="142"/>
  <c r="S11" i="142"/>
  <c r="R11" i="142"/>
  <c r="Q11" i="142"/>
  <c r="P11" i="142"/>
  <c r="O11" i="142"/>
  <c r="N11" i="142"/>
  <c r="M11" i="142"/>
  <c r="L11" i="142"/>
  <c r="K11" i="142"/>
  <c r="J11" i="142"/>
  <c r="I11" i="142"/>
  <c r="H11" i="142"/>
  <c r="G11" i="142"/>
  <c r="F11" i="142"/>
  <c r="E11" i="142"/>
  <c r="D11" i="142"/>
  <c r="C11" i="142"/>
  <c r="B11" i="142"/>
  <c r="AZ10" i="142"/>
  <c r="AY10" i="142"/>
  <c r="AX10" i="142"/>
  <c r="AW10" i="142"/>
  <c r="AV10" i="142"/>
  <c r="AU10" i="142"/>
  <c r="AT10" i="142"/>
  <c r="AS10" i="142"/>
  <c r="AR10" i="142"/>
  <c r="AQ10" i="142"/>
  <c r="AP10" i="142"/>
  <c r="AO10" i="142"/>
  <c r="AN10" i="142"/>
  <c r="AM10" i="142"/>
  <c r="AL10" i="142"/>
  <c r="AK10" i="142"/>
  <c r="AJ10" i="142"/>
  <c r="AI10" i="142"/>
  <c r="AH10" i="142"/>
  <c r="AG10" i="142"/>
  <c r="AF10" i="142"/>
  <c r="AE10" i="142"/>
  <c r="AD10" i="142"/>
  <c r="AC10" i="142"/>
  <c r="AB10" i="142"/>
  <c r="AA10" i="142"/>
  <c r="Z10" i="142"/>
  <c r="Y10" i="142"/>
  <c r="X10" i="142"/>
  <c r="W10" i="142"/>
  <c r="V10" i="142"/>
  <c r="U10" i="142"/>
  <c r="T10" i="142"/>
  <c r="S10" i="142"/>
  <c r="R10" i="142"/>
  <c r="Q10" i="142"/>
  <c r="P10" i="142"/>
  <c r="O10" i="142"/>
  <c r="N10" i="142"/>
  <c r="M10" i="142"/>
  <c r="L10" i="142"/>
  <c r="K10" i="142"/>
  <c r="J10" i="142"/>
  <c r="I10" i="142"/>
  <c r="H10" i="142"/>
  <c r="G10" i="142"/>
  <c r="F10" i="142"/>
  <c r="E10" i="142"/>
  <c r="D10" i="142"/>
  <c r="C10" i="142"/>
  <c r="B10" i="142"/>
  <c r="AZ9" i="142"/>
  <c r="AY9" i="142"/>
  <c r="AX9" i="142"/>
  <c r="AW9" i="142"/>
  <c r="AV9" i="142"/>
  <c r="AU9" i="142"/>
  <c r="AT9" i="142"/>
  <c r="AS9" i="142"/>
  <c r="AR9" i="142"/>
  <c r="AQ9" i="142"/>
  <c r="AP9" i="142"/>
  <c r="AO9" i="142"/>
  <c r="AN9" i="142"/>
  <c r="AM9" i="142"/>
  <c r="AL9" i="142"/>
  <c r="AK9" i="142"/>
  <c r="AJ9" i="142"/>
  <c r="AI9" i="142"/>
  <c r="AH9" i="142"/>
  <c r="AG9" i="142"/>
  <c r="AF9" i="142"/>
  <c r="AE9" i="142"/>
  <c r="AD9" i="142"/>
  <c r="AC9" i="142"/>
  <c r="AB9" i="142"/>
  <c r="AA9" i="142"/>
  <c r="Z9" i="142"/>
  <c r="Y9" i="142"/>
  <c r="X9" i="142"/>
  <c r="W9" i="142"/>
  <c r="V9" i="142"/>
  <c r="U9" i="142"/>
  <c r="T9" i="142"/>
  <c r="S9" i="142"/>
  <c r="R9" i="142"/>
  <c r="Q9" i="142"/>
  <c r="P9" i="142"/>
  <c r="O9" i="142"/>
  <c r="N9" i="142"/>
  <c r="M9" i="142"/>
  <c r="L9" i="142"/>
  <c r="K9" i="142"/>
  <c r="J9" i="142"/>
  <c r="I9" i="142"/>
  <c r="H9" i="142"/>
  <c r="G9" i="142"/>
  <c r="F9" i="142"/>
  <c r="E9" i="142"/>
  <c r="D9" i="142"/>
  <c r="C9" i="142"/>
  <c r="B9" i="142"/>
  <c r="AZ8" i="142"/>
  <c r="AY8" i="142"/>
  <c r="AX8" i="142"/>
  <c r="AW8" i="142"/>
  <c r="AV8" i="142"/>
  <c r="AU8" i="142"/>
  <c r="AT8" i="142"/>
  <c r="AS8" i="142"/>
  <c r="AR8" i="142"/>
  <c r="AQ8" i="142"/>
  <c r="AP8" i="142"/>
  <c r="AO8" i="142"/>
  <c r="AN8" i="142"/>
  <c r="AM8" i="142"/>
  <c r="AL8" i="142"/>
  <c r="AK8" i="142"/>
  <c r="AJ8" i="142"/>
  <c r="AI8" i="142"/>
  <c r="AH8" i="142"/>
  <c r="AG8" i="142"/>
  <c r="AF8" i="142"/>
  <c r="AE8" i="142"/>
  <c r="AD8" i="142"/>
  <c r="AC8" i="142"/>
  <c r="AB8" i="142"/>
  <c r="AA8" i="142"/>
  <c r="Z8" i="142"/>
  <c r="Y8" i="142"/>
  <c r="X8" i="142"/>
  <c r="W8" i="142"/>
  <c r="V8" i="142"/>
  <c r="U8" i="142"/>
  <c r="T8" i="142"/>
  <c r="S8" i="142"/>
  <c r="R8" i="142"/>
  <c r="Q8" i="142"/>
  <c r="P8" i="142"/>
  <c r="O8" i="142"/>
  <c r="N8" i="142"/>
  <c r="M8" i="142"/>
  <c r="L8" i="142"/>
  <c r="K8" i="142"/>
  <c r="J8" i="142"/>
  <c r="I8" i="142"/>
  <c r="H8" i="142"/>
  <c r="G8" i="142"/>
  <c r="F8" i="142"/>
  <c r="E8" i="142"/>
  <c r="D8" i="142"/>
  <c r="C8" i="142"/>
  <c r="B8" i="142"/>
  <c r="AZ7" i="142"/>
  <c r="AY7" i="142"/>
  <c r="AX7" i="142"/>
  <c r="AW7" i="142"/>
  <c r="AV7" i="142"/>
  <c r="AU7" i="142"/>
  <c r="AT7" i="142"/>
  <c r="AS7" i="142"/>
  <c r="AR7" i="142"/>
  <c r="AQ7" i="142"/>
  <c r="AP7" i="142"/>
  <c r="AO7" i="142"/>
  <c r="AN7" i="142"/>
  <c r="AM7" i="142"/>
  <c r="AL7" i="142"/>
  <c r="AK7" i="142"/>
  <c r="AJ7" i="142"/>
  <c r="AI7" i="142"/>
  <c r="AH7" i="142"/>
  <c r="AG7" i="142"/>
  <c r="AF7" i="142"/>
  <c r="AE7" i="142"/>
  <c r="AD7" i="142"/>
  <c r="AC7" i="142"/>
  <c r="AB7" i="142"/>
  <c r="AA7" i="142"/>
  <c r="Z7" i="142"/>
  <c r="Y7" i="142"/>
  <c r="X7" i="142"/>
  <c r="W7" i="142"/>
  <c r="V7" i="142"/>
  <c r="U7" i="142"/>
  <c r="T7" i="142"/>
  <c r="S7" i="142"/>
  <c r="R7" i="142"/>
  <c r="Q7" i="142"/>
  <c r="P7" i="142"/>
  <c r="O7" i="142"/>
  <c r="N7" i="142"/>
  <c r="M7" i="142"/>
  <c r="L7" i="142"/>
  <c r="K7" i="142"/>
  <c r="J7" i="142"/>
  <c r="I7" i="142"/>
  <c r="H7" i="142"/>
  <c r="G7" i="142"/>
  <c r="F7" i="142"/>
  <c r="E7" i="142"/>
  <c r="D7" i="142"/>
  <c r="C7" i="142"/>
  <c r="B7" i="142"/>
  <c r="AZ6" i="142"/>
  <c r="AY6" i="142"/>
  <c r="AX6" i="142"/>
  <c r="AW6" i="142"/>
  <c r="AV6" i="142"/>
  <c r="AU6" i="142"/>
  <c r="AT6" i="142"/>
  <c r="AS6" i="142"/>
  <c r="AR6" i="142"/>
  <c r="AQ6" i="142"/>
  <c r="AP6" i="142"/>
  <c r="AO6" i="142"/>
  <c r="AN6" i="142"/>
  <c r="AM6" i="142"/>
  <c r="AL6" i="142"/>
  <c r="AK6" i="142"/>
  <c r="AJ6" i="142"/>
  <c r="AI6" i="142"/>
  <c r="AH6" i="142"/>
  <c r="AG6" i="142"/>
  <c r="AF6" i="142"/>
  <c r="AE6" i="142"/>
  <c r="AD6" i="142"/>
  <c r="AC6" i="142"/>
  <c r="AB6" i="142"/>
  <c r="AA6" i="142"/>
  <c r="Z6" i="142"/>
  <c r="Y6" i="142"/>
  <c r="X6" i="142"/>
  <c r="W6" i="142"/>
  <c r="V6" i="142"/>
  <c r="U6" i="142"/>
  <c r="T6" i="142"/>
  <c r="S6" i="142"/>
  <c r="R6" i="142"/>
  <c r="Q6" i="142"/>
  <c r="P6" i="142"/>
  <c r="O6" i="142"/>
  <c r="N6" i="142"/>
  <c r="M6" i="142"/>
  <c r="L6" i="142"/>
  <c r="K6" i="142"/>
  <c r="J6" i="142"/>
  <c r="I6" i="142"/>
  <c r="H6" i="142"/>
  <c r="G6" i="142"/>
  <c r="F6" i="142"/>
  <c r="E6" i="142"/>
  <c r="D6" i="142"/>
  <c r="C6" i="142"/>
  <c r="B6" i="142"/>
  <c r="Z16" i="127"/>
  <c r="X18" i="12" s="1"/>
  <c r="Y16" i="127"/>
  <c r="W18" i="12" s="1"/>
  <c r="X16" i="127"/>
  <c r="V18" i="12" s="1"/>
  <c r="W16" i="127"/>
  <c r="R16" i="127"/>
  <c r="P18" i="12" s="1"/>
  <c r="Q16" i="127"/>
  <c r="O18" i="12" s="1"/>
  <c r="N16" i="127"/>
  <c r="L18" i="12" s="1"/>
  <c r="J16" i="127"/>
  <c r="I16" i="127"/>
  <c r="G18" i="12" s="1"/>
  <c r="H16" i="127"/>
  <c r="S13" i="127"/>
  <c r="S10" i="148" s="1"/>
  <c r="K13" i="127"/>
  <c r="D13" i="127"/>
  <c r="S12" i="127"/>
  <c r="S19" i="148" s="1"/>
  <c r="S20" i="148" s="1"/>
  <c r="Q19" i="97" s="1"/>
  <c r="K12" i="127"/>
  <c r="F12" i="127"/>
  <c r="F19" i="148" s="1"/>
  <c r="F20" i="148" s="1"/>
  <c r="D19" i="97" s="1"/>
  <c r="S11" i="127"/>
  <c r="S6" i="148" s="1"/>
  <c r="S7" i="148" s="1"/>
  <c r="K11" i="127"/>
  <c r="F11" i="127"/>
  <c r="F6" i="148" s="1"/>
  <c r="F7" i="148" s="1"/>
  <c r="S10" i="127"/>
  <c r="S15" i="148" s="1"/>
  <c r="K10" i="127"/>
  <c r="F10" i="127"/>
  <c r="F15" i="148" s="1"/>
  <c r="S9" i="127"/>
  <c r="S14" i="148" s="1"/>
  <c r="K9" i="127"/>
  <c r="F9" i="127"/>
  <c r="F14" i="148" s="1"/>
  <c r="S8" i="127"/>
  <c r="S9" i="148" s="1"/>
  <c r="K8" i="127"/>
  <c r="F8" i="127"/>
  <c r="F9" i="148" s="1"/>
  <c r="S7" i="127"/>
  <c r="S8" i="148" s="1"/>
  <c r="K7" i="127"/>
  <c r="G7" i="127"/>
  <c r="G8" i="148" s="1"/>
  <c r="G13" i="148" s="1"/>
  <c r="F7" i="127"/>
  <c r="F8" i="148" s="1"/>
  <c r="A7" i="127"/>
  <c r="S6" i="127"/>
  <c r="S17" i="148" s="1"/>
  <c r="K6" i="127"/>
  <c r="G6" i="127"/>
  <c r="G17" i="148" s="1"/>
  <c r="E6" i="127"/>
  <c r="D6" i="127"/>
  <c r="D17" i="148" s="1"/>
  <c r="U5" i="127"/>
  <c r="O5" i="127"/>
  <c r="Z23" i="126"/>
  <c r="X17" i="12" s="1"/>
  <c r="Y23" i="126"/>
  <c r="W17" i="12" s="1"/>
  <c r="X23" i="126"/>
  <c r="V17" i="12" s="1"/>
  <c r="W23" i="126"/>
  <c r="U17" i="12" s="1"/>
  <c r="R23" i="126"/>
  <c r="Q23" i="126"/>
  <c r="J23" i="126"/>
  <c r="I23" i="126"/>
  <c r="G17" i="12" s="1"/>
  <c r="H23" i="126"/>
  <c r="F17" i="12" s="1"/>
  <c r="G23" i="126"/>
  <c r="E17" i="12" s="1"/>
  <c r="E23" i="126"/>
  <c r="C17" i="12" s="1"/>
  <c r="S22" i="126"/>
  <c r="S22" i="149" s="1"/>
  <c r="K22" i="126"/>
  <c r="F22" i="126"/>
  <c r="F22" i="149" s="1"/>
  <c r="S21" i="126"/>
  <c r="S21" i="149" s="1"/>
  <c r="K21" i="126"/>
  <c r="F21" i="126"/>
  <c r="F21" i="149" s="1"/>
  <c r="S20" i="126"/>
  <c r="S20" i="149" s="1"/>
  <c r="K20" i="126"/>
  <c r="K20" i="149" s="1"/>
  <c r="F20" i="126"/>
  <c r="F20" i="149" s="1"/>
  <c r="S19" i="126"/>
  <c r="S19" i="149" s="1"/>
  <c r="N19" i="126"/>
  <c r="N19" i="149" s="1"/>
  <c r="L19" i="126"/>
  <c r="L19" i="149" s="1"/>
  <c r="K19" i="126"/>
  <c r="K19" i="149" s="1"/>
  <c r="F19" i="126"/>
  <c r="F19" i="149" s="1"/>
  <c r="S18" i="126"/>
  <c r="S18" i="149" s="1"/>
  <c r="L18" i="126"/>
  <c r="L18" i="149" s="1"/>
  <c r="K18" i="126"/>
  <c r="K18" i="149" s="1"/>
  <c r="F18" i="126"/>
  <c r="F18" i="149" s="1"/>
  <c r="S17" i="126"/>
  <c r="S17" i="149" s="1"/>
  <c r="N17" i="126"/>
  <c r="N17" i="149" s="1"/>
  <c r="N23" i="149" s="1"/>
  <c r="K17" i="126"/>
  <c r="F17" i="126"/>
  <c r="F17" i="149" s="1"/>
  <c r="S16" i="126"/>
  <c r="S16" i="149" s="1"/>
  <c r="K16" i="126"/>
  <c r="F16" i="126"/>
  <c r="F16" i="149" s="1"/>
  <c r="S15" i="126"/>
  <c r="S15" i="149" s="1"/>
  <c r="K15" i="126"/>
  <c r="K15" i="149" s="1"/>
  <c r="F15" i="126"/>
  <c r="F15" i="149" s="1"/>
  <c r="S14" i="126"/>
  <c r="S14" i="149" s="1"/>
  <c r="K14" i="126"/>
  <c r="F14" i="126"/>
  <c r="F14" i="149" s="1"/>
  <c r="S13" i="126"/>
  <c r="S13" i="149" s="1"/>
  <c r="K13" i="126"/>
  <c r="F13" i="126"/>
  <c r="F13" i="149" s="1"/>
  <c r="S12" i="126"/>
  <c r="S12" i="149" s="1"/>
  <c r="K12" i="126"/>
  <c r="D12" i="126"/>
  <c r="S11" i="126"/>
  <c r="S11" i="149" s="1"/>
  <c r="K11" i="126"/>
  <c r="F11" i="126"/>
  <c r="F11" i="149" s="1"/>
  <c r="S10" i="126"/>
  <c r="S10" i="149" s="1"/>
  <c r="K10" i="126"/>
  <c r="K10" i="149" s="1"/>
  <c r="F10" i="126"/>
  <c r="F10" i="149" s="1"/>
  <c r="S9" i="126"/>
  <c r="S9" i="149" s="1"/>
  <c r="K9" i="126"/>
  <c r="F9" i="126"/>
  <c r="F9" i="149" s="1"/>
  <c r="S8" i="126"/>
  <c r="S8" i="149" s="1"/>
  <c r="K8" i="126"/>
  <c r="F8" i="126"/>
  <c r="F8" i="149" s="1"/>
  <c r="S7" i="126"/>
  <c r="S7" i="149" s="1"/>
  <c r="K7" i="126"/>
  <c r="F7" i="126"/>
  <c r="F7" i="149" s="1"/>
  <c r="S6" i="126"/>
  <c r="S6" i="149" s="1"/>
  <c r="K6" i="126"/>
  <c r="K6" i="149" s="1"/>
  <c r="F6" i="126"/>
  <c r="F6" i="149" s="1"/>
  <c r="A6" i="126"/>
  <c r="A7" i="126" s="1"/>
  <c r="A8" i="126" s="1"/>
  <c r="A9" i="126" s="1"/>
  <c r="A10" i="126" s="1"/>
  <c r="A11" i="126" s="1"/>
  <c r="A12" i="126" s="1"/>
  <c r="A13" i="126" s="1"/>
  <c r="A14" i="126" s="1"/>
  <c r="A15" i="126" s="1"/>
  <c r="A16" i="126" s="1"/>
  <c r="A17" i="126" s="1"/>
  <c r="A18" i="126" s="1"/>
  <c r="A19" i="126" s="1"/>
  <c r="A20" i="126" s="1"/>
  <c r="A21" i="126" s="1"/>
  <c r="A22" i="126" s="1"/>
  <c r="A23" i="126" s="1"/>
  <c r="Y17" i="12" s="1"/>
  <c r="T5" i="126"/>
  <c r="U5" i="126" s="1"/>
  <c r="O5" i="126"/>
  <c r="Z14" i="125"/>
  <c r="E17" i="78" s="1"/>
  <c r="Y14" i="125"/>
  <c r="W16" i="12" s="1"/>
  <c r="X14" i="125"/>
  <c r="V16" i="12" s="1"/>
  <c r="R14" i="125"/>
  <c r="P16" i="12" s="1"/>
  <c r="Q14" i="125"/>
  <c r="O16" i="12" s="1"/>
  <c r="J14" i="125"/>
  <c r="H16" i="12" s="1"/>
  <c r="I14" i="125"/>
  <c r="H14" i="125"/>
  <c r="G14" i="125"/>
  <c r="E14" i="125"/>
  <c r="C16" i="12" s="1"/>
  <c r="D14" i="125"/>
  <c r="B16" i="12" s="1"/>
  <c r="S9" i="125"/>
  <c r="S11" i="150" s="1"/>
  <c r="N9" i="125"/>
  <c r="N11" i="150" s="1"/>
  <c r="N14" i="150" s="1"/>
  <c r="K9" i="125"/>
  <c r="F9" i="125"/>
  <c r="F11" i="150" s="1"/>
  <c r="S8" i="125"/>
  <c r="S15" i="150" s="1"/>
  <c r="S17" i="150" s="1"/>
  <c r="N8" i="125"/>
  <c r="N15" i="150" s="1"/>
  <c r="N17" i="150" s="1"/>
  <c r="M8" i="125"/>
  <c r="M15" i="150" s="1"/>
  <c r="M17" i="150" s="1"/>
  <c r="K8" i="125"/>
  <c r="F8" i="125"/>
  <c r="F15" i="150" s="1"/>
  <c r="F17" i="150" s="1"/>
  <c r="S7" i="125"/>
  <c r="S6" i="150" s="1"/>
  <c r="S7" i="150" s="1"/>
  <c r="N7" i="125"/>
  <c r="N6" i="150" s="1"/>
  <c r="N7" i="150" s="1"/>
  <c r="M7" i="125"/>
  <c r="M6" i="150" s="1"/>
  <c r="M7" i="150" s="1"/>
  <c r="K7" i="125"/>
  <c r="F7" i="125"/>
  <c r="F6" i="150" s="1"/>
  <c r="F7" i="150" s="1"/>
  <c r="S6" i="125"/>
  <c r="S10" i="150" s="1"/>
  <c r="K6" i="125"/>
  <c r="F6" i="125"/>
  <c r="F10" i="150" s="1"/>
  <c r="A6" i="125"/>
  <c r="A7" i="125" s="1"/>
  <c r="A8" i="125" s="1"/>
  <c r="A9" i="125" s="1"/>
  <c r="A10" i="125" s="1"/>
  <c r="A11" i="125" s="1"/>
  <c r="A12" i="125" s="1"/>
  <c r="A13" i="125" s="1"/>
  <c r="A14" i="125" s="1"/>
  <c r="F9" i="78" s="1"/>
  <c r="T5" i="125"/>
  <c r="U5" i="125" s="1"/>
  <c r="Z19" i="146"/>
  <c r="Y19" i="146"/>
  <c r="W15" i="12" s="1"/>
  <c r="X19" i="146"/>
  <c r="W19" i="146"/>
  <c r="U15" i="12" s="1"/>
  <c r="R19" i="146"/>
  <c r="P15" i="12" s="1"/>
  <c r="Q19" i="146"/>
  <c r="O15" i="12" s="1"/>
  <c r="N19" i="146"/>
  <c r="J19" i="146"/>
  <c r="H15" i="12" s="1"/>
  <c r="I19" i="146"/>
  <c r="G15" i="12" s="1"/>
  <c r="H19" i="146"/>
  <c r="G19" i="146"/>
  <c r="E19" i="146"/>
  <c r="C15" i="12" s="1"/>
  <c r="D19" i="146"/>
  <c r="B15" i="12" s="1"/>
  <c r="S18" i="146"/>
  <c r="S17" i="151" s="1"/>
  <c r="K18" i="146"/>
  <c r="F18" i="146"/>
  <c r="F17" i="151" s="1"/>
  <c r="S17" i="146"/>
  <c r="S19" i="151" s="1"/>
  <c r="K17" i="146"/>
  <c r="F17" i="146"/>
  <c r="F19" i="151" s="1"/>
  <c r="S16" i="146"/>
  <c r="S18" i="151" s="1"/>
  <c r="K16" i="146"/>
  <c r="F16" i="146"/>
  <c r="F18" i="151" s="1"/>
  <c r="S15" i="146"/>
  <c r="S11" i="151" s="1"/>
  <c r="K15" i="146"/>
  <c r="F15" i="146"/>
  <c r="F11" i="151" s="1"/>
  <c r="S14" i="146"/>
  <c r="S10" i="151" s="1"/>
  <c r="K14" i="146"/>
  <c r="F14" i="146"/>
  <c r="F10" i="151" s="1"/>
  <c r="S13" i="146"/>
  <c r="S9" i="151" s="1"/>
  <c r="L13" i="146"/>
  <c r="K13" i="146"/>
  <c r="K9" i="151" s="1"/>
  <c r="F13" i="146"/>
  <c r="F9" i="151" s="1"/>
  <c r="S12" i="146"/>
  <c r="S8" i="151" s="1"/>
  <c r="K12" i="146"/>
  <c r="F12" i="146"/>
  <c r="F8" i="151" s="1"/>
  <c r="S11" i="146"/>
  <c r="S15" i="151" s="1"/>
  <c r="K11" i="146"/>
  <c r="F11" i="146"/>
  <c r="F15" i="151" s="1"/>
  <c r="S10" i="146"/>
  <c r="S16" i="151" s="1"/>
  <c r="K10" i="146"/>
  <c r="K16" i="151" s="1"/>
  <c r="F10" i="146"/>
  <c r="F16" i="151" s="1"/>
  <c r="S9" i="146"/>
  <c r="S14" i="151" s="1"/>
  <c r="K9" i="146"/>
  <c r="F9" i="146"/>
  <c r="F14" i="151" s="1"/>
  <c r="S8" i="146"/>
  <c r="S13" i="151" s="1"/>
  <c r="S20" i="151" s="1"/>
  <c r="K8" i="146"/>
  <c r="F8" i="146"/>
  <c r="F13" i="151" s="1"/>
  <c r="S7" i="146"/>
  <c r="S7" i="151" s="1"/>
  <c r="K7" i="146"/>
  <c r="F7" i="146"/>
  <c r="F7" i="151" s="1"/>
  <c r="S6" i="146"/>
  <c r="S6" i="151" s="1"/>
  <c r="K6" i="146"/>
  <c r="K6" i="151" s="1"/>
  <c r="F6" i="146"/>
  <c r="A6" i="146"/>
  <c r="A7" i="146" s="1"/>
  <c r="A8" i="146" s="1"/>
  <c r="A9" i="146" s="1"/>
  <c r="A10" i="146" s="1"/>
  <c r="A11" i="146" s="1"/>
  <c r="A12" i="146" s="1"/>
  <c r="A13" i="146" s="1"/>
  <c r="A14" i="146" s="1"/>
  <c r="A15" i="146" s="1"/>
  <c r="A16" i="146" s="1"/>
  <c r="A17" i="146" s="1"/>
  <c r="A18" i="146" s="1"/>
  <c r="A19" i="146" s="1"/>
  <c r="Z25" i="124"/>
  <c r="X14" i="12" s="1"/>
  <c r="Y25" i="124"/>
  <c r="W14" i="12" s="1"/>
  <c r="X25" i="124"/>
  <c r="V14" i="12" s="1"/>
  <c r="V25" i="124"/>
  <c r="T14" i="12" s="1"/>
  <c r="R25" i="124"/>
  <c r="P14" i="12" s="1"/>
  <c r="Q25" i="124"/>
  <c r="O14" i="12" s="1"/>
  <c r="N25" i="124"/>
  <c r="L14" i="12" s="1"/>
  <c r="J25" i="124"/>
  <c r="H14" i="12" s="1"/>
  <c r="I25" i="124"/>
  <c r="H25" i="124"/>
  <c r="F14" i="12" s="1"/>
  <c r="G25" i="124"/>
  <c r="E14" i="12" s="1"/>
  <c r="E25" i="124"/>
  <c r="C14" i="12" s="1"/>
  <c r="S20" i="124"/>
  <c r="K20" i="124"/>
  <c r="L20" i="124" s="1"/>
  <c r="P20" i="124" s="1"/>
  <c r="F20" i="124"/>
  <c r="S19" i="124"/>
  <c r="K19" i="124"/>
  <c r="L19" i="124" s="1"/>
  <c r="F19" i="124"/>
  <c r="S18" i="124"/>
  <c r="K18" i="124"/>
  <c r="L18" i="124" s="1"/>
  <c r="F18" i="124"/>
  <c r="S17" i="124"/>
  <c r="K17" i="124"/>
  <c r="L17" i="124" s="1"/>
  <c r="P17" i="124" s="1"/>
  <c r="F17" i="124"/>
  <c r="S16" i="124"/>
  <c r="K16" i="124"/>
  <c r="L16" i="124" s="1"/>
  <c r="P16" i="124" s="1"/>
  <c r="F16" i="124"/>
  <c r="S15" i="124"/>
  <c r="K15" i="124"/>
  <c r="L15" i="124" s="1"/>
  <c r="P15" i="124" s="1"/>
  <c r="F15" i="124"/>
  <c r="S14" i="124"/>
  <c r="K14" i="124"/>
  <c r="L14" i="124" s="1"/>
  <c r="P14" i="124" s="1"/>
  <c r="S13" i="124"/>
  <c r="K13" i="124"/>
  <c r="L13" i="124" s="1"/>
  <c r="F13" i="124"/>
  <c r="S12" i="124"/>
  <c r="K12" i="124"/>
  <c r="L12" i="124" s="1"/>
  <c r="F12" i="124"/>
  <c r="S11" i="124"/>
  <c r="K11" i="124"/>
  <c r="L11" i="124" s="1"/>
  <c r="P11" i="124" s="1"/>
  <c r="F11" i="124"/>
  <c r="S10" i="124"/>
  <c r="K10" i="124"/>
  <c r="L10" i="124" s="1"/>
  <c r="P10" i="124" s="1"/>
  <c r="F10" i="124"/>
  <c r="S9" i="124"/>
  <c r="K9" i="124"/>
  <c r="L9" i="124" s="1"/>
  <c r="P9" i="124" s="1"/>
  <c r="D9" i="124"/>
  <c r="S8" i="124"/>
  <c r="K8" i="124"/>
  <c r="L8" i="124" s="1"/>
  <c r="P8" i="124" s="1"/>
  <c r="F8" i="124"/>
  <c r="S7" i="124"/>
  <c r="K7" i="124"/>
  <c r="L7" i="124" s="1"/>
  <c r="P7" i="124" s="1"/>
  <c r="F7" i="124"/>
  <c r="S6" i="124"/>
  <c r="K6" i="124"/>
  <c r="F6" i="124"/>
  <c r="F6" i="152" s="1"/>
  <c r="A6" i="124"/>
  <c r="A7" i="124" s="1"/>
  <c r="A8" i="124" s="1"/>
  <c r="E17" i="75"/>
  <c r="F15" i="75" s="1"/>
  <c r="F16" i="75"/>
  <c r="Y49" i="123"/>
  <c r="W13" i="12" s="1"/>
  <c r="X49" i="123"/>
  <c r="V13" i="12" s="1"/>
  <c r="R49" i="123"/>
  <c r="P13" i="12" s="1"/>
  <c r="Q49" i="123"/>
  <c r="O13" i="12" s="1"/>
  <c r="J49" i="123"/>
  <c r="H13" i="12" s="1"/>
  <c r="I49" i="123"/>
  <c r="G13" i="12" s="1"/>
  <c r="H49" i="123"/>
  <c r="E49" i="123"/>
  <c r="C13" i="12" s="1"/>
  <c r="S45" i="123"/>
  <c r="S8" i="153" s="1"/>
  <c r="S9" i="153" s="1"/>
  <c r="K45" i="123"/>
  <c r="F45" i="123"/>
  <c r="F8" i="153" s="1"/>
  <c r="F9" i="153" s="1"/>
  <c r="S44" i="123"/>
  <c r="S28" i="153" s="1"/>
  <c r="K44" i="123"/>
  <c r="F44" i="123"/>
  <c r="F28" i="153" s="1"/>
  <c r="S43" i="123"/>
  <c r="S27" i="153" s="1"/>
  <c r="K43" i="123"/>
  <c r="F43" i="123"/>
  <c r="F27" i="153" s="1"/>
  <c r="S42" i="123"/>
  <c r="S39" i="153" s="1"/>
  <c r="K42" i="123"/>
  <c r="F42" i="123"/>
  <c r="F39" i="153" s="1"/>
  <c r="S41" i="123"/>
  <c r="S41" i="153" s="1"/>
  <c r="S42" i="153" s="1"/>
  <c r="K41" i="123"/>
  <c r="F41" i="123"/>
  <c r="F41" i="153" s="1"/>
  <c r="F42" i="153" s="1"/>
  <c r="S40" i="123"/>
  <c r="S34" i="153" s="1"/>
  <c r="S35" i="153" s="1"/>
  <c r="K40" i="123"/>
  <c r="F40" i="123"/>
  <c r="F34" i="153" s="1"/>
  <c r="F35" i="153" s="1"/>
  <c r="S39" i="123"/>
  <c r="S38" i="153" s="1"/>
  <c r="K39" i="123"/>
  <c r="G39" i="123"/>
  <c r="G38" i="153" s="1"/>
  <c r="G40" i="153" s="1"/>
  <c r="F39" i="123"/>
  <c r="F38" i="153" s="1"/>
  <c r="S38" i="123"/>
  <c r="S55" i="153" s="1"/>
  <c r="N38" i="123"/>
  <c r="N55" i="153" s="1"/>
  <c r="K38" i="123"/>
  <c r="F38" i="123"/>
  <c r="F55" i="153" s="1"/>
  <c r="S37" i="123"/>
  <c r="S37" i="153" s="1"/>
  <c r="K37" i="123"/>
  <c r="F37" i="123"/>
  <c r="F37" i="153" s="1"/>
  <c r="S36" i="123"/>
  <c r="S26" i="153" s="1"/>
  <c r="K36" i="123"/>
  <c r="F36" i="123"/>
  <c r="F26" i="153" s="1"/>
  <c r="S35" i="123"/>
  <c r="S54" i="153" s="1"/>
  <c r="K35" i="123"/>
  <c r="F35" i="123"/>
  <c r="F54" i="153" s="1"/>
  <c r="S34" i="123"/>
  <c r="S25" i="153" s="1"/>
  <c r="K34" i="123"/>
  <c r="F34" i="123"/>
  <c r="F25" i="153" s="1"/>
  <c r="S33" i="123"/>
  <c r="S24" i="153" s="1"/>
  <c r="K33" i="123"/>
  <c r="F33" i="123"/>
  <c r="F24" i="153" s="1"/>
  <c r="S32" i="123"/>
  <c r="S10" i="153" s="1"/>
  <c r="K32" i="123"/>
  <c r="F32" i="123"/>
  <c r="F10" i="153" s="1"/>
  <c r="S31" i="123"/>
  <c r="S23" i="153" s="1"/>
  <c r="K31" i="123"/>
  <c r="F31" i="123"/>
  <c r="F23" i="153" s="1"/>
  <c r="S30" i="123"/>
  <c r="S53" i="153" s="1"/>
  <c r="K30" i="123"/>
  <c r="F30" i="123"/>
  <c r="F53" i="153" s="1"/>
  <c r="S29" i="123"/>
  <c r="S52" i="153" s="1"/>
  <c r="N29" i="123"/>
  <c r="N52" i="153" s="1"/>
  <c r="K29" i="123"/>
  <c r="F29" i="123"/>
  <c r="F52" i="153" s="1"/>
  <c r="S28" i="123"/>
  <c r="S51" i="153" s="1"/>
  <c r="K28" i="123"/>
  <c r="F28" i="123"/>
  <c r="F51" i="153" s="1"/>
  <c r="S27" i="123"/>
  <c r="S6" i="153" s="1"/>
  <c r="S7" i="153" s="1"/>
  <c r="K27" i="123"/>
  <c r="F27" i="123"/>
  <c r="F6" i="153" s="1"/>
  <c r="F7" i="153" s="1"/>
  <c r="S26" i="123"/>
  <c r="S46" i="153" s="1"/>
  <c r="K26" i="123"/>
  <c r="D26" i="123"/>
  <c r="S25" i="123"/>
  <c r="S22" i="153" s="1"/>
  <c r="K25" i="123"/>
  <c r="F25" i="123"/>
  <c r="F22" i="153" s="1"/>
  <c r="S24" i="123"/>
  <c r="S21" i="153" s="1"/>
  <c r="K24" i="123"/>
  <c r="F24" i="123"/>
  <c r="F21" i="153" s="1"/>
  <c r="S23" i="123"/>
  <c r="S50" i="153" s="1"/>
  <c r="N23" i="123"/>
  <c r="N50" i="153" s="1"/>
  <c r="K23" i="123"/>
  <c r="D23" i="123"/>
  <c r="D50" i="153" s="1"/>
  <c r="S22" i="123"/>
  <c r="S49" i="153" s="1"/>
  <c r="K22" i="123"/>
  <c r="F22" i="123"/>
  <c r="F49" i="153" s="1"/>
  <c r="S21" i="123"/>
  <c r="S20" i="153" s="1"/>
  <c r="K21" i="123"/>
  <c r="F21" i="123"/>
  <c r="F20" i="153" s="1"/>
  <c r="S20" i="123"/>
  <c r="S19" i="153" s="1"/>
  <c r="K20" i="123"/>
  <c r="D20" i="123"/>
  <c r="S19" i="123"/>
  <c r="S43" i="153" s="1"/>
  <c r="S44" i="153" s="1"/>
  <c r="Q16" i="97" s="1"/>
  <c r="K19" i="123"/>
  <c r="G19" i="123"/>
  <c r="F19" i="123"/>
  <c r="F43" i="153" s="1"/>
  <c r="F44" i="153" s="1"/>
  <c r="D16" i="97" s="1"/>
  <c r="S18" i="123"/>
  <c r="S45" i="153" s="1"/>
  <c r="K18" i="123"/>
  <c r="F18" i="123"/>
  <c r="F45" i="153" s="1"/>
  <c r="S17" i="123"/>
  <c r="S18" i="153" s="1"/>
  <c r="K17" i="123"/>
  <c r="F17" i="123"/>
  <c r="F18" i="153" s="1"/>
  <c r="S16" i="123"/>
  <c r="S17" i="153" s="1"/>
  <c r="N16" i="123"/>
  <c r="N17" i="153" s="1"/>
  <c r="N31" i="153" s="1"/>
  <c r="K16" i="123"/>
  <c r="F16" i="123"/>
  <c r="F17" i="153" s="1"/>
  <c r="S15" i="123"/>
  <c r="S16" i="153" s="1"/>
  <c r="K15" i="123"/>
  <c r="F15" i="123"/>
  <c r="F16" i="153" s="1"/>
  <c r="S14" i="123"/>
  <c r="S15" i="153" s="1"/>
  <c r="K14" i="123"/>
  <c r="F14" i="123"/>
  <c r="F15" i="153" s="1"/>
  <c r="S13" i="123"/>
  <c r="S48" i="153" s="1"/>
  <c r="Q17" i="97" s="1"/>
  <c r="N13" i="123"/>
  <c r="K13" i="123"/>
  <c r="F13" i="123"/>
  <c r="F48" i="153" s="1"/>
  <c r="S12" i="123"/>
  <c r="S47" i="153" s="1"/>
  <c r="K12" i="123"/>
  <c r="F12" i="123"/>
  <c r="F47" i="153" s="1"/>
  <c r="S11" i="123"/>
  <c r="S36" i="153" s="1"/>
  <c r="S40" i="153" s="1"/>
  <c r="K11" i="123"/>
  <c r="D11" i="123"/>
  <c r="S10" i="123"/>
  <c r="S14" i="153" s="1"/>
  <c r="K10" i="123"/>
  <c r="D10" i="123"/>
  <c r="S9" i="123"/>
  <c r="S13" i="153" s="1"/>
  <c r="K9" i="123"/>
  <c r="D9" i="123"/>
  <c r="S8" i="123"/>
  <c r="S12" i="153" s="1"/>
  <c r="K8" i="123"/>
  <c r="F8" i="123"/>
  <c r="F12" i="153" s="1"/>
  <c r="A8" i="123"/>
  <c r="S7" i="123"/>
  <c r="S32" i="153" s="1"/>
  <c r="S33" i="153" s="1"/>
  <c r="Q9" i="97" s="1"/>
  <c r="K7" i="123"/>
  <c r="F7" i="123"/>
  <c r="F32" i="153" s="1"/>
  <c r="F33" i="153" s="1"/>
  <c r="Z16" i="122"/>
  <c r="Y16" i="122"/>
  <c r="W12" i="12" s="1"/>
  <c r="X16" i="122"/>
  <c r="V12" i="12" s="1"/>
  <c r="V16" i="122"/>
  <c r="E12" i="74" s="1"/>
  <c r="R16" i="122"/>
  <c r="N16" i="122"/>
  <c r="J16" i="122"/>
  <c r="I16" i="122"/>
  <c r="H16" i="122"/>
  <c r="F12" i="12" s="1"/>
  <c r="U13" i="122"/>
  <c r="W13" i="122" s="1"/>
  <c r="Q13" i="122"/>
  <c r="Q16" i="122" s="1"/>
  <c r="O12" i="12" s="1"/>
  <c r="K13" i="122"/>
  <c r="L13" i="122" s="1"/>
  <c r="P13" i="122" s="1"/>
  <c r="F13" i="122"/>
  <c r="S12" i="122"/>
  <c r="K12" i="122"/>
  <c r="L12" i="122" s="1"/>
  <c r="G12" i="122"/>
  <c r="F12" i="122"/>
  <c r="S11" i="122"/>
  <c r="K11" i="122"/>
  <c r="L11" i="122" s="1"/>
  <c r="P11" i="122" s="1"/>
  <c r="F11" i="122"/>
  <c r="F12" i="154" s="1"/>
  <c r="F15" i="154" s="1"/>
  <c r="S10" i="122"/>
  <c r="K10" i="122"/>
  <c r="L10" i="122" s="1"/>
  <c r="P10" i="122" s="1"/>
  <c r="M10" i="122" s="1"/>
  <c r="D10" i="122"/>
  <c r="F10" i="122" s="1"/>
  <c r="S9" i="122"/>
  <c r="K9" i="122"/>
  <c r="L9" i="122" s="1"/>
  <c r="P9" i="122" s="1"/>
  <c r="F9" i="122"/>
  <c r="S8" i="122"/>
  <c r="K8" i="122"/>
  <c r="L8" i="122" s="1"/>
  <c r="P8" i="122" s="1"/>
  <c r="D8" i="122"/>
  <c r="S7" i="122"/>
  <c r="K7" i="122"/>
  <c r="L7" i="122" s="1"/>
  <c r="F7" i="122"/>
  <c r="S6" i="122"/>
  <c r="K6" i="122"/>
  <c r="G6" i="122"/>
  <c r="E6" i="122"/>
  <c r="E16" i="122" s="1"/>
  <c r="A6" i="122"/>
  <c r="A7" i="122" s="1"/>
  <c r="A8" i="122" s="1"/>
  <c r="A9" i="122" s="1"/>
  <c r="A10" i="122" s="1"/>
  <c r="A11" i="122" s="1"/>
  <c r="A12" i="122" s="1"/>
  <c r="A13" i="122" s="1"/>
  <c r="A14" i="122" s="1"/>
  <c r="A15" i="122" s="1"/>
  <c r="A16" i="122" s="1"/>
  <c r="T5" i="122"/>
  <c r="U5" i="122" s="1"/>
  <c r="Y29" i="121"/>
  <c r="W11" i="12" s="1"/>
  <c r="X29" i="121"/>
  <c r="V29" i="121"/>
  <c r="T11" i="12" s="1"/>
  <c r="R29" i="121"/>
  <c r="P11" i="12" s="1"/>
  <c r="Q29" i="121"/>
  <c r="O11" i="12" s="1"/>
  <c r="J29" i="121"/>
  <c r="H11" i="12" s="1"/>
  <c r="I29" i="121"/>
  <c r="G11" i="12" s="1"/>
  <c r="H29" i="121"/>
  <c r="F11" i="12" s="1"/>
  <c r="G29" i="121"/>
  <c r="E29" i="121"/>
  <c r="Z24" i="121"/>
  <c r="S24" i="121"/>
  <c r="S25" i="155" s="1"/>
  <c r="N24" i="121"/>
  <c r="N25" i="155" s="1"/>
  <c r="K24" i="121"/>
  <c r="F24" i="121"/>
  <c r="F25" i="155" s="1"/>
  <c r="S23" i="121"/>
  <c r="S24" i="155" s="1"/>
  <c r="K23" i="121"/>
  <c r="F23" i="121"/>
  <c r="F24" i="155" s="1"/>
  <c r="S22" i="121"/>
  <c r="S23" i="155" s="1"/>
  <c r="K22" i="121"/>
  <c r="D22" i="121"/>
  <c r="D23" i="155" s="1"/>
  <c r="S21" i="121"/>
  <c r="S22" i="155" s="1"/>
  <c r="N21" i="121"/>
  <c r="N22" i="155" s="1"/>
  <c r="K21" i="121"/>
  <c r="D21" i="121"/>
  <c r="D22" i="155" s="1"/>
  <c r="S20" i="121"/>
  <c r="S21" i="155" s="1"/>
  <c r="N20" i="121"/>
  <c r="N21" i="155" s="1"/>
  <c r="K20" i="121"/>
  <c r="D20" i="121"/>
  <c r="S19" i="121"/>
  <c r="S20" i="155" s="1"/>
  <c r="K19" i="121"/>
  <c r="F19" i="121"/>
  <c r="F20" i="155" s="1"/>
  <c r="S18" i="121"/>
  <c r="S19" i="155" s="1"/>
  <c r="K18" i="121"/>
  <c r="F18" i="121"/>
  <c r="F19" i="155" s="1"/>
  <c r="S17" i="121"/>
  <c r="S18" i="155" s="1"/>
  <c r="K17" i="121"/>
  <c r="F17" i="121"/>
  <c r="F18" i="155" s="1"/>
  <c r="S16" i="121"/>
  <c r="S17" i="155" s="1"/>
  <c r="K16" i="121"/>
  <c r="F16" i="121"/>
  <c r="F17" i="155" s="1"/>
  <c r="S15" i="121"/>
  <c r="S8" i="155" s="1"/>
  <c r="N15" i="121"/>
  <c r="N8" i="155" s="1"/>
  <c r="K15" i="121"/>
  <c r="S14" i="121"/>
  <c r="S16" i="155" s="1"/>
  <c r="K14" i="121"/>
  <c r="F14" i="121"/>
  <c r="F16" i="155" s="1"/>
  <c r="S13" i="121"/>
  <c r="S15" i="155" s="1"/>
  <c r="N13" i="121"/>
  <c r="N15" i="155" s="1"/>
  <c r="K13" i="121"/>
  <c r="S12" i="121"/>
  <c r="S14" i="155" s="1"/>
  <c r="K12" i="121"/>
  <c r="D12" i="121"/>
  <c r="S11" i="121"/>
  <c r="S13" i="155" s="1"/>
  <c r="N11" i="121"/>
  <c r="N13" i="155" s="1"/>
  <c r="K11" i="121"/>
  <c r="F11" i="121"/>
  <c r="F13" i="155" s="1"/>
  <c r="S10" i="121"/>
  <c r="S12" i="155" s="1"/>
  <c r="K10" i="121"/>
  <c r="F10" i="121"/>
  <c r="F12" i="155" s="1"/>
  <c r="S9" i="121"/>
  <c r="S11" i="155" s="1"/>
  <c r="N9" i="121"/>
  <c r="N11" i="155" s="1"/>
  <c r="K9" i="121"/>
  <c r="F9" i="121"/>
  <c r="F11" i="155" s="1"/>
  <c r="S8" i="121"/>
  <c r="S6" i="155" s="1"/>
  <c r="S7" i="155" s="1"/>
  <c r="K8" i="121"/>
  <c r="F8" i="121"/>
  <c r="F6" i="155" s="1"/>
  <c r="F7" i="155" s="1"/>
  <c r="S7" i="121"/>
  <c r="S10" i="155" s="1"/>
  <c r="K7" i="121"/>
  <c r="F7" i="121"/>
  <c r="F10" i="155" s="1"/>
  <c r="S6" i="121"/>
  <c r="S9" i="155" s="1"/>
  <c r="K6" i="121"/>
  <c r="D6" i="121"/>
  <c r="A6" i="121"/>
  <c r="A7" i="121" s="1"/>
  <c r="A8" i="121" s="1"/>
  <c r="A9" i="121" s="1"/>
  <c r="A10" i="121" s="1"/>
  <c r="A11" i="121" s="1"/>
  <c r="A12" i="121" s="1"/>
  <c r="A13" i="121" s="1"/>
  <c r="A14" i="121" s="1"/>
  <c r="A15" i="121" s="1"/>
  <c r="A16" i="121" s="1"/>
  <c r="A17" i="121" s="1"/>
  <c r="A18" i="121" s="1"/>
  <c r="A19" i="121" s="1"/>
  <c r="A20" i="121" s="1"/>
  <c r="A21" i="121" s="1"/>
  <c r="A22" i="121" s="1"/>
  <c r="A23" i="121" s="1"/>
  <c r="A24" i="121" s="1"/>
  <c r="A25" i="121" s="1"/>
  <c r="A26" i="121" s="1"/>
  <c r="A27" i="121" s="1"/>
  <c r="A28" i="121" s="1"/>
  <c r="Z11" i="120"/>
  <c r="X10" i="12" s="1"/>
  <c r="Y11" i="120"/>
  <c r="W10" i="12" s="1"/>
  <c r="X11" i="120"/>
  <c r="V10" i="12" s="1"/>
  <c r="V11" i="120"/>
  <c r="T10" i="12" s="1"/>
  <c r="R11" i="120"/>
  <c r="P10" i="12" s="1"/>
  <c r="Q11" i="120"/>
  <c r="O10" i="12" s="1"/>
  <c r="J11" i="120"/>
  <c r="H10" i="12" s="1"/>
  <c r="I11" i="120"/>
  <c r="G10" i="12" s="1"/>
  <c r="H11" i="120"/>
  <c r="G11" i="120"/>
  <c r="E11" i="120"/>
  <c r="C10" i="12" s="1"/>
  <c r="S7" i="120"/>
  <c r="S7" i="156" s="1"/>
  <c r="K7" i="120"/>
  <c r="F7" i="120"/>
  <c r="F7" i="156" s="1"/>
  <c r="A7" i="120"/>
  <c r="A8" i="120" s="1"/>
  <c r="A9" i="120" s="1"/>
  <c r="A10" i="120" s="1"/>
  <c r="A11" i="120" s="1"/>
  <c r="S6" i="120"/>
  <c r="N6" i="120"/>
  <c r="K6" i="120"/>
  <c r="E13" i="71"/>
  <c r="F12" i="71" s="1"/>
  <c r="F13" i="71" s="1"/>
  <c r="Z70" i="119"/>
  <c r="X9" i="12" s="1"/>
  <c r="Y70" i="119"/>
  <c r="X70" i="119"/>
  <c r="V9" i="12" s="1"/>
  <c r="R70" i="119"/>
  <c r="P9" i="12" s="1"/>
  <c r="Q70" i="119"/>
  <c r="O9" i="12" s="1"/>
  <c r="H70" i="119"/>
  <c r="G70" i="119"/>
  <c r="E9" i="12" s="1"/>
  <c r="S66" i="119"/>
  <c r="K66" i="119"/>
  <c r="L66" i="119" s="1"/>
  <c r="P66" i="119" s="1"/>
  <c r="F66" i="119"/>
  <c r="S65" i="119"/>
  <c r="K65" i="119"/>
  <c r="L65" i="119" s="1"/>
  <c r="F65" i="119"/>
  <c r="S64" i="119"/>
  <c r="K64" i="119"/>
  <c r="L64" i="119" s="1"/>
  <c r="P64" i="119" s="1"/>
  <c r="F64" i="119"/>
  <c r="S63" i="119"/>
  <c r="K63" i="119"/>
  <c r="L63" i="119" s="1"/>
  <c r="P63" i="119" s="1"/>
  <c r="F63" i="119"/>
  <c r="S62" i="119"/>
  <c r="J62" i="119"/>
  <c r="K62" i="119" s="1"/>
  <c r="L62" i="119" s="1"/>
  <c r="F62" i="119"/>
  <c r="S61" i="119"/>
  <c r="K61" i="119"/>
  <c r="L61" i="119" s="1"/>
  <c r="P61" i="119" s="1"/>
  <c r="M61" i="119" s="1"/>
  <c r="F61" i="119"/>
  <c r="S60" i="119"/>
  <c r="K60" i="119"/>
  <c r="L60" i="119" s="1"/>
  <c r="F60" i="119"/>
  <c r="S59" i="119"/>
  <c r="I59" i="119"/>
  <c r="I70" i="119" s="1"/>
  <c r="G9" i="12" s="1"/>
  <c r="F59" i="119"/>
  <c r="S58" i="119"/>
  <c r="K58" i="119"/>
  <c r="L58" i="119" s="1"/>
  <c r="P58" i="119" s="1"/>
  <c r="F58" i="119"/>
  <c r="S57" i="119"/>
  <c r="K57" i="119"/>
  <c r="L57" i="119" s="1"/>
  <c r="P57" i="119" s="1"/>
  <c r="F57" i="119"/>
  <c r="S56" i="119"/>
  <c r="K56" i="119"/>
  <c r="L56" i="119" s="1"/>
  <c r="F56" i="119"/>
  <c r="S55" i="119"/>
  <c r="N55" i="119"/>
  <c r="K55" i="119"/>
  <c r="L55" i="119" s="1"/>
  <c r="P55" i="119" s="1"/>
  <c r="D55" i="119"/>
  <c r="F55" i="119" s="1"/>
  <c r="S54" i="119"/>
  <c r="K54" i="119"/>
  <c r="L54" i="119" s="1"/>
  <c r="P54" i="119" s="1"/>
  <c r="F54" i="119"/>
  <c r="S53" i="119"/>
  <c r="K53" i="119"/>
  <c r="L53" i="119" s="1"/>
  <c r="P53" i="119" s="1"/>
  <c r="F53" i="119"/>
  <c r="S52" i="119"/>
  <c r="K52" i="119"/>
  <c r="L52" i="119" s="1"/>
  <c r="P52" i="119" s="1"/>
  <c r="F52" i="119"/>
  <c r="S51" i="119"/>
  <c r="K51" i="119"/>
  <c r="L51" i="119" s="1"/>
  <c r="P51" i="119" s="1"/>
  <c r="E51" i="119"/>
  <c r="D51" i="119"/>
  <c r="S50" i="119"/>
  <c r="K50" i="119"/>
  <c r="L50" i="119" s="1"/>
  <c r="P50" i="119" s="1"/>
  <c r="F50" i="119"/>
  <c r="S49" i="119"/>
  <c r="K49" i="119"/>
  <c r="L49" i="119" s="1"/>
  <c r="P49" i="119" s="1"/>
  <c r="F49" i="119"/>
  <c r="S48" i="119"/>
  <c r="N48" i="119"/>
  <c r="K48" i="119"/>
  <c r="L48" i="119" s="1"/>
  <c r="P48" i="119" s="1"/>
  <c r="D48" i="119"/>
  <c r="S47" i="119"/>
  <c r="K47" i="119"/>
  <c r="L47" i="119" s="1"/>
  <c r="P47" i="119" s="1"/>
  <c r="F47" i="119"/>
  <c r="S46" i="119"/>
  <c r="K46" i="119"/>
  <c r="L46" i="119" s="1"/>
  <c r="P46" i="119" s="1"/>
  <c r="M46" i="119" s="1"/>
  <c r="F46" i="119"/>
  <c r="S45" i="119"/>
  <c r="K45" i="119"/>
  <c r="L45" i="119" s="1"/>
  <c r="F45" i="119"/>
  <c r="S44" i="119"/>
  <c r="K44" i="119"/>
  <c r="L44" i="119" s="1"/>
  <c r="P44" i="119" s="1"/>
  <c r="F44" i="119"/>
  <c r="S43" i="119"/>
  <c r="K43" i="119"/>
  <c r="L43" i="119" s="1"/>
  <c r="P43" i="119" s="1"/>
  <c r="D43" i="119"/>
  <c r="F43" i="119" s="1"/>
  <c r="S42" i="119"/>
  <c r="K42" i="119"/>
  <c r="L42" i="119" s="1"/>
  <c r="P42" i="119" s="1"/>
  <c r="M42" i="119" s="1"/>
  <c r="F42" i="119"/>
  <c r="S41" i="119"/>
  <c r="K41" i="119"/>
  <c r="L41" i="119" s="1"/>
  <c r="F41" i="119"/>
  <c r="S40" i="119"/>
  <c r="K40" i="119"/>
  <c r="L40" i="119" s="1"/>
  <c r="F40" i="119"/>
  <c r="S39" i="119"/>
  <c r="K39" i="119"/>
  <c r="L39" i="119" s="1"/>
  <c r="P39" i="119" s="1"/>
  <c r="S38" i="119"/>
  <c r="K38" i="119"/>
  <c r="L38" i="119" s="1"/>
  <c r="P38" i="119" s="1"/>
  <c r="E38" i="119"/>
  <c r="D38" i="119"/>
  <c r="S37" i="119"/>
  <c r="K37" i="119"/>
  <c r="L37" i="119" s="1"/>
  <c r="F37" i="119"/>
  <c r="K36" i="119"/>
  <c r="L36" i="119" s="1"/>
  <c r="P36" i="119" s="1"/>
  <c r="F36" i="119"/>
  <c r="K35" i="119"/>
  <c r="L35" i="119" s="1"/>
  <c r="F35" i="119"/>
  <c r="S34" i="119"/>
  <c r="K34" i="119"/>
  <c r="L34" i="119" s="1"/>
  <c r="P34" i="119" s="1"/>
  <c r="F34" i="119"/>
  <c r="S33" i="119"/>
  <c r="K33" i="119"/>
  <c r="L33" i="119" s="1"/>
  <c r="P33" i="119" s="1"/>
  <c r="F33" i="119"/>
  <c r="S32" i="119"/>
  <c r="K32" i="119"/>
  <c r="L32" i="119" s="1"/>
  <c r="P32" i="119" s="1"/>
  <c r="E32" i="119"/>
  <c r="D32" i="119"/>
  <c r="S31" i="119"/>
  <c r="K31" i="119"/>
  <c r="L31" i="119" s="1"/>
  <c r="F31" i="119"/>
  <c r="S30" i="119"/>
  <c r="J30" i="119"/>
  <c r="K30" i="119" s="1"/>
  <c r="L30" i="119" s="1"/>
  <c r="F30" i="119"/>
  <c r="S29" i="119"/>
  <c r="K29" i="119"/>
  <c r="F29" i="119"/>
  <c r="S28" i="119"/>
  <c r="K28" i="119"/>
  <c r="L28" i="119" s="1"/>
  <c r="P28" i="119" s="1"/>
  <c r="D28" i="119"/>
  <c r="S27" i="119"/>
  <c r="K27" i="119"/>
  <c r="L27" i="119" s="1"/>
  <c r="P27" i="119" s="1"/>
  <c r="F27" i="119"/>
  <c r="S26" i="119"/>
  <c r="K26" i="119"/>
  <c r="L26" i="119" s="1"/>
  <c r="F26" i="119"/>
  <c r="S25" i="119"/>
  <c r="K25" i="119"/>
  <c r="L25" i="119" s="1"/>
  <c r="P25" i="119" s="1"/>
  <c r="D25" i="119"/>
  <c r="S24" i="119"/>
  <c r="K24" i="119"/>
  <c r="L24" i="119" s="1"/>
  <c r="P24" i="119" s="1"/>
  <c r="F24" i="119"/>
  <c r="S23" i="119"/>
  <c r="N23" i="119"/>
  <c r="K23" i="119"/>
  <c r="L23" i="119" s="1"/>
  <c r="F23" i="119"/>
  <c r="S22" i="119"/>
  <c r="K22" i="119"/>
  <c r="L22" i="119" s="1"/>
  <c r="P22" i="119" s="1"/>
  <c r="F22" i="119"/>
  <c r="F12" i="157" s="1"/>
  <c r="F20" i="157" s="1"/>
  <c r="F81" i="157" s="1"/>
  <c r="S21" i="119"/>
  <c r="K21" i="119"/>
  <c r="L21" i="119" s="1"/>
  <c r="P21" i="119" s="1"/>
  <c r="F21" i="119"/>
  <c r="S20" i="119"/>
  <c r="K20" i="119"/>
  <c r="L20" i="119" s="1"/>
  <c r="P20" i="119" s="1"/>
  <c r="F20" i="119"/>
  <c r="S19" i="119"/>
  <c r="K19" i="119"/>
  <c r="L19" i="119" s="1"/>
  <c r="F19" i="119"/>
  <c r="S18" i="119"/>
  <c r="N18" i="119"/>
  <c r="K18" i="119"/>
  <c r="L18" i="119" s="1"/>
  <c r="P18" i="119" s="1"/>
  <c r="F18" i="119"/>
  <c r="S17" i="119"/>
  <c r="K17" i="119"/>
  <c r="L17" i="119" s="1"/>
  <c r="F17" i="119"/>
  <c r="S16" i="119"/>
  <c r="K16" i="119"/>
  <c r="L16" i="119" s="1"/>
  <c r="P16" i="119" s="1"/>
  <c r="F16" i="119"/>
  <c r="S15" i="119"/>
  <c r="K15" i="119"/>
  <c r="L15" i="119" s="1"/>
  <c r="P15" i="119" s="1"/>
  <c r="D15" i="119"/>
  <c r="F15" i="119" s="1"/>
  <c r="S14" i="119"/>
  <c r="K14" i="119"/>
  <c r="L14" i="119" s="1"/>
  <c r="F14" i="119"/>
  <c r="S13" i="119"/>
  <c r="N13" i="119"/>
  <c r="K13" i="119"/>
  <c r="L13" i="119" s="1"/>
  <c r="F13" i="119"/>
  <c r="S12" i="119"/>
  <c r="N12" i="119"/>
  <c r="K12" i="119"/>
  <c r="L12" i="119" s="1"/>
  <c r="F12" i="119"/>
  <c r="S11" i="119"/>
  <c r="N11" i="119"/>
  <c r="K11" i="119"/>
  <c r="L11" i="119" s="1"/>
  <c r="F11" i="119"/>
  <c r="S10" i="119"/>
  <c r="K10" i="119"/>
  <c r="L10" i="119" s="1"/>
  <c r="P10" i="119" s="1"/>
  <c r="D10" i="119"/>
  <c r="S9" i="119"/>
  <c r="K9" i="119"/>
  <c r="L9" i="119" s="1"/>
  <c r="F9" i="119"/>
  <c r="S8" i="119"/>
  <c r="K8" i="119"/>
  <c r="L8" i="119" s="1"/>
  <c r="P8" i="119" s="1"/>
  <c r="F8" i="119"/>
  <c r="S7" i="119"/>
  <c r="N7" i="119"/>
  <c r="K7" i="119"/>
  <c r="L7" i="119" s="1"/>
  <c r="P7" i="119" s="1"/>
  <c r="F7" i="119"/>
  <c r="A7" i="119"/>
  <c r="A70" i="119" s="1"/>
  <c r="F7" i="69" s="1"/>
  <c r="S6" i="119"/>
  <c r="N6" i="119"/>
  <c r="K6" i="119"/>
  <c r="L6" i="119" s="1"/>
  <c r="P6" i="119" s="1"/>
  <c r="F6" i="119"/>
  <c r="X115" i="117"/>
  <c r="W115" i="117"/>
  <c r="R115" i="117"/>
  <c r="I115" i="117"/>
  <c r="E115" i="117"/>
  <c r="S114" i="117"/>
  <c r="S86" i="167" s="1"/>
  <c r="K114" i="117"/>
  <c r="F114" i="117"/>
  <c r="F86" i="167" s="1"/>
  <c r="Q113" i="117"/>
  <c r="K113" i="117"/>
  <c r="F113" i="117"/>
  <c r="F50" i="167" s="1"/>
  <c r="S112" i="117"/>
  <c r="S49" i="167" s="1"/>
  <c r="K112" i="117"/>
  <c r="F112" i="117"/>
  <c r="F49" i="167" s="1"/>
  <c r="S111" i="117"/>
  <c r="S48" i="167" s="1"/>
  <c r="K111" i="117"/>
  <c r="F111" i="117"/>
  <c r="F48" i="167" s="1"/>
  <c r="S110" i="117"/>
  <c r="S85" i="167" s="1"/>
  <c r="K110" i="117"/>
  <c r="D110" i="117"/>
  <c r="D85" i="167" s="1"/>
  <c r="S109" i="117"/>
  <c r="S84" i="167" s="1"/>
  <c r="J109" i="117"/>
  <c r="J84" i="167" s="1"/>
  <c r="J87" i="167" s="1"/>
  <c r="H109" i="117"/>
  <c r="H84" i="167" s="1"/>
  <c r="F109" i="117"/>
  <c r="F84" i="167" s="1"/>
  <c r="S108" i="117"/>
  <c r="S47" i="167" s="1"/>
  <c r="K108" i="117"/>
  <c r="F108" i="117"/>
  <c r="F47" i="167" s="1"/>
  <c r="S107" i="117"/>
  <c r="S83" i="167" s="1"/>
  <c r="K107" i="117"/>
  <c r="F107" i="117"/>
  <c r="F83" i="167" s="1"/>
  <c r="S106" i="117"/>
  <c r="S92" i="167" s="1"/>
  <c r="K106" i="117"/>
  <c r="F106" i="117"/>
  <c r="F92" i="167" s="1"/>
  <c r="S105" i="117"/>
  <c r="S82" i="167" s="1"/>
  <c r="K105" i="117"/>
  <c r="F105" i="117"/>
  <c r="F82" i="167" s="1"/>
  <c r="S104" i="117"/>
  <c r="S81" i="167" s="1"/>
  <c r="K104" i="117"/>
  <c r="F104" i="117"/>
  <c r="F81" i="167" s="1"/>
  <c r="S103" i="117"/>
  <c r="S91" i="167" s="1"/>
  <c r="K103" i="117"/>
  <c r="F103" i="117"/>
  <c r="F91" i="167" s="1"/>
  <c r="S102" i="117"/>
  <c r="S80" i="167" s="1"/>
  <c r="K102" i="117"/>
  <c r="K80" i="167" s="1"/>
  <c r="H102" i="117"/>
  <c r="H80" i="167" s="1"/>
  <c r="F102" i="117"/>
  <c r="F80" i="167" s="1"/>
  <c r="S101" i="117"/>
  <c r="S79" i="167" s="1"/>
  <c r="K101" i="117"/>
  <c r="F101" i="117"/>
  <c r="F79" i="167" s="1"/>
  <c r="S100" i="117"/>
  <c r="S78" i="167" s="1"/>
  <c r="K100" i="117"/>
  <c r="F100" i="117"/>
  <c r="F78" i="167" s="1"/>
  <c r="S99" i="117"/>
  <c r="S77" i="167" s="1"/>
  <c r="K99" i="117"/>
  <c r="G99" i="117"/>
  <c r="G77" i="167" s="1"/>
  <c r="F99" i="117"/>
  <c r="F77" i="167" s="1"/>
  <c r="S98" i="117"/>
  <c r="S53" i="167" s="1"/>
  <c r="K98" i="117"/>
  <c r="F98" i="117"/>
  <c r="F53" i="167" s="1"/>
  <c r="Z97" i="117"/>
  <c r="Z52" i="167" s="1"/>
  <c r="Z56" i="167" s="1"/>
  <c r="S97" i="117"/>
  <c r="S52" i="167" s="1"/>
  <c r="N97" i="117"/>
  <c r="N52" i="167" s="1"/>
  <c r="K97" i="117"/>
  <c r="F97" i="117"/>
  <c r="F52" i="167" s="1"/>
  <c r="Q96" i="117"/>
  <c r="Q46" i="167" s="1"/>
  <c r="N96" i="117"/>
  <c r="N46" i="167" s="1"/>
  <c r="K96" i="117"/>
  <c r="G96" i="117"/>
  <c r="G46" i="167" s="1"/>
  <c r="F96" i="117"/>
  <c r="F46" i="167" s="1"/>
  <c r="A97" i="117"/>
  <c r="AA93" i="117"/>
  <c r="Y93" i="117"/>
  <c r="X93" i="117"/>
  <c r="W93" i="117"/>
  <c r="J93" i="117"/>
  <c r="I93" i="117"/>
  <c r="H93" i="117"/>
  <c r="E93" i="117"/>
  <c r="S85" i="117"/>
  <c r="S109" i="167" s="1"/>
  <c r="S111" i="167" s="1"/>
  <c r="Q13" i="97" s="1"/>
  <c r="K85" i="117"/>
  <c r="F85" i="117"/>
  <c r="F109" i="167" s="1"/>
  <c r="F111" i="167" s="1"/>
  <c r="D13" i="97" s="1"/>
  <c r="S84" i="117"/>
  <c r="S116" i="167" s="1"/>
  <c r="K84" i="117"/>
  <c r="F84" i="117"/>
  <c r="F116" i="167" s="1"/>
  <c r="S83" i="117"/>
  <c r="S107" i="167" s="1"/>
  <c r="K83" i="117"/>
  <c r="D83" i="117"/>
  <c r="D107" i="167" s="1"/>
  <c r="S82" i="117"/>
  <c r="S106" i="167" s="1"/>
  <c r="K82" i="117"/>
  <c r="F82" i="117"/>
  <c r="F106" i="167" s="1"/>
  <c r="S81" i="117"/>
  <c r="S105" i="167" s="1"/>
  <c r="K81" i="117"/>
  <c r="F81" i="117"/>
  <c r="F105" i="167" s="1"/>
  <c r="S80" i="117"/>
  <c r="S121" i="167" s="1"/>
  <c r="K80" i="117"/>
  <c r="F80" i="117"/>
  <c r="F121" i="167" s="1"/>
  <c r="S79" i="117"/>
  <c r="S98" i="167" s="1"/>
  <c r="K79" i="117"/>
  <c r="F79" i="117"/>
  <c r="F98" i="167" s="1"/>
  <c r="S78" i="117"/>
  <c r="S97" i="167" s="1"/>
  <c r="K78" i="117"/>
  <c r="F78" i="117"/>
  <c r="F97" i="167" s="1"/>
  <c r="S77" i="117"/>
  <c r="S74" i="167" s="1"/>
  <c r="K77" i="117"/>
  <c r="F77" i="117"/>
  <c r="F74" i="167" s="1"/>
  <c r="S76" i="117"/>
  <c r="S73" i="167" s="1"/>
  <c r="K76" i="117"/>
  <c r="F76" i="117"/>
  <c r="F73" i="167" s="1"/>
  <c r="S75" i="117"/>
  <c r="S72" i="167" s="1"/>
  <c r="K75" i="117"/>
  <c r="F75" i="117"/>
  <c r="F72" i="167" s="1"/>
  <c r="S74" i="117"/>
  <c r="S71" i="167" s="1"/>
  <c r="K74" i="117"/>
  <c r="F74" i="117"/>
  <c r="F71" i="167" s="1"/>
  <c r="Q73" i="117"/>
  <c r="K73" i="117"/>
  <c r="F73" i="117"/>
  <c r="F104" i="167" s="1"/>
  <c r="S72" i="117"/>
  <c r="S115" i="167" s="1"/>
  <c r="K72" i="117"/>
  <c r="F72" i="117"/>
  <c r="F115" i="167" s="1"/>
  <c r="S71" i="117"/>
  <c r="S45" i="167" s="1"/>
  <c r="K71" i="117"/>
  <c r="F71" i="117"/>
  <c r="F45" i="167" s="1"/>
  <c r="Q70" i="117"/>
  <c r="K70" i="117"/>
  <c r="G70" i="117"/>
  <c r="G44" i="167" s="1"/>
  <c r="F70" i="117"/>
  <c r="F44" i="167" s="1"/>
  <c r="S69" i="117"/>
  <c r="S95" i="167" s="1"/>
  <c r="K69" i="117"/>
  <c r="F69" i="117"/>
  <c r="F95" i="167" s="1"/>
  <c r="S68" i="117"/>
  <c r="S70" i="167" s="1"/>
  <c r="K68" i="117"/>
  <c r="F68" i="117"/>
  <c r="F70" i="167" s="1"/>
  <c r="S67" i="117"/>
  <c r="S69" i="167" s="1"/>
  <c r="K67" i="117"/>
  <c r="F67" i="117"/>
  <c r="F69" i="167" s="1"/>
  <c r="S66" i="117"/>
  <c r="S43" i="167" s="1"/>
  <c r="K66" i="117"/>
  <c r="F66" i="117"/>
  <c r="F43" i="167" s="1"/>
  <c r="S65" i="117"/>
  <c r="S42" i="167" s="1"/>
  <c r="K65" i="117"/>
  <c r="D65" i="117"/>
  <c r="S64" i="117"/>
  <c r="S90" i="167" s="1"/>
  <c r="K64" i="117"/>
  <c r="F64" i="117"/>
  <c r="F90" i="167" s="1"/>
  <c r="S63" i="117"/>
  <c r="S51" i="167" s="1"/>
  <c r="K63" i="117"/>
  <c r="F63" i="117"/>
  <c r="F51" i="167" s="1"/>
  <c r="Q62" i="117"/>
  <c r="K62" i="117"/>
  <c r="G62" i="117"/>
  <c r="G68" i="167" s="1"/>
  <c r="G87" i="167" s="1"/>
  <c r="F62" i="117"/>
  <c r="F68" i="167" s="1"/>
  <c r="S61" i="117"/>
  <c r="S41" i="167" s="1"/>
  <c r="K61" i="117"/>
  <c r="F61" i="117"/>
  <c r="F41" i="167" s="1"/>
  <c r="S60" i="117"/>
  <c r="S40" i="167" s="1"/>
  <c r="K60" i="117"/>
  <c r="F60" i="117"/>
  <c r="F40" i="167" s="1"/>
  <c r="S59" i="117"/>
  <c r="S39" i="167" s="1"/>
  <c r="K59" i="117"/>
  <c r="F59" i="117"/>
  <c r="F39" i="167" s="1"/>
  <c r="S58" i="117"/>
  <c r="S13" i="167" s="1"/>
  <c r="K58" i="117"/>
  <c r="F58" i="117"/>
  <c r="F13" i="167" s="1"/>
  <c r="S57" i="117"/>
  <c r="S12" i="167" s="1"/>
  <c r="K57" i="117"/>
  <c r="F57" i="117"/>
  <c r="F12" i="167" s="1"/>
  <c r="S56" i="117"/>
  <c r="S103" i="167" s="1"/>
  <c r="N56" i="117"/>
  <c r="N103" i="167" s="1"/>
  <c r="N108" i="167" s="1"/>
  <c r="K56" i="117"/>
  <c r="S55" i="117"/>
  <c r="S38" i="167" s="1"/>
  <c r="K55" i="117"/>
  <c r="F55" i="117"/>
  <c r="F38" i="167" s="1"/>
  <c r="S54" i="117"/>
  <c r="S120" i="167" s="1"/>
  <c r="K54" i="117"/>
  <c r="F54" i="117"/>
  <c r="F120" i="167" s="1"/>
  <c r="S53" i="117"/>
  <c r="S102" i="167" s="1"/>
  <c r="K53" i="117"/>
  <c r="F53" i="117"/>
  <c r="F102" i="167" s="1"/>
  <c r="S52" i="117"/>
  <c r="S67" i="167" s="1"/>
  <c r="K52" i="117"/>
  <c r="F52" i="117"/>
  <c r="F67" i="167" s="1"/>
  <c r="S51" i="117"/>
  <c r="S37" i="167" s="1"/>
  <c r="K51" i="117"/>
  <c r="F51" i="117"/>
  <c r="F37" i="167" s="1"/>
  <c r="S50" i="117"/>
  <c r="S66" i="167" s="1"/>
  <c r="K50" i="117"/>
  <c r="F50" i="117"/>
  <c r="F66" i="167" s="1"/>
  <c r="S49" i="117"/>
  <c r="S65" i="167" s="1"/>
  <c r="K49" i="117"/>
  <c r="F49" i="117"/>
  <c r="F65" i="167" s="1"/>
  <c r="S48" i="117"/>
  <c r="S11" i="167" s="1"/>
  <c r="K48" i="117"/>
  <c r="F48" i="117"/>
  <c r="F11" i="167" s="1"/>
  <c r="S47" i="117"/>
  <c r="S36" i="167" s="1"/>
  <c r="K47" i="117"/>
  <c r="F47" i="117"/>
  <c r="F36" i="167" s="1"/>
  <c r="S46" i="117"/>
  <c r="S114" i="167" s="1"/>
  <c r="S117" i="167" s="1"/>
  <c r="K46" i="117"/>
  <c r="F46" i="117"/>
  <c r="F114" i="167" s="1"/>
  <c r="F117" i="167" s="1"/>
  <c r="D14" i="97" s="1"/>
  <c r="S45" i="117"/>
  <c r="S119" i="167" s="1"/>
  <c r="K45" i="117"/>
  <c r="F45" i="117"/>
  <c r="F119" i="167" s="1"/>
  <c r="S44" i="117"/>
  <c r="S94" i="167" s="1"/>
  <c r="K44" i="117"/>
  <c r="F44" i="117"/>
  <c r="F94" i="167" s="1"/>
  <c r="S43" i="117"/>
  <c r="S93" i="167" s="1"/>
  <c r="K43" i="117"/>
  <c r="F43" i="117"/>
  <c r="F93" i="167" s="1"/>
  <c r="S42" i="117"/>
  <c r="S101" i="167" s="1"/>
  <c r="K42" i="117"/>
  <c r="G42" i="117"/>
  <c r="G101" i="167" s="1"/>
  <c r="G108" i="167" s="1"/>
  <c r="D42" i="117"/>
  <c r="D101" i="167" s="1"/>
  <c r="S41" i="117"/>
  <c r="S64" i="167" s="1"/>
  <c r="N41" i="117"/>
  <c r="N64" i="167" s="1"/>
  <c r="N87" i="167" s="1"/>
  <c r="K41" i="117"/>
  <c r="D41" i="117"/>
  <c r="D64" i="167" s="1"/>
  <c r="D87" i="167" s="1"/>
  <c r="S40" i="117"/>
  <c r="S35" i="167" s="1"/>
  <c r="K40" i="117"/>
  <c r="F40" i="117"/>
  <c r="F35" i="167" s="1"/>
  <c r="S39" i="117"/>
  <c r="S34" i="167" s="1"/>
  <c r="K39" i="117"/>
  <c r="F39" i="117"/>
  <c r="F34" i="167" s="1"/>
  <c r="S38" i="117"/>
  <c r="S33" i="167" s="1"/>
  <c r="K38" i="117"/>
  <c r="F38" i="117"/>
  <c r="F33" i="167" s="1"/>
  <c r="S37" i="117"/>
  <c r="S10" i="167" s="1"/>
  <c r="K37" i="117"/>
  <c r="F37" i="117"/>
  <c r="F10" i="167" s="1"/>
  <c r="S36" i="117"/>
  <c r="S100" i="167" s="1"/>
  <c r="K36" i="117"/>
  <c r="F36" i="117"/>
  <c r="F100" i="167" s="1"/>
  <c r="S35" i="117"/>
  <c r="S32" i="167" s="1"/>
  <c r="K35" i="117"/>
  <c r="F35" i="117"/>
  <c r="F32" i="167" s="1"/>
  <c r="S34" i="117"/>
  <c r="S31" i="167" s="1"/>
  <c r="K34" i="117"/>
  <c r="F34" i="117"/>
  <c r="F31" i="167" s="1"/>
  <c r="S33" i="117"/>
  <c r="S63" i="167" s="1"/>
  <c r="K33" i="117"/>
  <c r="F33" i="117"/>
  <c r="F63" i="167" s="1"/>
  <c r="S32" i="117"/>
  <c r="S55" i="167" s="1"/>
  <c r="K32" i="117"/>
  <c r="F32" i="117"/>
  <c r="F55" i="167" s="1"/>
  <c r="Z31" i="117"/>
  <c r="S31" i="117"/>
  <c r="S9" i="167" s="1"/>
  <c r="K31" i="117"/>
  <c r="F31" i="117"/>
  <c r="F9" i="167" s="1"/>
  <c r="S30" i="117"/>
  <c r="S30" i="167" s="1"/>
  <c r="K30" i="117"/>
  <c r="D30" i="117"/>
  <c r="S29" i="117"/>
  <c r="S29" i="167" s="1"/>
  <c r="K29" i="117"/>
  <c r="F29" i="117"/>
  <c r="F29" i="167" s="1"/>
  <c r="S28" i="117"/>
  <c r="S28" i="167" s="1"/>
  <c r="K28" i="117"/>
  <c r="D28" i="117"/>
  <c r="D28" i="167" s="1"/>
  <c r="S27" i="117"/>
  <c r="S99" i="167" s="1"/>
  <c r="K27" i="117"/>
  <c r="F27" i="117"/>
  <c r="F99" i="167" s="1"/>
  <c r="S26" i="117"/>
  <c r="S27" i="167" s="1"/>
  <c r="K26" i="117"/>
  <c r="F26" i="117"/>
  <c r="F27" i="167" s="1"/>
  <c r="S25" i="117"/>
  <c r="S26" i="167" s="1"/>
  <c r="K25" i="117"/>
  <c r="F25" i="117"/>
  <c r="F26" i="167" s="1"/>
  <c r="R24" i="117"/>
  <c r="N24" i="117"/>
  <c r="N25" i="167" s="1"/>
  <c r="K24" i="117"/>
  <c r="G24" i="117"/>
  <c r="G25" i="167" s="1"/>
  <c r="F24" i="117"/>
  <c r="F25" i="167" s="1"/>
  <c r="S23" i="117"/>
  <c r="S24" i="167" s="1"/>
  <c r="K23" i="117"/>
  <c r="F23" i="117"/>
  <c r="F24" i="167" s="1"/>
  <c r="S22" i="117"/>
  <c r="S23" i="167" s="1"/>
  <c r="K22" i="117"/>
  <c r="F22" i="117"/>
  <c r="F23" i="167" s="1"/>
  <c r="S21" i="117"/>
  <c r="S22" i="167" s="1"/>
  <c r="K21" i="117"/>
  <c r="F21" i="117"/>
  <c r="F22" i="167" s="1"/>
  <c r="S20" i="117"/>
  <c r="S21" i="167" s="1"/>
  <c r="K20" i="117"/>
  <c r="F20" i="117"/>
  <c r="F21" i="167" s="1"/>
  <c r="S19" i="117"/>
  <c r="S59" i="167" s="1"/>
  <c r="S60" i="167" s="1"/>
  <c r="K19" i="117"/>
  <c r="F19" i="117"/>
  <c r="F59" i="167" s="1"/>
  <c r="F60" i="167" s="1"/>
  <c r="S18" i="117"/>
  <c r="S96" i="167" s="1"/>
  <c r="K18" i="117"/>
  <c r="F18" i="117"/>
  <c r="F96" i="167" s="1"/>
  <c r="S17" i="117"/>
  <c r="S6" i="167" s="1"/>
  <c r="S7" i="167" s="1"/>
  <c r="K17" i="117"/>
  <c r="F17" i="117"/>
  <c r="F6" i="167" s="1"/>
  <c r="F7" i="167" s="1"/>
  <c r="S16" i="117"/>
  <c r="S54" i="167" s="1"/>
  <c r="K16" i="117"/>
  <c r="D16" i="117"/>
  <c r="D54" i="167" s="1"/>
  <c r="S15" i="117"/>
  <c r="S118" i="167" s="1"/>
  <c r="K15" i="117"/>
  <c r="D15" i="117"/>
  <c r="D118" i="167" s="1"/>
  <c r="D122" i="167" s="1"/>
  <c r="Q14" i="117"/>
  <c r="K14" i="117"/>
  <c r="G14" i="117"/>
  <c r="G20" i="167" s="1"/>
  <c r="F14" i="117"/>
  <c r="F20" i="167" s="1"/>
  <c r="S13" i="117"/>
  <c r="S19" i="167" s="1"/>
  <c r="K13" i="117"/>
  <c r="F13" i="117"/>
  <c r="F19" i="167" s="1"/>
  <c r="S12" i="117"/>
  <c r="S18" i="167" s="1"/>
  <c r="K12" i="117"/>
  <c r="F12" i="117"/>
  <c r="F18" i="167" s="1"/>
  <c r="S11" i="117"/>
  <c r="S17" i="167" s="1"/>
  <c r="K11" i="117"/>
  <c r="F11" i="117"/>
  <c r="F17" i="167" s="1"/>
  <c r="S10" i="117"/>
  <c r="S8" i="167" s="1"/>
  <c r="K10" i="117"/>
  <c r="F10" i="117"/>
  <c r="F8" i="167" s="1"/>
  <c r="S9" i="117"/>
  <c r="S61" i="167" s="1"/>
  <c r="S62" i="167" s="1"/>
  <c r="K9" i="117"/>
  <c r="F9" i="117"/>
  <c r="F61" i="167" s="1"/>
  <c r="F62" i="167" s="1"/>
  <c r="S8" i="117"/>
  <c r="S16" i="167" s="1"/>
  <c r="K8" i="117"/>
  <c r="F8" i="117"/>
  <c r="F16" i="167" s="1"/>
  <c r="Q7" i="117"/>
  <c r="K7" i="117"/>
  <c r="G7" i="117"/>
  <c r="G15" i="167" s="1"/>
  <c r="D7" i="117"/>
  <c r="A7" i="117"/>
  <c r="A8" i="117" s="1"/>
  <c r="Y104" i="116"/>
  <c r="W7" i="12" s="1"/>
  <c r="X104" i="116"/>
  <c r="V7" i="12" s="1"/>
  <c r="W104" i="116"/>
  <c r="U7" i="12" s="1"/>
  <c r="R104" i="116"/>
  <c r="P7" i="12" s="1"/>
  <c r="I104" i="116"/>
  <c r="G7" i="12" s="1"/>
  <c r="H104" i="116"/>
  <c r="E104" i="116"/>
  <c r="C7" i="12" s="1"/>
  <c r="S82" i="116"/>
  <c r="S82" i="162" s="1"/>
  <c r="K82" i="116"/>
  <c r="F82" i="116"/>
  <c r="F82" i="162" s="1"/>
  <c r="S81" i="116"/>
  <c r="S42" i="162" s="1"/>
  <c r="K81" i="116"/>
  <c r="F81" i="116"/>
  <c r="F42" i="162" s="1"/>
  <c r="S80" i="116"/>
  <c r="S41" i="162" s="1"/>
  <c r="K80" i="116"/>
  <c r="F80" i="116"/>
  <c r="F41" i="162" s="1"/>
  <c r="S79" i="116"/>
  <c r="S81" i="162" s="1"/>
  <c r="K79" i="116"/>
  <c r="F79" i="116"/>
  <c r="F81" i="162" s="1"/>
  <c r="S78" i="116"/>
  <c r="S80" i="162" s="1"/>
  <c r="K78" i="116"/>
  <c r="F78" i="116"/>
  <c r="F80" i="162" s="1"/>
  <c r="S77" i="116"/>
  <c r="S79" i="162" s="1"/>
  <c r="K77" i="116"/>
  <c r="F77" i="116"/>
  <c r="F79" i="162" s="1"/>
  <c r="S76" i="116"/>
  <c r="S78" i="162" s="1"/>
  <c r="N76" i="116"/>
  <c r="N78" i="162" s="1"/>
  <c r="K76" i="116"/>
  <c r="F76" i="116"/>
  <c r="F78" i="162" s="1"/>
  <c r="S75" i="116"/>
  <c r="S77" i="162" s="1"/>
  <c r="J75" i="116"/>
  <c r="G75" i="116"/>
  <c r="G77" i="162" s="1"/>
  <c r="F75" i="116"/>
  <c r="F77" i="162" s="1"/>
  <c r="S74" i="116"/>
  <c r="S106" i="162" s="1"/>
  <c r="K74" i="116"/>
  <c r="F74" i="116"/>
  <c r="F106" i="162" s="1"/>
  <c r="S73" i="116"/>
  <c r="S40" i="162" s="1"/>
  <c r="K73" i="116"/>
  <c r="F73" i="116"/>
  <c r="F40" i="162" s="1"/>
  <c r="S72" i="116"/>
  <c r="S39" i="162" s="1"/>
  <c r="K72" i="116"/>
  <c r="F72" i="116"/>
  <c r="F39" i="162" s="1"/>
  <c r="S71" i="116"/>
  <c r="S95" i="162" s="1"/>
  <c r="K71" i="116"/>
  <c r="F71" i="116"/>
  <c r="F95" i="162" s="1"/>
  <c r="S70" i="116"/>
  <c r="S38" i="162" s="1"/>
  <c r="K70" i="116"/>
  <c r="S69" i="116"/>
  <c r="S76" i="162" s="1"/>
  <c r="N69" i="116"/>
  <c r="N76" i="162" s="1"/>
  <c r="K69" i="116"/>
  <c r="F69" i="116"/>
  <c r="F76" i="162" s="1"/>
  <c r="S68" i="116"/>
  <c r="S37" i="162" s="1"/>
  <c r="N68" i="116"/>
  <c r="N37" i="162" s="1"/>
  <c r="K68" i="116"/>
  <c r="F68" i="116"/>
  <c r="F37" i="162" s="1"/>
  <c r="S67" i="116"/>
  <c r="S36" i="162" s="1"/>
  <c r="K67" i="116"/>
  <c r="F67" i="116"/>
  <c r="F36" i="162" s="1"/>
  <c r="S66" i="116"/>
  <c r="S35" i="162" s="1"/>
  <c r="K66" i="116"/>
  <c r="F66" i="116"/>
  <c r="F35" i="162" s="1"/>
  <c r="S65" i="116"/>
  <c r="S75" i="162" s="1"/>
  <c r="K65" i="116"/>
  <c r="F65" i="116"/>
  <c r="F75" i="162" s="1"/>
  <c r="S64" i="116"/>
  <c r="S34" i="162" s="1"/>
  <c r="K64" i="116"/>
  <c r="F64" i="116"/>
  <c r="F34" i="162" s="1"/>
  <c r="S63" i="116"/>
  <c r="S74" i="162" s="1"/>
  <c r="K63" i="116"/>
  <c r="F63" i="116"/>
  <c r="F74" i="162" s="1"/>
  <c r="S62" i="116"/>
  <c r="S73" i="162" s="1"/>
  <c r="K62" i="116"/>
  <c r="D62" i="116"/>
  <c r="S61" i="116"/>
  <c r="S33" i="162" s="1"/>
  <c r="N61" i="116"/>
  <c r="N33" i="162" s="1"/>
  <c r="K61" i="116"/>
  <c r="F61" i="116"/>
  <c r="F33" i="162" s="1"/>
  <c r="S60" i="116"/>
  <c r="S32" i="162" s="1"/>
  <c r="K60" i="116"/>
  <c r="F60" i="116"/>
  <c r="F32" i="162" s="1"/>
  <c r="Q59" i="116"/>
  <c r="K59" i="116"/>
  <c r="F59" i="116"/>
  <c r="F31" i="162" s="1"/>
  <c r="S58" i="116"/>
  <c r="S30" i="162" s="1"/>
  <c r="K58" i="116"/>
  <c r="F58" i="116"/>
  <c r="F30" i="162" s="1"/>
  <c r="S57" i="116"/>
  <c r="S29" i="162" s="1"/>
  <c r="K57" i="116"/>
  <c r="F57" i="116"/>
  <c r="F29" i="162" s="1"/>
  <c r="S56" i="116"/>
  <c r="S28" i="162" s="1"/>
  <c r="K56" i="116"/>
  <c r="F56" i="116"/>
  <c r="F28" i="162" s="1"/>
  <c r="S55" i="116"/>
  <c r="S27" i="162" s="1"/>
  <c r="K55" i="116"/>
  <c r="F55" i="116"/>
  <c r="F27" i="162" s="1"/>
  <c r="S54" i="116"/>
  <c r="S26" i="162" s="1"/>
  <c r="K54" i="116"/>
  <c r="F54" i="116"/>
  <c r="F26" i="162" s="1"/>
  <c r="S53" i="116"/>
  <c r="S25" i="162" s="1"/>
  <c r="K53" i="116"/>
  <c r="F53" i="116"/>
  <c r="F25" i="162" s="1"/>
  <c r="S52" i="116"/>
  <c r="S72" i="162" s="1"/>
  <c r="K52" i="116"/>
  <c r="F52" i="116"/>
  <c r="F72" i="162" s="1"/>
  <c r="S51" i="116"/>
  <c r="S71" i="162" s="1"/>
  <c r="N51" i="116"/>
  <c r="N71" i="162" s="1"/>
  <c r="K51" i="116"/>
  <c r="F51" i="116"/>
  <c r="F71" i="162" s="1"/>
  <c r="S50" i="116"/>
  <c r="S70" i="162" s="1"/>
  <c r="K50" i="116"/>
  <c r="F50" i="116"/>
  <c r="F70" i="162" s="1"/>
  <c r="S49" i="116"/>
  <c r="S69" i="162" s="1"/>
  <c r="K49" i="116"/>
  <c r="F49" i="116"/>
  <c r="F69" i="162" s="1"/>
  <c r="S48" i="116"/>
  <c r="S24" i="162" s="1"/>
  <c r="K48" i="116"/>
  <c r="F48" i="116"/>
  <c r="F24" i="162" s="1"/>
  <c r="S47" i="116"/>
  <c r="S23" i="162" s="1"/>
  <c r="N47" i="116"/>
  <c r="N23" i="162" s="1"/>
  <c r="K47" i="116"/>
  <c r="G47" i="116"/>
  <c r="G23" i="162" s="1"/>
  <c r="F47" i="116"/>
  <c r="F23" i="162" s="1"/>
  <c r="Z46" i="116"/>
  <c r="S46" i="116"/>
  <c r="S22" i="162" s="1"/>
  <c r="N46" i="116"/>
  <c r="N22" i="162" s="1"/>
  <c r="K46" i="116"/>
  <c r="F46" i="116"/>
  <c r="F22" i="162" s="1"/>
  <c r="S45" i="116"/>
  <c r="S21" i="162" s="1"/>
  <c r="K45" i="116"/>
  <c r="F45" i="116"/>
  <c r="F21" i="162" s="1"/>
  <c r="S44" i="116"/>
  <c r="S68" i="162" s="1"/>
  <c r="J44" i="116"/>
  <c r="J68" i="162" s="1"/>
  <c r="F44" i="116"/>
  <c r="F68" i="162" s="1"/>
  <c r="S43" i="116"/>
  <c r="S20" i="162" s="1"/>
  <c r="K43" i="116"/>
  <c r="F43" i="116"/>
  <c r="F20" i="162" s="1"/>
  <c r="S42" i="116"/>
  <c r="S19" i="162" s="1"/>
  <c r="K42" i="116"/>
  <c r="F42" i="116"/>
  <c r="F19" i="162" s="1"/>
  <c r="S41" i="116"/>
  <c r="S18" i="162" s="1"/>
  <c r="K41" i="116"/>
  <c r="F41" i="116"/>
  <c r="F18" i="162" s="1"/>
  <c r="S40" i="116"/>
  <c r="S67" i="162" s="1"/>
  <c r="K40" i="116"/>
  <c r="F40" i="116"/>
  <c r="F67" i="162" s="1"/>
  <c r="S39" i="116"/>
  <c r="S66" i="162" s="1"/>
  <c r="K39" i="116"/>
  <c r="F39" i="116"/>
  <c r="F66" i="162" s="1"/>
  <c r="S38" i="116"/>
  <c r="S65" i="162" s="1"/>
  <c r="K38" i="116"/>
  <c r="F38" i="116"/>
  <c r="F65" i="162" s="1"/>
  <c r="S37" i="116"/>
  <c r="S17" i="162" s="1"/>
  <c r="K37" i="116"/>
  <c r="F37" i="116"/>
  <c r="F17" i="162" s="1"/>
  <c r="S36" i="116"/>
  <c r="S99" i="162" s="1"/>
  <c r="N36" i="116"/>
  <c r="N99" i="162" s="1"/>
  <c r="K36" i="116"/>
  <c r="F36" i="116"/>
  <c r="F99" i="162" s="1"/>
  <c r="S35" i="116"/>
  <c r="S16" i="162" s="1"/>
  <c r="K35" i="116"/>
  <c r="F35" i="116"/>
  <c r="F16" i="162" s="1"/>
  <c r="S34" i="116"/>
  <c r="S103" i="162" s="1"/>
  <c r="S104" i="162" s="1"/>
  <c r="K34" i="116"/>
  <c r="G34" i="116"/>
  <c r="G103" i="162" s="1"/>
  <c r="G104" i="162" s="1"/>
  <c r="D34" i="116"/>
  <c r="S33" i="116"/>
  <c r="S15" i="162" s="1"/>
  <c r="N33" i="116"/>
  <c r="N15" i="162" s="1"/>
  <c r="K33" i="116"/>
  <c r="F33" i="116"/>
  <c r="F15" i="162" s="1"/>
  <c r="S32" i="116"/>
  <c r="S64" i="162" s="1"/>
  <c r="K32" i="116"/>
  <c r="F32" i="116"/>
  <c r="F64" i="162" s="1"/>
  <c r="S31" i="116"/>
  <c r="S14" i="162" s="1"/>
  <c r="N31" i="116"/>
  <c r="N14" i="162" s="1"/>
  <c r="K31" i="116"/>
  <c r="F31" i="116"/>
  <c r="F14" i="162" s="1"/>
  <c r="S30" i="116"/>
  <c r="S63" i="162" s="1"/>
  <c r="K30" i="116"/>
  <c r="F30" i="116"/>
  <c r="F63" i="162" s="1"/>
  <c r="S29" i="116"/>
  <c r="S13" i="162" s="1"/>
  <c r="N29" i="116"/>
  <c r="N13" i="162" s="1"/>
  <c r="K29" i="116"/>
  <c r="G29" i="116"/>
  <c r="G13" i="162" s="1"/>
  <c r="F29" i="116"/>
  <c r="F13" i="162" s="1"/>
  <c r="S28" i="116"/>
  <c r="S12" i="162" s="1"/>
  <c r="K28" i="116"/>
  <c r="F28" i="116"/>
  <c r="F12" i="162" s="1"/>
  <c r="S27" i="116"/>
  <c r="S11" i="162" s="1"/>
  <c r="K27" i="116"/>
  <c r="F27" i="116"/>
  <c r="F11" i="162" s="1"/>
  <c r="S26" i="116"/>
  <c r="S10" i="162" s="1"/>
  <c r="K26" i="116"/>
  <c r="G26" i="116"/>
  <c r="G10" i="162" s="1"/>
  <c r="D26" i="116"/>
  <c r="D10" i="162" s="1"/>
  <c r="D50" i="162" s="1"/>
  <c r="S25" i="116"/>
  <c r="S62" i="162" s="1"/>
  <c r="K25" i="116"/>
  <c r="F25" i="116"/>
  <c r="F62" i="162" s="1"/>
  <c r="S24" i="116"/>
  <c r="S61" i="162" s="1"/>
  <c r="K24" i="116"/>
  <c r="F24" i="116"/>
  <c r="F61" i="162" s="1"/>
  <c r="S23" i="116"/>
  <c r="S105" i="162" s="1"/>
  <c r="N23" i="116"/>
  <c r="N105" i="162" s="1"/>
  <c r="N107" i="162" s="1"/>
  <c r="K23" i="116"/>
  <c r="F23" i="116"/>
  <c r="F105" i="162" s="1"/>
  <c r="F107" i="162" s="1"/>
  <c r="S22" i="116"/>
  <c r="S60" i="162" s="1"/>
  <c r="K22" i="116"/>
  <c r="F22" i="116"/>
  <c r="F60" i="162" s="1"/>
  <c r="S21" i="116"/>
  <c r="S59" i="162" s="1"/>
  <c r="N21" i="116"/>
  <c r="N59" i="162" s="1"/>
  <c r="K21" i="116"/>
  <c r="G21" i="116"/>
  <c r="G59" i="162" s="1"/>
  <c r="F21" i="116"/>
  <c r="F59" i="162" s="1"/>
  <c r="S20" i="116"/>
  <c r="S98" i="162" s="1"/>
  <c r="K20" i="116"/>
  <c r="F20" i="116"/>
  <c r="F98" i="162" s="1"/>
  <c r="S19" i="116"/>
  <c r="S58" i="162" s="1"/>
  <c r="K19" i="116"/>
  <c r="F19" i="116"/>
  <c r="F58" i="162" s="1"/>
  <c r="S18" i="116"/>
  <c r="S9" i="162" s="1"/>
  <c r="K18" i="116"/>
  <c r="F18" i="116"/>
  <c r="F9" i="162" s="1"/>
  <c r="S17" i="116"/>
  <c r="S57" i="162" s="1"/>
  <c r="K17" i="116"/>
  <c r="F17" i="116"/>
  <c r="F57" i="162" s="1"/>
  <c r="S16" i="116"/>
  <c r="S8" i="162" s="1"/>
  <c r="K16" i="116"/>
  <c r="F16" i="116"/>
  <c r="F8" i="162" s="1"/>
  <c r="S15" i="116"/>
  <c r="S56" i="162" s="1"/>
  <c r="K15" i="116"/>
  <c r="F15" i="116"/>
  <c r="F56" i="162" s="1"/>
  <c r="S14" i="116"/>
  <c r="S55" i="162" s="1"/>
  <c r="K14" i="116"/>
  <c r="F14" i="116"/>
  <c r="F55" i="162" s="1"/>
  <c r="S13" i="116"/>
  <c r="S54" i="162" s="1"/>
  <c r="K13" i="116"/>
  <c r="F13" i="116"/>
  <c r="F54" i="162" s="1"/>
  <c r="Z12" i="116"/>
  <c r="S12" i="116"/>
  <c r="S7" i="162" s="1"/>
  <c r="K12" i="116"/>
  <c r="F12" i="116"/>
  <c r="F7" i="162" s="1"/>
  <c r="S11" i="116"/>
  <c r="S96" i="162" s="1"/>
  <c r="K11" i="116"/>
  <c r="F11" i="116"/>
  <c r="F96" i="162" s="1"/>
  <c r="S10" i="116"/>
  <c r="S53" i="162" s="1"/>
  <c r="N10" i="116"/>
  <c r="N53" i="162" s="1"/>
  <c r="K10" i="116"/>
  <c r="G10" i="116"/>
  <c r="G53" i="162" s="1"/>
  <c r="F10" i="116"/>
  <c r="F53" i="162" s="1"/>
  <c r="S9" i="116"/>
  <c r="S52" i="162" s="1"/>
  <c r="K9" i="116"/>
  <c r="F9" i="116"/>
  <c r="F52" i="162" s="1"/>
  <c r="S8" i="116"/>
  <c r="S51" i="162" s="1"/>
  <c r="K8" i="116"/>
  <c r="F8" i="116"/>
  <c r="F51" i="162" s="1"/>
  <c r="S7" i="116"/>
  <c r="S97" i="162" s="1"/>
  <c r="K7" i="116"/>
  <c r="F7" i="116"/>
  <c r="F97" i="162" s="1"/>
  <c r="S6" i="116"/>
  <c r="S6" i="162" s="1"/>
  <c r="K6" i="116"/>
  <c r="F6" i="116"/>
  <c r="F6" i="162" s="1"/>
  <c r="A6" i="116"/>
  <c r="A7" i="116" s="1"/>
  <c r="G16" i="44"/>
  <c r="O15" i="44"/>
  <c r="O14" i="44"/>
  <c r="H16" i="44"/>
  <c r="F12" i="43" s="1"/>
  <c r="O12" i="44"/>
  <c r="O11" i="44"/>
  <c r="D16" i="44"/>
  <c r="O9" i="44"/>
  <c r="I16" i="44"/>
  <c r="O7" i="44"/>
  <c r="K16" i="44"/>
  <c r="F16" i="44"/>
  <c r="E6" i="44"/>
  <c r="W24" i="97"/>
  <c r="V24" i="97"/>
  <c r="V20" i="97"/>
  <c r="G20" i="97"/>
  <c r="W24" i="12"/>
  <c r="V24" i="12"/>
  <c r="P17" i="12"/>
  <c r="O17" i="12"/>
  <c r="H17" i="12"/>
  <c r="V15" i="12"/>
  <c r="F15" i="12"/>
  <c r="E15" i="12"/>
  <c r="P12" i="12"/>
  <c r="G12" i="12"/>
  <c r="C12" i="12"/>
  <c r="G14" i="43"/>
  <c r="F22" i="38"/>
  <c r="G21" i="38"/>
  <c r="G22" i="38" s="1"/>
  <c r="F21" i="38"/>
  <c r="H20" i="38"/>
  <c r="E20" i="38"/>
  <c r="K19" i="38"/>
  <c r="H19" i="38"/>
  <c r="E19" i="38"/>
  <c r="H18" i="38"/>
  <c r="G17" i="38"/>
  <c r="F17" i="38"/>
  <c r="D17" i="38"/>
  <c r="D22" i="38" s="1"/>
  <c r="C17" i="38"/>
  <c r="H16" i="38"/>
  <c r="E16" i="38"/>
  <c r="H15" i="38"/>
  <c r="E15" i="38"/>
  <c r="H14" i="38"/>
  <c r="E14" i="38"/>
  <c r="K13" i="38"/>
  <c r="H13" i="38"/>
  <c r="H17" i="38" s="1"/>
  <c r="E13" i="38"/>
  <c r="H11" i="38"/>
  <c r="E11" i="38"/>
  <c r="H10" i="38"/>
  <c r="E10" i="38"/>
  <c r="C10" i="38"/>
  <c r="H9" i="38"/>
  <c r="E9" i="38"/>
  <c r="G13" i="100"/>
  <c r="G21" i="61"/>
  <c r="H22" i="40"/>
  <c r="I19" i="40"/>
  <c r="H19" i="40"/>
  <c r="G19" i="40"/>
  <c r="F19" i="40"/>
  <c r="E19" i="40"/>
  <c r="D19" i="40"/>
  <c r="D14" i="40"/>
  <c r="A9" i="123" l="1"/>
  <c r="A10" i="123" s="1"/>
  <c r="A11" i="123" s="1"/>
  <c r="A12" i="123" s="1"/>
  <c r="A13" i="123" s="1"/>
  <c r="A14" i="123" s="1"/>
  <c r="A15" i="123" s="1"/>
  <c r="A16" i="123" s="1"/>
  <c r="A17" i="123" s="1"/>
  <c r="A18" i="123" s="1"/>
  <c r="A19" i="123" s="1"/>
  <c r="A20" i="123" s="1"/>
  <c r="A21" i="123" s="1"/>
  <c r="A22" i="123" s="1"/>
  <c r="A23" i="123" s="1"/>
  <c r="A24" i="123" s="1"/>
  <c r="A25" i="123" s="1"/>
  <c r="A26" i="123" s="1"/>
  <c r="A27" i="123" s="1"/>
  <c r="A28" i="123" s="1"/>
  <c r="A29" i="123" s="1"/>
  <c r="A30" i="123" s="1"/>
  <c r="A31" i="123" s="1"/>
  <c r="A32" i="123" s="1"/>
  <c r="A33" i="123" s="1"/>
  <c r="A34" i="123" s="1"/>
  <c r="A35" i="123" s="1"/>
  <c r="A36" i="123" s="1"/>
  <c r="A37" i="123" s="1"/>
  <c r="A38" i="123" s="1"/>
  <c r="A39" i="123" s="1"/>
  <c r="A40" i="123" s="1"/>
  <c r="A41" i="123" s="1"/>
  <c r="A42" i="123" s="1"/>
  <c r="A43" i="123" s="1"/>
  <c r="A44" i="123" s="1"/>
  <c r="A45" i="123" s="1"/>
  <c r="A46" i="123" s="1"/>
  <c r="A47" i="123" s="1"/>
  <c r="A48" i="123" s="1"/>
  <c r="A49" i="123" s="1"/>
  <c r="F9" i="123"/>
  <c r="F13" i="153" s="1"/>
  <c r="F31" i="153" s="1"/>
  <c r="D13" i="153"/>
  <c r="D31" i="153" s="1"/>
  <c r="L10" i="123"/>
  <c r="K14" i="153"/>
  <c r="F20" i="123"/>
  <c r="F19" i="153" s="1"/>
  <c r="D19" i="153"/>
  <c r="L21" i="123"/>
  <c r="L20" i="153" s="1"/>
  <c r="K20" i="153"/>
  <c r="L31" i="123"/>
  <c r="K23" i="153"/>
  <c r="L34" i="123"/>
  <c r="L25" i="153" s="1"/>
  <c r="K25" i="153"/>
  <c r="L38" i="123"/>
  <c r="K55" i="153"/>
  <c r="L40" i="123"/>
  <c r="K34" i="153"/>
  <c r="K35" i="153" s="1"/>
  <c r="L7" i="123"/>
  <c r="L32" i="153" s="1"/>
  <c r="L33" i="153" s="1"/>
  <c r="J9" i="97" s="1"/>
  <c r="K32" i="153"/>
  <c r="K33" i="153" s="1"/>
  <c r="I9" i="97" s="1"/>
  <c r="L8" i="123"/>
  <c r="K12" i="153"/>
  <c r="F11" i="123"/>
  <c r="F36" i="153" s="1"/>
  <c r="D36" i="153"/>
  <c r="D40" i="153" s="1"/>
  <c r="L12" i="123"/>
  <c r="K47" i="153"/>
  <c r="Z13" i="123"/>
  <c r="N48" i="153"/>
  <c r="L18" i="123"/>
  <c r="K45" i="153"/>
  <c r="L23" i="123"/>
  <c r="K50" i="153"/>
  <c r="L24" i="123"/>
  <c r="L21" i="153" s="1"/>
  <c r="K21" i="153"/>
  <c r="L28" i="123"/>
  <c r="L51" i="153" s="1"/>
  <c r="K51" i="153"/>
  <c r="L33" i="123"/>
  <c r="L24" i="153" s="1"/>
  <c r="K24" i="153"/>
  <c r="L37" i="123"/>
  <c r="L37" i="153" s="1"/>
  <c r="K37" i="153"/>
  <c r="L39" i="123"/>
  <c r="L38" i="153" s="1"/>
  <c r="K38" i="153"/>
  <c r="L43" i="123"/>
  <c r="L27" i="153" s="1"/>
  <c r="K27" i="153"/>
  <c r="L15" i="123"/>
  <c r="L16" i="153" s="1"/>
  <c r="K16" i="153"/>
  <c r="L26" i="123"/>
  <c r="K46" i="153"/>
  <c r="S31" i="153"/>
  <c r="L35" i="123"/>
  <c r="K54" i="153"/>
  <c r="F40" i="153"/>
  <c r="L41" i="123"/>
  <c r="L41" i="153" s="1"/>
  <c r="L42" i="153" s="1"/>
  <c r="K41" i="153"/>
  <c r="K42" i="153" s="1"/>
  <c r="L45" i="123"/>
  <c r="K8" i="153"/>
  <c r="K9" i="153" s="1"/>
  <c r="L9" i="123"/>
  <c r="K13" i="153"/>
  <c r="L13" i="123"/>
  <c r="K48" i="153"/>
  <c r="I17" i="97" s="1"/>
  <c r="L14" i="123"/>
  <c r="L15" i="153" s="1"/>
  <c r="K15" i="153"/>
  <c r="G49" i="123"/>
  <c r="E13" i="12" s="1"/>
  <c r="G43" i="153"/>
  <c r="G44" i="153" s="1"/>
  <c r="L20" i="123"/>
  <c r="K19" i="153"/>
  <c r="L25" i="123"/>
  <c r="K22" i="153"/>
  <c r="L29" i="123"/>
  <c r="L52" i="153" s="1"/>
  <c r="K52" i="153"/>
  <c r="L30" i="123"/>
  <c r="L53" i="153" s="1"/>
  <c r="K53" i="153"/>
  <c r="L44" i="123"/>
  <c r="K28" i="153"/>
  <c r="L19" i="123"/>
  <c r="L43" i="153" s="1"/>
  <c r="L44" i="153" s="1"/>
  <c r="J16" i="97" s="1"/>
  <c r="K43" i="153"/>
  <c r="K44" i="153" s="1"/>
  <c r="I16" i="97" s="1"/>
  <c r="E11" i="97"/>
  <c r="F10" i="123"/>
  <c r="F14" i="153" s="1"/>
  <c r="D14" i="153"/>
  <c r="L11" i="123"/>
  <c r="K36" i="153"/>
  <c r="L16" i="123"/>
  <c r="L17" i="153" s="1"/>
  <c r="K17" i="153"/>
  <c r="L17" i="123"/>
  <c r="K18" i="153"/>
  <c r="S56" i="153"/>
  <c r="L22" i="123"/>
  <c r="L49" i="153" s="1"/>
  <c r="K49" i="153"/>
  <c r="F26" i="123"/>
  <c r="F46" i="153" s="1"/>
  <c r="D46" i="153"/>
  <c r="D56" i="153" s="1"/>
  <c r="L27" i="123"/>
  <c r="L6" i="153" s="1"/>
  <c r="L7" i="153" s="1"/>
  <c r="K6" i="153"/>
  <c r="K7" i="153" s="1"/>
  <c r="L32" i="123"/>
  <c r="K10" i="153"/>
  <c r="L36" i="123"/>
  <c r="K26" i="153"/>
  <c r="L42" i="123"/>
  <c r="K39" i="153"/>
  <c r="D17" i="97"/>
  <c r="F6" i="121"/>
  <c r="F9" i="155" s="1"/>
  <c r="D9" i="155"/>
  <c r="F12" i="121"/>
  <c r="F14" i="155" s="1"/>
  <c r="D14" i="155"/>
  <c r="F20" i="121"/>
  <c r="F21" i="155" s="1"/>
  <c r="D21" i="155"/>
  <c r="L6" i="121"/>
  <c r="K9" i="155"/>
  <c r="L11" i="121"/>
  <c r="K13" i="155"/>
  <c r="L12" i="121"/>
  <c r="K14" i="155"/>
  <c r="L15" i="121"/>
  <c r="K8" i="155"/>
  <c r="L16" i="121"/>
  <c r="K17" i="155"/>
  <c r="L20" i="121"/>
  <c r="K21" i="155"/>
  <c r="L21" i="121"/>
  <c r="K22" i="155"/>
  <c r="L22" i="121"/>
  <c r="K23" i="155"/>
  <c r="L9" i="121"/>
  <c r="K11" i="155"/>
  <c r="L10" i="121"/>
  <c r="L12" i="155" s="1"/>
  <c r="K12" i="155"/>
  <c r="L19" i="121"/>
  <c r="K20" i="155"/>
  <c r="L8" i="121"/>
  <c r="L6" i="155" s="1"/>
  <c r="L7" i="155" s="1"/>
  <c r="K6" i="155"/>
  <c r="K7" i="155" s="1"/>
  <c r="L13" i="121"/>
  <c r="K15" i="155"/>
  <c r="L14" i="121"/>
  <c r="K16" i="155"/>
  <c r="S30" i="155"/>
  <c r="S31" i="155" s="1"/>
  <c r="L18" i="121"/>
  <c r="L19" i="155" s="1"/>
  <c r="K19" i="155"/>
  <c r="L24" i="121"/>
  <c r="K25" i="155"/>
  <c r="L7" i="121"/>
  <c r="L10" i="155" s="1"/>
  <c r="K10" i="155"/>
  <c r="L17" i="121"/>
  <c r="K18" i="155"/>
  <c r="L23" i="121"/>
  <c r="L24" i="155" s="1"/>
  <c r="K24" i="155"/>
  <c r="Q10" i="97"/>
  <c r="D108" i="167"/>
  <c r="B12" i="97" s="1"/>
  <c r="H87" i="167"/>
  <c r="H123" i="167" s="1"/>
  <c r="L7" i="117"/>
  <c r="L15" i="167" s="1"/>
  <c r="K15" i="167"/>
  <c r="L11" i="117"/>
  <c r="K17" i="167"/>
  <c r="B18" i="97"/>
  <c r="L16" i="117"/>
  <c r="K54" i="167"/>
  <c r="L20" i="117"/>
  <c r="K21" i="167"/>
  <c r="L26" i="117"/>
  <c r="L27" i="167" s="1"/>
  <c r="K27" i="167"/>
  <c r="L30" i="117"/>
  <c r="K30" i="167"/>
  <c r="L35" i="117"/>
  <c r="K32" i="167"/>
  <c r="L39" i="117"/>
  <c r="K34" i="167"/>
  <c r="L45" i="117"/>
  <c r="K119" i="167"/>
  <c r="Q14" i="97"/>
  <c r="L49" i="117"/>
  <c r="K65" i="167"/>
  <c r="L53" i="117"/>
  <c r="K102" i="167"/>
  <c r="L56" i="117"/>
  <c r="K103" i="167"/>
  <c r="L57" i="117"/>
  <c r="L12" i="167" s="1"/>
  <c r="K12" i="167"/>
  <c r="L61" i="117"/>
  <c r="L41" i="167" s="1"/>
  <c r="K41" i="167"/>
  <c r="L62" i="117"/>
  <c r="L68" i="167" s="1"/>
  <c r="K68" i="167"/>
  <c r="F65" i="117"/>
  <c r="F42" i="167" s="1"/>
  <c r="D42" i="167"/>
  <c r="L66" i="117"/>
  <c r="L43" i="167" s="1"/>
  <c r="K43" i="167"/>
  <c r="L71" i="117"/>
  <c r="K45" i="167"/>
  <c r="L75" i="117"/>
  <c r="L72" i="167" s="1"/>
  <c r="K72" i="167"/>
  <c r="L79" i="117"/>
  <c r="L98" i="167" s="1"/>
  <c r="K98" i="167"/>
  <c r="L83" i="117"/>
  <c r="K107" i="167"/>
  <c r="L98" i="117"/>
  <c r="L53" i="167" s="1"/>
  <c r="K53" i="167"/>
  <c r="L99" i="117"/>
  <c r="L77" i="167" s="1"/>
  <c r="K77" i="167"/>
  <c r="L104" i="117"/>
  <c r="L81" i="167" s="1"/>
  <c r="K81" i="167"/>
  <c r="L108" i="117"/>
  <c r="K47" i="167"/>
  <c r="H11" i="97"/>
  <c r="H20" i="97" s="1"/>
  <c r="J123" i="167"/>
  <c r="L113" i="117"/>
  <c r="L50" i="167" s="1"/>
  <c r="K50" i="167"/>
  <c r="S7" i="117"/>
  <c r="S15" i="167" s="1"/>
  <c r="Q15" i="167"/>
  <c r="L10" i="117"/>
  <c r="L8" i="167" s="1"/>
  <c r="K8" i="167"/>
  <c r="L15" i="117"/>
  <c r="K118" i="167"/>
  <c r="L19" i="117"/>
  <c r="L59" i="167" s="1"/>
  <c r="L60" i="167" s="1"/>
  <c r="K59" i="167"/>
  <c r="K60" i="167" s="1"/>
  <c r="L23" i="117"/>
  <c r="L24" i="167" s="1"/>
  <c r="K24" i="167"/>
  <c r="L24" i="117"/>
  <c r="L25" i="167" s="1"/>
  <c r="K25" i="167"/>
  <c r="L25" i="117"/>
  <c r="L26" i="167" s="1"/>
  <c r="K26" i="167"/>
  <c r="L29" i="117"/>
  <c r="K29" i="167"/>
  <c r="Z9" i="167"/>
  <c r="Z14" i="167" s="1"/>
  <c r="Z123" i="167" s="1"/>
  <c r="M5" i="44"/>
  <c r="L34" i="117"/>
  <c r="K31" i="167"/>
  <c r="F14" i="167"/>
  <c r="D7" i="97" s="1"/>
  <c r="L38" i="117"/>
  <c r="L33" i="167" s="1"/>
  <c r="K33" i="167"/>
  <c r="L44" i="117"/>
  <c r="L94" i="167" s="1"/>
  <c r="K94" i="167"/>
  <c r="S122" i="167"/>
  <c r="Q18" i="97" s="1"/>
  <c r="L48" i="117"/>
  <c r="L11" i="167" s="1"/>
  <c r="K11" i="167"/>
  <c r="L52" i="117"/>
  <c r="L67" i="167" s="1"/>
  <c r="K67" i="167"/>
  <c r="L12" i="97"/>
  <c r="L60" i="117"/>
  <c r="L40" i="167" s="1"/>
  <c r="K40" i="167"/>
  <c r="S62" i="117"/>
  <c r="S68" i="167" s="1"/>
  <c r="Q68" i="167"/>
  <c r="Q87" i="167" s="1"/>
  <c r="O11" i="97" s="1"/>
  <c r="L65" i="117"/>
  <c r="K42" i="167"/>
  <c r="L69" i="117"/>
  <c r="K95" i="167"/>
  <c r="L70" i="117"/>
  <c r="L44" i="167" s="1"/>
  <c r="K44" i="167"/>
  <c r="L74" i="117"/>
  <c r="L71" i="167" s="1"/>
  <c r="K71" i="167"/>
  <c r="L78" i="117"/>
  <c r="L97" i="167" s="1"/>
  <c r="K97" i="167"/>
  <c r="L82" i="117"/>
  <c r="L106" i="167" s="1"/>
  <c r="K106" i="167"/>
  <c r="F11" i="97"/>
  <c r="F20" i="97" s="1"/>
  <c r="L103" i="117"/>
  <c r="L91" i="167" s="1"/>
  <c r="K91" i="167"/>
  <c r="L107" i="117"/>
  <c r="K83" i="167"/>
  <c r="L112" i="117"/>
  <c r="K49" i="167"/>
  <c r="S113" i="117"/>
  <c r="S50" i="167" s="1"/>
  <c r="Q50" i="167"/>
  <c r="F7" i="117"/>
  <c r="F15" i="167" s="1"/>
  <c r="D15" i="167"/>
  <c r="L9" i="117"/>
  <c r="L61" i="167" s="1"/>
  <c r="L62" i="167" s="1"/>
  <c r="K61" i="167"/>
  <c r="K62" i="167" s="1"/>
  <c r="S14" i="167"/>
  <c r="Q7" i="97" s="1"/>
  <c r="L13" i="117"/>
  <c r="L19" i="167" s="1"/>
  <c r="K19" i="167"/>
  <c r="L14" i="117"/>
  <c r="L20" i="167" s="1"/>
  <c r="K20" i="167"/>
  <c r="D10" i="97"/>
  <c r="L18" i="117"/>
  <c r="L96" i="167" s="1"/>
  <c r="K96" i="167"/>
  <c r="L22" i="117"/>
  <c r="L23" i="167" s="1"/>
  <c r="K23" i="167"/>
  <c r="N56" i="167"/>
  <c r="L8" i="97" s="1"/>
  <c r="L28" i="117"/>
  <c r="K28" i="167"/>
  <c r="L33" i="117"/>
  <c r="L63" i="167" s="1"/>
  <c r="K63" i="167"/>
  <c r="L37" i="117"/>
  <c r="L10" i="167" s="1"/>
  <c r="K10" i="167"/>
  <c r="L41" i="117"/>
  <c r="K64" i="167"/>
  <c r="E12" i="97"/>
  <c r="L43" i="117"/>
  <c r="L93" i="167" s="1"/>
  <c r="K93" i="167"/>
  <c r="L47" i="117"/>
  <c r="L36" i="167" s="1"/>
  <c r="K36" i="167"/>
  <c r="L51" i="117"/>
  <c r="L37" i="167" s="1"/>
  <c r="K37" i="167"/>
  <c r="L55" i="117"/>
  <c r="L38" i="167" s="1"/>
  <c r="K38" i="167"/>
  <c r="L59" i="117"/>
  <c r="K39" i="167"/>
  <c r="L64" i="117"/>
  <c r="K90" i="167"/>
  <c r="L68" i="117"/>
  <c r="K70" i="167"/>
  <c r="S70" i="117"/>
  <c r="S44" i="167" s="1"/>
  <c r="Q44" i="167"/>
  <c r="L73" i="117"/>
  <c r="K104" i="167"/>
  <c r="L77" i="117"/>
  <c r="L74" i="167" s="1"/>
  <c r="K74" i="167"/>
  <c r="L81" i="117"/>
  <c r="L105" i="167" s="1"/>
  <c r="K105" i="167"/>
  <c r="L85" i="117"/>
  <c r="L109" i="167" s="1"/>
  <c r="L111" i="167" s="1"/>
  <c r="J13" i="97" s="1"/>
  <c r="K109" i="167"/>
  <c r="K111" i="167" s="1"/>
  <c r="I13" i="97" s="1"/>
  <c r="X8" i="97"/>
  <c r="L101" i="117"/>
  <c r="L79" i="167" s="1"/>
  <c r="K79" i="167"/>
  <c r="L106" i="117"/>
  <c r="K92" i="167"/>
  <c r="L111" i="117"/>
  <c r="K48" i="167"/>
  <c r="G56" i="167"/>
  <c r="E8" i="97" s="1"/>
  <c r="L8" i="117"/>
  <c r="K16" i="167"/>
  <c r="L12" i="117"/>
  <c r="K18" i="167"/>
  <c r="S14" i="117"/>
  <c r="S20" i="167" s="1"/>
  <c r="Q20" i="167"/>
  <c r="L17" i="117"/>
  <c r="K6" i="167"/>
  <c r="K7" i="167" s="1"/>
  <c r="L21" i="117"/>
  <c r="K22" i="167"/>
  <c r="S24" i="117"/>
  <c r="S25" i="167" s="1"/>
  <c r="R25" i="167"/>
  <c r="R56" i="167" s="1"/>
  <c r="L27" i="117"/>
  <c r="K99" i="167"/>
  <c r="F30" i="117"/>
  <c r="F30" i="167" s="1"/>
  <c r="D30" i="167"/>
  <c r="L31" i="117"/>
  <c r="L9" i="167" s="1"/>
  <c r="K9" i="167"/>
  <c r="L32" i="117"/>
  <c r="K55" i="167"/>
  <c r="S87" i="167"/>
  <c r="L36" i="117"/>
  <c r="K100" i="167"/>
  <c r="L40" i="117"/>
  <c r="K35" i="167"/>
  <c r="L42" i="117"/>
  <c r="L101" i="167" s="1"/>
  <c r="K101" i="167"/>
  <c r="L46" i="117"/>
  <c r="L114" i="167" s="1"/>
  <c r="K114" i="167"/>
  <c r="L50" i="117"/>
  <c r="L66" i="167" s="1"/>
  <c r="K66" i="167"/>
  <c r="L54" i="117"/>
  <c r="L120" i="167" s="1"/>
  <c r="K120" i="167"/>
  <c r="L58" i="117"/>
  <c r="L13" i="167" s="1"/>
  <c r="K13" i="167"/>
  <c r="L63" i="117"/>
  <c r="L51" i="167" s="1"/>
  <c r="K51" i="167"/>
  <c r="L67" i="117"/>
  <c r="L69" i="167" s="1"/>
  <c r="K69" i="167"/>
  <c r="L72" i="117"/>
  <c r="K115" i="167"/>
  <c r="S73" i="117"/>
  <c r="S104" i="167" s="1"/>
  <c r="S108" i="167" s="1"/>
  <c r="Q12" i="97" s="1"/>
  <c r="Q104" i="167"/>
  <c r="Q108" i="167" s="1"/>
  <c r="L76" i="117"/>
  <c r="K73" i="167"/>
  <c r="L80" i="117"/>
  <c r="K121" i="167"/>
  <c r="L84" i="117"/>
  <c r="K116" i="167"/>
  <c r="L96" i="117"/>
  <c r="L46" i="167" s="1"/>
  <c r="K46" i="167"/>
  <c r="L97" i="117"/>
  <c r="L52" i="167" s="1"/>
  <c r="K52" i="167"/>
  <c r="L100" i="117"/>
  <c r="K78" i="167"/>
  <c r="L105" i="117"/>
  <c r="K82" i="167"/>
  <c r="L110" i="117"/>
  <c r="K85" i="167"/>
  <c r="L114" i="117"/>
  <c r="L86" i="167" s="1"/>
  <c r="K86" i="167"/>
  <c r="P70" i="139"/>
  <c r="M44" i="139"/>
  <c r="M52" i="139"/>
  <c r="O52" i="139" s="1"/>
  <c r="AN75" i="139"/>
  <c r="AZ75" i="139" s="1"/>
  <c r="M20" i="139"/>
  <c r="M59" i="139"/>
  <c r="M69" i="139"/>
  <c r="T69" i="139" s="1"/>
  <c r="U69" i="139" s="1"/>
  <c r="W73" i="139"/>
  <c r="M9" i="139"/>
  <c r="M14" i="139"/>
  <c r="T14" i="139" s="1"/>
  <c r="U14" i="139" s="1"/>
  <c r="P42" i="139"/>
  <c r="M42" i="139" s="1"/>
  <c r="O42" i="139" s="1"/>
  <c r="P49" i="139"/>
  <c r="M49" i="139" s="1"/>
  <c r="T34" i="139"/>
  <c r="U34" i="139" s="1"/>
  <c r="AN34" i="139" s="1"/>
  <c r="AZ34" i="139" s="1"/>
  <c r="O34" i="139"/>
  <c r="AU78" i="139"/>
  <c r="AK9" i="139"/>
  <c r="AM9" i="139" s="1"/>
  <c r="AP9" i="139" s="1"/>
  <c r="M38" i="139"/>
  <c r="O38" i="139" s="1"/>
  <c r="M17" i="139"/>
  <c r="P25" i="139"/>
  <c r="M25" i="139" s="1"/>
  <c r="P72" i="139"/>
  <c r="M72" i="139" s="1"/>
  <c r="O72" i="139" s="1"/>
  <c r="M55" i="139"/>
  <c r="O55" i="139" s="1"/>
  <c r="AK66" i="139"/>
  <c r="AM66" i="139" s="1"/>
  <c r="AP66" i="139" s="1"/>
  <c r="M11" i="139"/>
  <c r="T11" i="139" s="1"/>
  <c r="U11" i="139" s="1"/>
  <c r="AF20" i="145"/>
  <c r="AM20" i="145" s="1"/>
  <c r="O20" i="145"/>
  <c r="O48" i="145"/>
  <c r="AF48" i="145"/>
  <c r="AM48" i="145" s="1"/>
  <c r="AF55" i="145"/>
  <c r="AM55" i="145" s="1"/>
  <c r="O55" i="145"/>
  <c r="P57" i="145"/>
  <c r="P77" i="145" s="1"/>
  <c r="P117" i="145" s="1"/>
  <c r="AF57" i="145"/>
  <c r="AM57" i="145" s="1"/>
  <c r="AF63" i="145"/>
  <c r="AM63" i="145" s="1"/>
  <c r="O63" i="145"/>
  <c r="AF83" i="145"/>
  <c r="AM83" i="145" s="1"/>
  <c r="O83" i="145"/>
  <c r="O89" i="145" s="1"/>
  <c r="H44" i="145"/>
  <c r="AC44" i="145"/>
  <c r="AE24" i="145"/>
  <c r="O33" i="145"/>
  <c r="L36" i="145"/>
  <c r="N36" i="145" s="1"/>
  <c r="AF36" i="145" s="1"/>
  <c r="AM36" i="145" s="1"/>
  <c r="AF60" i="145"/>
  <c r="AM60" i="145" s="1"/>
  <c r="O60" i="145"/>
  <c r="AF64" i="145"/>
  <c r="AM64" i="145" s="1"/>
  <c r="O64" i="145"/>
  <c r="AF74" i="145"/>
  <c r="AM74" i="145" s="1"/>
  <c r="O74" i="145"/>
  <c r="AF87" i="145"/>
  <c r="AM87" i="145" s="1"/>
  <c r="O87" i="145"/>
  <c r="AF93" i="145"/>
  <c r="AM93" i="145" s="1"/>
  <c r="O93" i="145"/>
  <c r="AF34" i="145"/>
  <c r="AM34" i="145" s="1"/>
  <c r="O49" i="145"/>
  <c r="AF49" i="145"/>
  <c r="AM49" i="145" s="1"/>
  <c r="O54" i="145"/>
  <c r="AF56" i="145"/>
  <c r="AM56" i="145" s="1"/>
  <c r="O56" i="145"/>
  <c r="AF61" i="145"/>
  <c r="AM61" i="145" s="1"/>
  <c r="O61" i="145"/>
  <c r="AF72" i="145"/>
  <c r="AM72" i="145" s="1"/>
  <c r="O72" i="145"/>
  <c r="AF85" i="145"/>
  <c r="AM85" i="145" s="1"/>
  <c r="O85" i="145"/>
  <c r="O99" i="145"/>
  <c r="AJ106" i="145"/>
  <c r="AC21" i="145"/>
  <c r="I44" i="145"/>
  <c r="K26" i="145"/>
  <c r="K44" i="145" s="1"/>
  <c r="O50" i="145"/>
  <c r="AF50" i="145"/>
  <c r="AM50" i="145" s="1"/>
  <c r="AF62" i="145"/>
  <c r="AM62" i="145" s="1"/>
  <c r="O62" i="145"/>
  <c r="O66" i="145"/>
  <c r="AF66" i="145"/>
  <c r="AM66" i="145" s="1"/>
  <c r="AF70" i="145"/>
  <c r="AM70" i="145" s="1"/>
  <c r="O70" i="145"/>
  <c r="AG99" i="145"/>
  <c r="AC106" i="145"/>
  <c r="G117" i="145"/>
  <c r="U117" i="145"/>
  <c r="AL117" i="145"/>
  <c r="AF51" i="145"/>
  <c r="AM51" i="145" s="1"/>
  <c r="AF53" i="145"/>
  <c r="AM53" i="145" s="1"/>
  <c r="K89" i="145"/>
  <c r="H94" i="145"/>
  <c r="L21" i="145"/>
  <c r="R117" i="145"/>
  <c r="V117" i="145"/>
  <c r="AH117" i="145"/>
  <c r="E22" i="40" s="1"/>
  <c r="AF25" i="145"/>
  <c r="AM25" i="145" s="1"/>
  <c r="K36" i="145"/>
  <c r="AF42" i="145"/>
  <c r="AM42" i="145" s="1"/>
  <c r="AJ77" i="145"/>
  <c r="O51" i="145"/>
  <c r="O53" i="145"/>
  <c r="L89" i="145"/>
  <c r="AJ94" i="145"/>
  <c r="AC94" i="145"/>
  <c r="H99" i="145"/>
  <c r="K106" i="145"/>
  <c r="O16" i="145"/>
  <c r="AF16" i="145"/>
  <c r="AM16" i="145" s="1"/>
  <c r="O40" i="145"/>
  <c r="AF40" i="145"/>
  <c r="AM40" i="145" s="1"/>
  <c r="K21" i="145"/>
  <c r="C21" i="145"/>
  <c r="O10" i="145"/>
  <c r="AF10" i="145"/>
  <c r="AM10" i="145" s="1"/>
  <c r="O13" i="145"/>
  <c r="AF13" i="145"/>
  <c r="AM13" i="145" s="1"/>
  <c r="AF18" i="145"/>
  <c r="AM18" i="145" s="1"/>
  <c r="O18" i="145"/>
  <c r="O11" i="145"/>
  <c r="AF11" i="145"/>
  <c r="AM11" i="145" s="1"/>
  <c r="O14" i="145"/>
  <c r="AF14" i="145"/>
  <c r="AM14" i="145" s="1"/>
  <c r="O17" i="145"/>
  <c r="AF17" i="145"/>
  <c r="AM17" i="145" s="1"/>
  <c r="AF19" i="145"/>
  <c r="AM19" i="145" s="1"/>
  <c r="O19" i="145"/>
  <c r="AE36" i="145"/>
  <c r="AG36" i="145" s="1"/>
  <c r="AD36" i="145"/>
  <c r="I77" i="145"/>
  <c r="K48" i="145"/>
  <c r="I21" i="145"/>
  <c r="Q117" i="145"/>
  <c r="AF27" i="145"/>
  <c r="AM27" i="145" s="1"/>
  <c r="AF37" i="145"/>
  <c r="AM37" i="145" s="1"/>
  <c r="AF38" i="145"/>
  <c r="AM38" i="145" s="1"/>
  <c r="AF39" i="145"/>
  <c r="AM39" i="145" s="1"/>
  <c r="AE77" i="145"/>
  <c r="M77" i="145"/>
  <c r="M117" i="145" s="1"/>
  <c r="N58" i="145"/>
  <c r="O65" i="145"/>
  <c r="AF65" i="145"/>
  <c r="AM65" i="145" s="1"/>
  <c r="AG69" i="145"/>
  <c r="AF69" i="145"/>
  <c r="AM69" i="145" s="1"/>
  <c r="AF71" i="145"/>
  <c r="AM71" i="145" s="1"/>
  <c r="O71" i="145"/>
  <c r="AF73" i="145"/>
  <c r="AM73" i="145" s="1"/>
  <c r="AC77" i="145"/>
  <c r="AF98" i="145"/>
  <c r="AM98" i="145" s="1"/>
  <c r="AF105" i="145"/>
  <c r="AM105" i="145" s="1"/>
  <c r="AF15" i="145"/>
  <c r="AM15" i="145" s="1"/>
  <c r="AG77" i="145"/>
  <c r="AE8" i="145"/>
  <c r="O25" i="145"/>
  <c r="O28" i="145"/>
  <c r="AF29" i="145"/>
  <c r="AM29" i="145" s="1"/>
  <c r="O43" i="145"/>
  <c r="O75" i="145"/>
  <c r="AF75" i="145"/>
  <c r="AM75" i="145" s="1"/>
  <c r="O76" i="145"/>
  <c r="AF76" i="145"/>
  <c r="AM76" i="145" s="1"/>
  <c r="AG82" i="145"/>
  <c r="AE89" i="145"/>
  <c r="L106" i="145"/>
  <c r="O114" i="145"/>
  <c r="AF114" i="145"/>
  <c r="AM114" i="145" s="1"/>
  <c r="N8" i="145"/>
  <c r="T117" i="145"/>
  <c r="X117" i="145"/>
  <c r="AB117" i="145"/>
  <c r="AN117" i="145"/>
  <c r="AF24" i="145"/>
  <c r="AG24" i="145"/>
  <c r="AG44" i="145" s="1"/>
  <c r="N26" i="145"/>
  <c r="O29" i="145"/>
  <c r="AF30" i="145"/>
  <c r="AM30" i="145" s="1"/>
  <c r="AF31" i="145"/>
  <c r="AM31" i="145" s="1"/>
  <c r="AF32" i="145"/>
  <c r="AM32" i="145" s="1"/>
  <c r="AF41" i="145"/>
  <c r="AM41" i="145" s="1"/>
  <c r="C48" i="145"/>
  <c r="C77" i="145"/>
  <c r="AF47" i="145"/>
  <c r="O47" i="145"/>
  <c r="O52" i="145"/>
  <c r="AF52" i="145"/>
  <c r="AM52" i="145" s="1"/>
  <c r="AF59" i="145"/>
  <c r="AM59" i="145" s="1"/>
  <c r="O59" i="145"/>
  <c r="AF67" i="145"/>
  <c r="AM67" i="145" s="1"/>
  <c r="C104" i="145"/>
  <c r="C105" i="145" s="1"/>
  <c r="O103" i="145"/>
  <c r="AF103" i="145"/>
  <c r="AM103" i="145" s="1"/>
  <c r="AJ89" i="145"/>
  <c r="AC99" i="145"/>
  <c r="Y117" i="145"/>
  <c r="AK117" i="145"/>
  <c r="AO117" i="145"/>
  <c r="F77" i="145"/>
  <c r="F117" i="145" s="1"/>
  <c r="K67" i="145"/>
  <c r="AF84" i="145"/>
  <c r="AM84" i="145" s="1"/>
  <c r="AF86" i="145"/>
  <c r="AM86" i="145" s="1"/>
  <c r="AF88" i="145"/>
  <c r="AM88" i="145" s="1"/>
  <c r="N89" i="145"/>
  <c r="K93" i="145"/>
  <c r="K94" i="145" s="1"/>
  <c r="I94" i="145"/>
  <c r="N99" i="145"/>
  <c r="AF97" i="145"/>
  <c r="AF102" i="145"/>
  <c r="AE110" i="145"/>
  <c r="AG109" i="145"/>
  <c r="AG110" i="145" s="1"/>
  <c r="AF113" i="145"/>
  <c r="H77" i="145"/>
  <c r="L68" i="145"/>
  <c r="N68" i="145" s="1"/>
  <c r="N77" i="145" s="1"/>
  <c r="K68" i="145"/>
  <c r="AF81" i="145"/>
  <c r="AE106" i="145"/>
  <c r="AG102" i="145"/>
  <c r="AG106" i="145" s="1"/>
  <c r="L110" i="145"/>
  <c r="N109" i="145"/>
  <c r="AE115" i="145"/>
  <c r="AG113" i="145"/>
  <c r="AG115" i="145" s="1"/>
  <c r="J77" i="145"/>
  <c r="J117" i="145" s="1"/>
  <c r="H89" i="145"/>
  <c r="AC89" i="145"/>
  <c r="AF82" i="145"/>
  <c r="AM82" i="145" s="1"/>
  <c r="AE99" i="145"/>
  <c r="AF104" i="145"/>
  <c r="AM104" i="145" s="1"/>
  <c r="AG89" i="145"/>
  <c r="AE94" i="145"/>
  <c r="N106" i="145"/>
  <c r="O102" i="145"/>
  <c r="N115" i="145"/>
  <c r="O113" i="145"/>
  <c r="Z99" i="145"/>
  <c r="Z117" i="145" s="1"/>
  <c r="N92" i="145"/>
  <c r="P19" i="140"/>
  <c r="M19" i="140" s="1"/>
  <c r="P109" i="140"/>
  <c r="M109" i="140" s="1"/>
  <c r="O109" i="140" s="1"/>
  <c r="P16" i="140"/>
  <c r="T16" i="140" s="1"/>
  <c r="U16" i="140" s="1"/>
  <c r="M16" i="140"/>
  <c r="O16" i="140" s="1"/>
  <c r="P12" i="140"/>
  <c r="M12" i="140" s="1"/>
  <c r="O12" i="140" s="1"/>
  <c r="M30" i="141"/>
  <c r="M72" i="141"/>
  <c r="T72" i="141" s="1"/>
  <c r="M74" i="141"/>
  <c r="T74" i="141" s="1"/>
  <c r="U74" i="141" s="1"/>
  <c r="AN74" i="141" s="1"/>
  <c r="AY74" i="141" s="1"/>
  <c r="AN55" i="141"/>
  <c r="AY55" i="141" s="1"/>
  <c r="G22" i="42"/>
  <c r="BC93" i="140"/>
  <c r="BC116" i="140" s="1"/>
  <c r="AI116" i="140"/>
  <c r="M42" i="140"/>
  <c r="O42" i="140" s="1"/>
  <c r="P47" i="140"/>
  <c r="M47" i="140" s="1"/>
  <c r="O47" i="140" s="1"/>
  <c r="AP116" i="140"/>
  <c r="AU116" i="140"/>
  <c r="AZ116" i="140"/>
  <c r="AX116" i="140"/>
  <c r="M7" i="140"/>
  <c r="T7" i="140" s="1"/>
  <c r="U7" i="140" s="1"/>
  <c r="P35" i="140"/>
  <c r="M35" i="140" s="1"/>
  <c r="T35" i="140" s="1"/>
  <c r="U35" i="140" s="1"/>
  <c r="M46" i="140"/>
  <c r="O46" i="140" s="1"/>
  <c r="M49" i="140"/>
  <c r="O49" i="140" s="1"/>
  <c r="H116" i="140"/>
  <c r="AQ116" i="140"/>
  <c r="AV116" i="140"/>
  <c r="BA116" i="140"/>
  <c r="Q93" i="140"/>
  <c r="AK9" i="140"/>
  <c r="AM9" i="140" s="1"/>
  <c r="AO9" i="140" s="1"/>
  <c r="AH116" i="140"/>
  <c r="T49" i="140"/>
  <c r="U49" i="140" s="1"/>
  <c r="AN49" i="140" s="1"/>
  <c r="AY49" i="140" s="1"/>
  <c r="P64" i="140"/>
  <c r="M64" i="140" s="1"/>
  <c r="O64" i="140" s="1"/>
  <c r="M69" i="140"/>
  <c r="O69" i="140" s="1"/>
  <c r="Y116" i="140"/>
  <c r="AD116" i="140"/>
  <c r="M6" i="140"/>
  <c r="T6" i="140" s="1"/>
  <c r="U6" i="140" s="1"/>
  <c r="M14" i="140"/>
  <c r="T14" i="140" s="1"/>
  <c r="U14" i="140" s="1"/>
  <c r="M33" i="140"/>
  <c r="T33" i="140" s="1"/>
  <c r="U33" i="140" s="1"/>
  <c r="M39" i="140"/>
  <c r="T39" i="140" s="1"/>
  <c r="U39" i="140" s="1"/>
  <c r="Z115" i="140"/>
  <c r="P26" i="140"/>
  <c r="M26" i="140" s="1"/>
  <c r="O26" i="140" s="1"/>
  <c r="P58" i="140"/>
  <c r="M58" i="140" s="1"/>
  <c r="O58" i="140" s="1"/>
  <c r="X116" i="140"/>
  <c r="J102" i="141"/>
  <c r="O81" i="141"/>
  <c r="M26" i="141"/>
  <c r="T26" i="141" s="1"/>
  <c r="U26" i="141" s="1"/>
  <c r="O59" i="141"/>
  <c r="E102" i="141"/>
  <c r="Q102" i="141"/>
  <c r="AU102" i="141"/>
  <c r="AZ102" i="141"/>
  <c r="AR102" i="141"/>
  <c r="M31" i="141"/>
  <c r="T31" i="141" s="1"/>
  <c r="U31" i="141" s="1"/>
  <c r="M69" i="141"/>
  <c r="T69" i="141" s="1"/>
  <c r="U69" i="141" s="1"/>
  <c r="O11" i="141"/>
  <c r="M11" i="141"/>
  <c r="M32" i="141"/>
  <c r="T32" i="141" s="1"/>
  <c r="U32" i="141" s="1"/>
  <c r="M35" i="141"/>
  <c r="O35" i="141" s="1"/>
  <c r="P53" i="141"/>
  <c r="M53" i="141" s="1"/>
  <c r="O53" i="141" s="1"/>
  <c r="M63" i="141"/>
  <c r="M65" i="141"/>
  <c r="T65" i="141" s="1"/>
  <c r="U65" i="141" s="1"/>
  <c r="AW102" i="141"/>
  <c r="G101" i="141"/>
  <c r="G102" i="141" s="1"/>
  <c r="M16" i="141"/>
  <c r="M23" i="141"/>
  <c r="O23" i="141" s="1"/>
  <c r="S84" i="141"/>
  <c r="N101" i="141"/>
  <c r="P96" i="141"/>
  <c r="P39" i="141"/>
  <c r="M39" i="141" s="1"/>
  <c r="O39" i="141" s="1"/>
  <c r="P43" i="141"/>
  <c r="M43" i="141" s="1"/>
  <c r="O43" i="141" s="1"/>
  <c r="M93" i="141"/>
  <c r="T93" i="141" s="1"/>
  <c r="U93" i="141" s="1"/>
  <c r="F18" i="141"/>
  <c r="M66" i="141"/>
  <c r="O66" i="141" s="1"/>
  <c r="T66" i="141"/>
  <c r="U66" i="141" s="1"/>
  <c r="V66" i="141" s="1"/>
  <c r="P21" i="141"/>
  <c r="Z102" i="141"/>
  <c r="AD102" i="141"/>
  <c r="AQ102" i="141"/>
  <c r="AV102" i="141"/>
  <c r="AT101" i="141"/>
  <c r="M18" i="141"/>
  <c r="O18" i="141" s="1"/>
  <c r="M29" i="141"/>
  <c r="O29" i="141" s="1"/>
  <c r="O56" i="141"/>
  <c r="O57" i="141"/>
  <c r="AL102" i="141"/>
  <c r="AS102" i="141"/>
  <c r="BC102" i="141"/>
  <c r="Y102" i="141"/>
  <c r="AK91" i="141"/>
  <c r="AM91" i="141" s="1"/>
  <c r="AO91" i="141" s="1"/>
  <c r="M99" i="141"/>
  <c r="T99" i="141" s="1"/>
  <c r="U99" i="141" s="1"/>
  <c r="AF102" i="141"/>
  <c r="AH102" i="141"/>
  <c r="BA102" i="141"/>
  <c r="AP102" i="141"/>
  <c r="M14" i="141"/>
  <c r="T14" i="141" s="1"/>
  <c r="U14" i="141" s="1"/>
  <c r="V55" i="141"/>
  <c r="AN56" i="141"/>
  <c r="AY56" i="141" s="1"/>
  <c r="I102" i="141"/>
  <c r="AK62" i="141"/>
  <c r="AM62" i="141" s="1"/>
  <c r="M29" i="140"/>
  <c r="O29" i="140" s="1"/>
  <c r="P48" i="140"/>
  <c r="N93" i="140"/>
  <c r="N116" i="140" s="1"/>
  <c r="M54" i="140"/>
  <c r="O54" i="140" s="1"/>
  <c r="M73" i="140"/>
  <c r="O73" i="140" s="1"/>
  <c r="P61" i="140"/>
  <c r="T10" i="140"/>
  <c r="U10" i="140" s="1"/>
  <c r="AN10" i="140" s="1"/>
  <c r="AY10" i="140" s="1"/>
  <c r="AK20" i="140"/>
  <c r="AM20" i="140" s="1"/>
  <c r="AO20" i="140" s="1"/>
  <c r="M59" i="140"/>
  <c r="O59" i="140" s="1"/>
  <c r="Z93" i="140"/>
  <c r="I116" i="140"/>
  <c r="P55" i="140"/>
  <c r="M55" i="140" s="1"/>
  <c r="O55" i="140" s="1"/>
  <c r="M56" i="140"/>
  <c r="T56" i="140" s="1"/>
  <c r="U56" i="140" s="1"/>
  <c r="M81" i="140"/>
  <c r="O81" i="140" s="1"/>
  <c r="AN88" i="140"/>
  <c r="AY88" i="140" s="1"/>
  <c r="W116" i="140"/>
  <c r="AB116" i="140"/>
  <c r="AF116" i="140"/>
  <c r="P101" i="140"/>
  <c r="M101" i="140" s="1"/>
  <c r="T101" i="140" s="1"/>
  <c r="U101" i="140" s="1"/>
  <c r="AC116" i="140"/>
  <c r="AG116" i="140"/>
  <c r="AJ116" i="140"/>
  <c r="P13" i="140"/>
  <c r="M13" i="140" s="1"/>
  <c r="P20" i="140"/>
  <c r="P76" i="140"/>
  <c r="M76" i="140" s="1"/>
  <c r="O76" i="140" s="1"/>
  <c r="AN90" i="140"/>
  <c r="AY90" i="140" s="1"/>
  <c r="AN92" i="140"/>
  <c r="AY92" i="140" s="1"/>
  <c r="J116" i="140"/>
  <c r="AA116" i="140"/>
  <c r="AE116" i="140"/>
  <c r="AL116" i="140"/>
  <c r="D115" i="140"/>
  <c r="P107" i="140"/>
  <c r="M107" i="140" s="1"/>
  <c r="T107" i="140" s="1"/>
  <c r="U107" i="140" s="1"/>
  <c r="P110" i="140"/>
  <c r="M110" i="140" s="1"/>
  <c r="Q115" i="140"/>
  <c r="H21" i="38"/>
  <c r="H22" i="38" s="1"/>
  <c r="V25" i="97"/>
  <c r="S107" i="162"/>
  <c r="S12" i="151"/>
  <c r="S21" i="151" s="1"/>
  <c r="F20" i="151"/>
  <c r="S23" i="149"/>
  <c r="S14" i="150"/>
  <c r="N102" i="162"/>
  <c r="N108" i="162" s="1"/>
  <c r="S102" i="162"/>
  <c r="G102" i="162"/>
  <c r="G108" i="162" s="1"/>
  <c r="G50" i="162"/>
  <c r="N50" i="162"/>
  <c r="E17" i="38"/>
  <c r="L12" i="116"/>
  <c r="L7" i="162" s="1"/>
  <c r="K7" i="162"/>
  <c r="L13" i="116"/>
  <c r="K54" i="162"/>
  <c r="L23" i="116"/>
  <c r="K105" i="162"/>
  <c r="L31" i="116"/>
  <c r="K14" i="162"/>
  <c r="L39" i="116"/>
  <c r="K66" i="162"/>
  <c r="L43" i="116"/>
  <c r="K20" i="162"/>
  <c r="L51" i="116"/>
  <c r="K71" i="162"/>
  <c r="L52" i="116"/>
  <c r="K72" i="162"/>
  <c r="L56" i="116"/>
  <c r="K28" i="162"/>
  <c r="L65" i="116"/>
  <c r="L75" i="162" s="1"/>
  <c r="K75" i="162"/>
  <c r="L70" i="116"/>
  <c r="K38" i="162"/>
  <c r="L74" i="116"/>
  <c r="K106" i="162"/>
  <c r="K75" i="116"/>
  <c r="J77" i="162"/>
  <c r="J102" i="162" s="1"/>
  <c r="J108" i="162" s="1"/>
  <c r="L80" i="116"/>
  <c r="L41" i="162" s="1"/>
  <c r="K41" i="162"/>
  <c r="L10" i="116"/>
  <c r="L53" i="162" s="1"/>
  <c r="K53" i="162"/>
  <c r="L11" i="116"/>
  <c r="L96" i="162" s="1"/>
  <c r="K96" i="162"/>
  <c r="L16" i="116"/>
  <c r="K8" i="162"/>
  <c r="L20" i="116"/>
  <c r="L98" i="162" s="1"/>
  <c r="K98" i="162"/>
  <c r="L21" i="116"/>
  <c r="L59" i="162" s="1"/>
  <c r="K59" i="162"/>
  <c r="L22" i="116"/>
  <c r="K60" i="162"/>
  <c r="L28" i="116"/>
  <c r="L12" i="162" s="1"/>
  <c r="K12" i="162"/>
  <c r="L30" i="116"/>
  <c r="K63" i="162"/>
  <c r="L38" i="116"/>
  <c r="K65" i="162"/>
  <c r="L42" i="116"/>
  <c r="K19" i="162"/>
  <c r="L50" i="116"/>
  <c r="L70" i="162" s="1"/>
  <c r="K70" i="162"/>
  <c r="L55" i="116"/>
  <c r="L27" i="162" s="1"/>
  <c r="K27" i="162"/>
  <c r="L64" i="116"/>
  <c r="L34" i="162" s="1"/>
  <c r="K34" i="162"/>
  <c r="L68" i="116"/>
  <c r="L37" i="162" s="1"/>
  <c r="K37" i="162"/>
  <c r="L69" i="116"/>
  <c r="K76" i="162"/>
  <c r="L79" i="116"/>
  <c r="K81" i="162"/>
  <c r="L8" i="116"/>
  <c r="K51" i="162"/>
  <c r="M4" i="44"/>
  <c r="Z7" i="162"/>
  <c r="L7" i="116"/>
  <c r="L97" i="162" s="1"/>
  <c r="K97" i="162"/>
  <c r="L14" i="116"/>
  <c r="K55" i="162"/>
  <c r="L18" i="116"/>
  <c r="L9" i="162" s="1"/>
  <c r="K9" i="162"/>
  <c r="L25" i="116"/>
  <c r="K62" i="162"/>
  <c r="L26" i="116"/>
  <c r="L10" i="162" s="1"/>
  <c r="K10" i="162"/>
  <c r="L33" i="116"/>
  <c r="L15" i="162" s="1"/>
  <c r="K15" i="162"/>
  <c r="L35" i="116"/>
  <c r="L16" i="162" s="1"/>
  <c r="K16" i="162"/>
  <c r="L40" i="116"/>
  <c r="L67" i="162" s="1"/>
  <c r="K67" i="162"/>
  <c r="L47" i="116"/>
  <c r="L23" i="162" s="1"/>
  <c r="K23" i="162"/>
  <c r="L48" i="116"/>
  <c r="K24" i="162"/>
  <c r="L53" i="116"/>
  <c r="K25" i="162"/>
  <c r="L57" i="116"/>
  <c r="K29" i="162"/>
  <c r="L61" i="116"/>
  <c r="K33" i="162"/>
  <c r="L62" i="116"/>
  <c r="L73" i="162" s="1"/>
  <c r="K73" i="162"/>
  <c r="L66" i="116"/>
  <c r="K35" i="162"/>
  <c r="L71" i="116"/>
  <c r="L95" i="162" s="1"/>
  <c r="K95" i="162"/>
  <c r="L76" i="116"/>
  <c r="K78" i="162"/>
  <c r="L77" i="116"/>
  <c r="K79" i="162"/>
  <c r="L81" i="116"/>
  <c r="K42" i="162"/>
  <c r="L6" i="116"/>
  <c r="K6" i="162"/>
  <c r="L17" i="116"/>
  <c r="K57" i="162"/>
  <c r="L24" i="116"/>
  <c r="K61" i="162"/>
  <c r="L32" i="116"/>
  <c r="L64" i="162" s="1"/>
  <c r="K64" i="162"/>
  <c r="L34" i="116"/>
  <c r="L103" i="162" s="1"/>
  <c r="L104" i="162" s="1"/>
  <c r="K103" i="162"/>
  <c r="K104" i="162" s="1"/>
  <c r="J16" i="44"/>
  <c r="Z22" i="162"/>
  <c r="L60" i="116"/>
  <c r="K32" i="162"/>
  <c r="L9" i="116"/>
  <c r="K52" i="162"/>
  <c r="L29" i="116"/>
  <c r="L13" i="162" s="1"/>
  <c r="K13" i="162"/>
  <c r="L46" i="116"/>
  <c r="K22" i="162"/>
  <c r="L59" i="116"/>
  <c r="K31" i="162"/>
  <c r="L73" i="116"/>
  <c r="L40" i="162" s="1"/>
  <c r="K40" i="162"/>
  <c r="L15" i="116"/>
  <c r="L56" i="162" s="1"/>
  <c r="K56" i="162"/>
  <c r="L19" i="116"/>
  <c r="L58" i="162" s="1"/>
  <c r="K58" i="162"/>
  <c r="L27" i="116"/>
  <c r="K11" i="162"/>
  <c r="F34" i="116"/>
  <c r="F103" i="162" s="1"/>
  <c r="F104" i="162" s="1"/>
  <c r="F108" i="162" s="1"/>
  <c r="D103" i="162"/>
  <c r="D104" i="162" s="1"/>
  <c r="L36" i="116"/>
  <c r="L99" i="162" s="1"/>
  <c r="K99" i="162"/>
  <c r="L37" i="116"/>
  <c r="L17" i="162" s="1"/>
  <c r="K17" i="162"/>
  <c r="L41" i="116"/>
  <c r="L18" i="162" s="1"/>
  <c r="K18" i="162"/>
  <c r="L45" i="116"/>
  <c r="K21" i="162"/>
  <c r="L49" i="116"/>
  <c r="K69" i="162"/>
  <c r="L54" i="116"/>
  <c r="L26" i="162" s="1"/>
  <c r="K26" i="162"/>
  <c r="L58" i="116"/>
  <c r="K30" i="162"/>
  <c r="Q104" i="116"/>
  <c r="O7" i="12" s="1"/>
  <c r="Q31" i="162"/>
  <c r="F62" i="116"/>
  <c r="F73" i="162" s="1"/>
  <c r="F102" i="162" s="1"/>
  <c r="D73" i="162"/>
  <c r="D102" i="162" s="1"/>
  <c r="L63" i="116"/>
  <c r="K74" i="162"/>
  <c r="L67" i="116"/>
  <c r="K36" i="162"/>
  <c r="L72" i="116"/>
  <c r="L39" i="162" s="1"/>
  <c r="K39" i="162"/>
  <c r="L78" i="116"/>
  <c r="L80" i="162" s="1"/>
  <c r="K80" i="162"/>
  <c r="L82" i="116"/>
  <c r="L82" i="162" s="1"/>
  <c r="K82" i="162"/>
  <c r="M11" i="129"/>
  <c r="O11" i="129" s="1"/>
  <c r="T9" i="129"/>
  <c r="M9" i="129"/>
  <c r="O9" i="129"/>
  <c r="L10" i="129"/>
  <c r="P13" i="130"/>
  <c r="O14" i="130"/>
  <c r="M10" i="130"/>
  <c r="T10" i="130" s="1"/>
  <c r="U10" i="130" s="1"/>
  <c r="P12" i="130"/>
  <c r="M14" i="130"/>
  <c r="T14" i="130" s="1"/>
  <c r="U14" i="130" s="1"/>
  <c r="M17" i="130"/>
  <c r="T17" i="130" s="1"/>
  <c r="U17" i="130" s="1"/>
  <c r="T21" i="130"/>
  <c r="U21" i="130" s="1"/>
  <c r="M21" i="130"/>
  <c r="M25" i="130"/>
  <c r="O25" i="130" s="1"/>
  <c r="P16" i="130"/>
  <c r="O17" i="130"/>
  <c r="P18" i="130"/>
  <c r="P20" i="130"/>
  <c r="O21" i="130"/>
  <c r="P22" i="130"/>
  <c r="P24" i="130"/>
  <c r="L9" i="130"/>
  <c r="AK26" i="130"/>
  <c r="AM9" i="130"/>
  <c r="T11" i="130"/>
  <c r="U11" i="130" s="1"/>
  <c r="T15" i="130"/>
  <c r="U15" i="130" s="1"/>
  <c r="P19" i="130"/>
  <c r="P23" i="130"/>
  <c r="F9" i="130"/>
  <c r="F26" i="130" s="1"/>
  <c r="V10" i="131"/>
  <c r="AN10" i="131"/>
  <c r="AZ10" i="131" s="1"/>
  <c r="V12" i="131"/>
  <c r="AN12" i="131"/>
  <c r="AZ12" i="131" s="1"/>
  <c r="L9" i="131"/>
  <c r="K17" i="131"/>
  <c r="M16" i="131"/>
  <c r="T16" i="131" s="1"/>
  <c r="U16" i="131" s="1"/>
  <c r="P13" i="131"/>
  <c r="P14" i="131"/>
  <c r="T14" i="131" s="1"/>
  <c r="U14" i="131" s="1"/>
  <c r="P15" i="131"/>
  <c r="P9" i="131"/>
  <c r="AK17" i="131"/>
  <c r="O10" i="131"/>
  <c r="P11" i="131"/>
  <c r="O12" i="131"/>
  <c r="O16" i="131"/>
  <c r="D17" i="131"/>
  <c r="AM9" i="131"/>
  <c r="P11" i="132"/>
  <c r="AO11" i="132"/>
  <c r="AN11" i="132"/>
  <c r="AY11" i="132" s="1"/>
  <c r="AO12" i="132"/>
  <c r="AN12" i="132"/>
  <c r="AY12" i="132" s="1"/>
  <c r="P13" i="132"/>
  <c r="T17" i="132"/>
  <c r="M17" i="132"/>
  <c r="V9" i="132"/>
  <c r="AT22" i="132"/>
  <c r="V10" i="132"/>
  <c r="P12" i="132"/>
  <c r="AM22" i="132"/>
  <c r="O10" i="132"/>
  <c r="T14" i="132"/>
  <c r="M14" i="132"/>
  <c r="M19" i="132"/>
  <c r="T19" i="132" s="1"/>
  <c r="U19" i="132" s="1"/>
  <c r="M20" i="132"/>
  <c r="O20" i="132" s="1"/>
  <c r="L9" i="132"/>
  <c r="S22" i="132"/>
  <c r="F22" i="132"/>
  <c r="O14" i="132"/>
  <c r="P16" i="132"/>
  <c r="O17" i="132"/>
  <c r="T18" i="132"/>
  <c r="O19" i="132"/>
  <c r="M21" i="132"/>
  <c r="O21" i="132" s="1"/>
  <c r="AK22" i="132"/>
  <c r="AN15" i="132"/>
  <c r="AY15" i="132" s="1"/>
  <c r="AN16" i="132"/>
  <c r="AY16" i="132" s="1"/>
  <c r="AN17" i="132"/>
  <c r="AY17" i="132" s="1"/>
  <c r="F21" i="133"/>
  <c r="P11" i="133"/>
  <c r="T14" i="133"/>
  <c r="M14" i="133"/>
  <c r="P17" i="133"/>
  <c r="T18" i="133"/>
  <c r="U18" i="133" s="1"/>
  <c r="M18" i="133"/>
  <c r="L21" i="133"/>
  <c r="P9" i="133"/>
  <c r="P12" i="133"/>
  <c r="T13" i="133"/>
  <c r="U13" i="133" s="1"/>
  <c r="M13" i="133"/>
  <c r="P19" i="133"/>
  <c r="P20" i="133"/>
  <c r="P15" i="133"/>
  <c r="AM9" i="133"/>
  <c r="P10" i="133"/>
  <c r="O13" i="133"/>
  <c r="O14" i="133"/>
  <c r="U14" i="133"/>
  <c r="L16" i="133"/>
  <c r="O18" i="133"/>
  <c r="K21" i="133"/>
  <c r="D21" i="133"/>
  <c r="P16" i="134"/>
  <c r="P30" i="134"/>
  <c r="P39" i="134"/>
  <c r="P22" i="134"/>
  <c r="P34" i="134"/>
  <c r="W10" i="134"/>
  <c r="AN10" i="134"/>
  <c r="AZ10" i="134" s="1"/>
  <c r="P26" i="134"/>
  <c r="Z40" i="134"/>
  <c r="AN40" i="134"/>
  <c r="AZ40" i="134" s="1"/>
  <c r="P12" i="134"/>
  <c r="W14" i="134"/>
  <c r="AN14" i="134"/>
  <c r="AZ14" i="134" s="1"/>
  <c r="P18" i="134"/>
  <c r="M19" i="134"/>
  <c r="T19" i="134" s="1"/>
  <c r="U19" i="134" s="1"/>
  <c r="M27" i="134"/>
  <c r="T27" i="134" s="1"/>
  <c r="U27" i="134" s="1"/>
  <c r="R42" i="134"/>
  <c r="S35" i="134"/>
  <c r="S42" i="134" s="1"/>
  <c r="M38" i="134"/>
  <c r="T38" i="134" s="1"/>
  <c r="U38" i="134" s="1"/>
  <c r="K42" i="134"/>
  <c r="M9" i="134"/>
  <c r="AK42" i="134"/>
  <c r="P11" i="134"/>
  <c r="T13" i="134"/>
  <c r="U13" i="134" s="1"/>
  <c r="M13" i="134"/>
  <c r="O13" i="134" s="1"/>
  <c r="P15" i="134"/>
  <c r="P17" i="134"/>
  <c r="P25" i="134"/>
  <c r="P33" i="134"/>
  <c r="P37" i="134"/>
  <c r="P41" i="134"/>
  <c r="L42" i="134"/>
  <c r="F42" i="134"/>
  <c r="P23" i="134"/>
  <c r="P31" i="134"/>
  <c r="O19" i="134"/>
  <c r="P21" i="134"/>
  <c r="M24" i="134"/>
  <c r="O24" i="134" s="1"/>
  <c r="P29" i="134"/>
  <c r="M32" i="134"/>
  <c r="O32" i="134" s="1"/>
  <c r="M36" i="134"/>
  <c r="T36" i="134" s="1"/>
  <c r="U36" i="134" s="1"/>
  <c r="O38" i="134"/>
  <c r="T20" i="134"/>
  <c r="U20" i="134" s="1"/>
  <c r="T24" i="134"/>
  <c r="U24" i="134" s="1"/>
  <c r="T28" i="134"/>
  <c r="U28" i="134" s="1"/>
  <c r="T32" i="134"/>
  <c r="U32" i="134" s="1"/>
  <c r="D42" i="134"/>
  <c r="AM9" i="134"/>
  <c r="T27" i="135"/>
  <c r="M27" i="135"/>
  <c r="T37" i="135"/>
  <c r="U37" i="135" s="1"/>
  <c r="P15" i="135"/>
  <c r="T20" i="135"/>
  <c r="U20" i="135" s="1"/>
  <c r="M20" i="135"/>
  <c r="T25" i="135"/>
  <c r="M25" i="135"/>
  <c r="T23" i="135"/>
  <c r="U23" i="135" s="1"/>
  <c r="M23" i="135"/>
  <c r="U26" i="135"/>
  <c r="T33" i="135"/>
  <c r="M33" i="135"/>
  <c r="AN34" i="135"/>
  <c r="AY34" i="135" s="1"/>
  <c r="W34" i="135"/>
  <c r="T35" i="135"/>
  <c r="U35" i="135" s="1"/>
  <c r="M35" i="135"/>
  <c r="O13" i="135"/>
  <c r="P17" i="135"/>
  <c r="M28" i="135"/>
  <c r="T28" i="135" s="1"/>
  <c r="U28" i="135" s="1"/>
  <c r="T11" i="135"/>
  <c r="U11" i="135" s="1"/>
  <c r="M11" i="135"/>
  <c r="T12" i="135"/>
  <c r="U12" i="135" s="1"/>
  <c r="M12" i="135"/>
  <c r="T13" i="135"/>
  <c r="U13" i="135" s="1"/>
  <c r="M13" i="135"/>
  <c r="W14" i="135"/>
  <c r="AN14" i="135"/>
  <c r="AY14" i="135" s="1"/>
  <c r="M22" i="135"/>
  <c r="O22" i="135" s="1"/>
  <c r="T31" i="135"/>
  <c r="U31" i="135" s="1"/>
  <c r="M31" i="135"/>
  <c r="AM9" i="135"/>
  <c r="P10" i="135"/>
  <c r="O12" i="135"/>
  <c r="M16" i="135"/>
  <c r="T16" i="135" s="1"/>
  <c r="U16" i="135" s="1"/>
  <c r="M19" i="135"/>
  <c r="T19" i="135" s="1"/>
  <c r="U19" i="135" s="1"/>
  <c r="M30" i="135"/>
  <c r="O30" i="135" s="1"/>
  <c r="O34" i="135"/>
  <c r="M37" i="135"/>
  <c r="O37" i="135" s="1"/>
  <c r="N39" i="135"/>
  <c r="T18" i="135"/>
  <c r="U18" i="135" s="1"/>
  <c r="T21" i="135"/>
  <c r="U21" i="135" s="1"/>
  <c r="T24" i="135"/>
  <c r="U24" i="135" s="1"/>
  <c r="U25" i="135"/>
  <c r="T26" i="135"/>
  <c r="T29" i="135"/>
  <c r="U29" i="135" s="1"/>
  <c r="M36" i="135"/>
  <c r="T36" i="135" s="1"/>
  <c r="U36" i="135" s="1"/>
  <c r="P38" i="135"/>
  <c r="L9" i="135"/>
  <c r="S39" i="135"/>
  <c r="D39" i="135"/>
  <c r="O11" i="135"/>
  <c r="F13" i="135"/>
  <c r="F39" i="135" s="1"/>
  <c r="O16" i="135"/>
  <c r="O20" i="135"/>
  <c r="O23" i="135"/>
  <c r="F30" i="135"/>
  <c r="U27" i="135"/>
  <c r="O33" i="135"/>
  <c r="O19" i="135"/>
  <c r="O21" i="135"/>
  <c r="O24" i="135"/>
  <c r="O25" i="135"/>
  <c r="O26" i="135"/>
  <c r="O27" i="135"/>
  <c r="O29" i="135"/>
  <c r="O31" i="135"/>
  <c r="T32" i="135"/>
  <c r="U32" i="135" s="1"/>
  <c r="U33" i="135"/>
  <c r="O35" i="135"/>
  <c r="M15" i="136"/>
  <c r="T15" i="136" s="1"/>
  <c r="U15" i="136" s="1"/>
  <c r="M19" i="136"/>
  <c r="T19" i="136" s="1"/>
  <c r="U19" i="136" s="1"/>
  <c r="AN10" i="136"/>
  <c r="W10" i="136"/>
  <c r="AP21" i="136"/>
  <c r="AP10" i="136"/>
  <c r="AM21" i="136"/>
  <c r="P16" i="136"/>
  <c r="G21" i="136"/>
  <c r="L11" i="136"/>
  <c r="K21" i="136"/>
  <c r="T12" i="136"/>
  <c r="U12" i="136" s="1"/>
  <c r="T20" i="136"/>
  <c r="U20" i="136" s="1"/>
  <c r="O10" i="136"/>
  <c r="P14" i="136"/>
  <c r="O15" i="136"/>
  <c r="P18" i="136"/>
  <c r="P9" i="136"/>
  <c r="L21" i="136"/>
  <c r="AK21" i="136"/>
  <c r="O12" i="136"/>
  <c r="P13" i="136"/>
  <c r="P17" i="136"/>
  <c r="O20" i="136"/>
  <c r="P12" i="137"/>
  <c r="M15" i="137"/>
  <c r="O15" i="137" s="1"/>
  <c r="M18" i="137"/>
  <c r="T18" i="137"/>
  <c r="U18" i="137" s="1"/>
  <c r="P20" i="137"/>
  <c r="W21" i="137"/>
  <c r="AN21" i="137"/>
  <c r="AZ21" i="137" s="1"/>
  <c r="T14" i="137"/>
  <c r="U14" i="137" s="1"/>
  <c r="M14" i="137"/>
  <c r="L9" i="137"/>
  <c r="S28" i="137"/>
  <c r="AU28" i="137"/>
  <c r="P10" i="137"/>
  <c r="T25" i="137"/>
  <c r="U25" i="137" s="1"/>
  <c r="M25" i="137"/>
  <c r="T26" i="137"/>
  <c r="U26" i="137" s="1"/>
  <c r="AK28" i="137"/>
  <c r="P11" i="137"/>
  <c r="T13" i="137"/>
  <c r="U13" i="137" s="1"/>
  <c r="M13" i="137"/>
  <c r="O13" i="137" s="1"/>
  <c r="T16" i="137"/>
  <c r="U16" i="137" s="1"/>
  <c r="T19" i="137"/>
  <c r="P22" i="137"/>
  <c r="AM28" i="137"/>
  <c r="O14" i="137"/>
  <c r="F14" i="137"/>
  <c r="U19" i="137"/>
  <c r="T24" i="137"/>
  <c r="U24" i="137" s="1"/>
  <c r="M24" i="137"/>
  <c r="O25" i="137"/>
  <c r="U27" i="137"/>
  <c r="AP9" i="137"/>
  <c r="AP28" i="137" s="1"/>
  <c r="G28" i="137"/>
  <c r="O16" i="137"/>
  <c r="P17" i="137"/>
  <c r="O19" i="137"/>
  <c r="P23" i="137"/>
  <c r="O24" i="137"/>
  <c r="O27" i="137"/>
  <c r="F25" i="137"/>
  <c r="D28" i="137"/>
  <c r="M9" i="138"/>
  <c r="P14" i="138"/>
  <c r="P10" i="138"/>
  <c r="P11" i="138"/>
  <c r="AL10" i="138"/>
  <c r="AL14" i="138" s="1"/>
  <c r="AM11" i="138"/>
  <c r="AN11" i="138" s="1"/>
  <c r="AZ11" i="138" s="1"/>
  <c r="P12" i="138"/>
  <c r="AL13" i="138"/>
  <c r="L14" i="138"/>
  <c r="AP12" i="138"/>
  <c r="AP14" i="138" s="1"/>
  <c r="U14" i="138"/>
  <c r="AK14" i="138"/>
  <c r="AM9" i="138"/>
  <c r="AU9" i="138"/>
  <c r="W10" i="138"/>
  <c r="AL12" i="138"/>
  <c r="AU12" i="138" s="1"/>
  <c r="W13" i="138"/>
  <c r="W9" i="138"/>
  <c r="M23" i="139"/>
  <c r="T23" i="139" s="1"/>
  <c r="U23" i="139" s="1"/>
  <c r="W34" i="139"/>
  <c r="P8" i="139"/>
  <c r="M10" i="139"/>
  <c r="O10" i="139" s="1"/>
  <c r="P15" i="139"/>
  <c r="M32" i="139"/>
  <c r="O32" i="139" s="1"/>
  <c r="P35" i="139"/>
  <c r="M16" i="139"/>
  <c r="O16" i="139" s="1"/>
  <c r="O20" i="139"/>
  <c r="T20" i="139"/>
  <c r="U20" i="139" s="1"/>
  <c r="M27" i="139"/>
  <c r="O27" i="139" s="1"/>
  <c r="M33" i="139"/>
  <c r="T33" i="139" s="1"/>
  <c r="U33" i="139" s="1"/>
  <c r="W14" i="139"/>
  <c r="AN14" i="139"/>
  <c r="AZ14" i="139" s="1"/>
  <c r="P39" i="139"/>
  <c r="T7" i="139"/>
  <c r="D78" i="139"/>
  <c r="O9" i="139"/>
  <c r="N78" i="139"/>
  <c r="AC78" i="139"/>
  <c r="AK13" i="139"/>
  <c r="AM13" i="139" s="1"/>
  <c r="AP13" i="139" s="1"/>
  <c r="O23" i="139"/>
  <c r="F23" i="139"/>
  <c r="P26" i="139"/>
  <c r="P30" i="139"/>
  <c r="F32" i="139"/>
  <c r="M37" i="139"/>
  <c r="O37" i="139" s="1"/>
  <c r="P50" i="139"/>
  <c r="P56" i="139"/>
  <c r="M57" i="139"/>
  <c r="T57" i="139" s="1"/>
  <c r="U57" i="139" s="1"/>
  <c r="M68" i="139"/>
  <c r="T68" i="139" s="1"/>
  <c r="U68" i="139" s="1"/>
  <c r="G78" i="139"/>
  <c r="K78" i="139"/>
  <c r="O7" i="139"/>
  <c r="F9" i="139"/>
  <c r="P13" i="139"/>
  <c r="O14" i="139"/>
  <c r="F14" i="139"/>
  <c r="T17" i="139"/>
  <c r="U17" i="139" s="1"/>
  <c r="P19" i="139"/>
  <c r="P21" i="139"/>
  <c r="P31" i="139"/>
  <c r="M64" i="139"/>
  <c r="O64" i="139" s="1"/>
  <c r="O77" i="139"/>
  <c r="F77" i="139"/>
  <c r="T9" i="139"/>
  <c r="U9" i="139" s="1"/>
  <c r="P12" i="139"/>
  <c r="M22" i="139"/>
  <c r="O22" i="139" s="1"/>
  <c r="P29" i="139"/>
  <c r="F40" i="139"/>
  <c r="P47" i="139"/>
  <c r="M60" i="139"/>
  <c r="O60" i="139" s="1"/>
  <c r="T63" i="139"/>
  <c r="U63" i="139" s="1"/>
  <c r="M70" i="139"/>
  <c r="T70" i="139"/>
  <c r="U70" i="139" s="1"/>
  <c r="P71" i="139"/>
  <c r="V77" i="139"/>
  <c r="W77" i="139" s="1"/>
  <c r="AN77" i="139"/>
  <c r="AZ77" i="139" s="1"/>
  <c r="L78" i="139"/>
  <c r="S78" i="139"/>
  <c r="AM7" i="139"/>
  <c r="O17" i="139"/>
  <c r="P18" i="139"/>
  <c r="M24" i="139"/>
  <c r="O24" i="139" s="1"/>
  <c r="P36" i="139"/>
  <c r="P41" i="139"/>
  <c r="T44" i="139"/>
  <c r="U44" i="139" s="1"/>
  <c r="P45" i="139"/>
  <c r="P48" i="139"/>
  <c r="M51" i="139"/>
  <c r="T51" i="139" s="1"/>
  <c r="U51" i="139" s="1"/>
  <c r="P53" i="139"/>
  <c r="M54" i="139"/>
  <c r="T54" i="139" s="1"/>
  <c r="U54" i="139" s="1"/>
  <c r="O57" i="139"/>
  <c r="T59" i="139"/>
  <c r="U59" i="139" s="1"/>
  <c r="M62" i="139"/>
  <c r="O62" i="139" s="1"/>
  <c r="O68" i="139"/>
  <c r="AN73" i="139"/>
  <c r="AZ73" i="139" s="1"/>
  <c r="O44" i="139"/>
  <c r="F44" i="139"/>
  <c r="O63" i="139"/>
  <c r="F63" i="139"/>
  <c r="M67" i="139"/>
  <c r="T67" i="139" s="1"/>
  <c r="U67" i="139" s="1"/>
  <c r="AN74" i="139"/>
  <c r="AZ74" i="139" s="1"/>
  <c r="T28" i="139"/>
  <c r="U28" i="139" s="1"/>
  <c r="P40" i="139"/>
  <c r="T46" i="139"/>
  <c r="U46" i="139" s="1"/>
  <c r="M66" i="139"/>
  <c r="T66" i="139" s="1"/>
  <c r="U66" i="139" s="1"/>
  <c r="Q78" i="139"/>
  <c r="M43" i="139"/>
  <c r="O43" i="139" s="1"/>
  <c r="M58" i="139"/>
  <c r="O59" i="139"/>
  <c r="P61" i="139"/>
  <c r="P65" i="139"/>
  <c r="O66" i="139"/>
  <c r="O69" i="139"/>
  <c r="O70" i="139"/>
  <c r="AN76" i="139"/>
  <c r="AZ76" i="139" s="1"/>
  <c r="M30" i="140"/>
  <c r="T30" i="140" s="1"/>
  <c r="U30" i="140" s="1"/>
  <c r="M18" i="140"/>
  <c r="T18" i="140" s="1"/>
  <c r="U18" i="140" s="1"/>
  <c r="M21" i="140"/>
  <c r="O21" i="140" s="1"/>
  <c r="M22" i="140"/>
  <c r="T22" i="140" s="1"/>
  <c r="U22" i="140" s="1"/>
  <c r="K93" i="140"/>
  <c r="G93" i="140"/>
  <c r="P8" i="140"/>
  <c r="F9" i="140"/>
  <c r="E93" i="140"/>
  <c r="E116" i="140" s="1"/>
  <c r="S9" i="140"/>
  <c r="M9" i="140" s="1"/>
  <c r="F13" i="140"/>
  <c r="P15" i="140"/>
  <c r="O19" i="140"/>
  <c r="M28" i="140"/>
  <c r="T28" i="140" s="1"/>
  <c r="U28" i="140" s="1"/>
  <c r="M37" i="140"/>
  <c r="O37" i="140" s="1"/>
  <c r="P43" i="140"/>
  <c r="P63" i="140"/>
  <c r="M11" i="140"/>
  <c r="T11" i="140" s="1"/>
  <c r="U11" i="140" s="1"/>
  <c r="M23" i="140"/>
  <c r="O23" i="140" s="1"/>
  <c r="M32" i="140"/>
  <c r="T32" i="140" s="1"/>
  <c r="U32" i="140" s="1"/>
  <c r="M41" i="140"/>
  <c r="T41" i="140" s="1"/>
  <c r="U41" i="140" s="1"/>
  <c r="L5" i="140"/>
  <c r="O10" i="140"/>
  <c r="M17" i="140"/>
  <c r="T17" i="140" s="1"/>
  <c r="U17" i="140" s="1"/>
  <c r="P25" i="140"/>
  <c r="P31" i="140"/>
  <c r="P34" i="140"/>
  <c r="P38" i="140"/>
  <c r="M40" i="140"/>
  <c r="O40" i="140" s="1"/>
  <c r="M52" i="140"/>
  <c r="O52" i="140" s="1"/>
  <c r="M68" i="140"/>
  <c r="O68" i="140" s="1"/>
  <c r="P27" i="140"/>
  <c r="P66" i="140"/>
  <c r="AN81" i="140"/>
  <c r="AY81" i="140" s="1"/>
  <c r="V81" i="140"/>
  <c r="V83" i="140"/>
  <c r="AN83" i="140"/>
  <c r="AY83" i="140" s="1"/>
  <c r="F20" i="140"/>
  <c r="P24" i="140"/>
  <c r="P36" i="140"/>
  <c r="F46" i="140"/>
  <c r="M51" i="140"/>
  <c r="O51" i="140" s="1"/>
  <c r="P53" i="140"/>
  <c r="M57" i="140"/>
  <c r="T57" i="140" s="1"/>
  <c r="U57" i="140" s="1"/>
  <c r="F52" i="140"/>
  <c r="P82" i="140"/>
  <c r="M82" i="140" s="1"/>
  <c r="O82" i="140" s="1"/>
  <c r="AN84" i="140"/>
  <c r="AY84" i="140" s="1"/>
  <c r="AO85" i="140"/>
  <c r="AN85" i="140"/>
  <c r="AY85" i="140" s="1"/>
  <c r="AN86" i="140"/>
  <c r="AY86" i="140" s="1"/>
  <c r="P104" i="140"/>
  <c r="P44" i="140"/>
  <c r="M50" i="140"/>
  <c r="T50" i="140" s="1"/>
  <c r="U50" i="140" s="1"/>
  <c r="F56" i="140"/>
  <c r="P62" i="140"/>
  <c r="P65" i="140"/>
  <c r="M67" i="140"/>
  <c r="T67" i="140" s="1"/>
  <c r="U67" i="140" s="1"/>
  <c r="M75" i="140"/>
  <c r="T75" i="140" s="1"/>
  <c r="U75" i="140" s="1"/>
  <c r="P80" i="140"/>
  <c r="AN82" i="140"/>
  <c r="AY82" i="140" s="1"/>
  <c r="D93" i="140"/>
  <c r="AT93" i="140"/>
  <c r="AT116" i="140" s="1"/>
  <c r="R120" i="140"/>
  <c r="R121" i="140" s="1"/>
  <c r="R122" i="140" s="1"/>
  <c r="R93" i="140"/>
  <c r="R116" i="140" s="1"/>
  <c r="P45" i="140"/>
  <c r="F55" i="140"/>
  <c r="M60" i="140"/>
  <c r="O60" i="140" s="1"/>
  <c r="P71" i="140"/>
  <c r="M79" i="140"/>
  <c r="O79" i="140" s="1"/>
  <c r="P108" i="140"/>
  <c r="P113" i="140"/>
  <c r="P70" i="140"/>
  <c r="M72" i="140"/>
  <c r="O72" i="140" s="1"/>
  <c r="P77" i="140"/>
  <c r="M78" i="140"/>
  <c r="T78" i="140" s="1"/>
  <c r="U78" i="140" s="1"/>
  <c r="AO91" i="140"/>
  <c r="AN91" i="140"/>
  <c r="AY91" i="140" s="1"/>
  <c r="P102" i="140"/>
  <c r="P74" i="140"/>
  <c r="O83" i="140"/>
  <c r="AN89" i="140"/>
  <c r="AY89" i="140" s="1"/>
  <c r="L95" i="140"/>
  <c r="K115" i="140"/>
  <c r="M97" i="140"/>
  <c r="T97" i="140" s="1"/>
  <c r="U97" i="140" s="1"/>
  <c r="P100" i="140"/>
  <c r="M114" i="140"/>
  <c r="O114" i="140" s="1"/>
  <c r="V84" i="140"/>
  <c r="AN87" i="140"/>
  <c r="AY87" i="140" s="1"/>
  <c r="V88" i="140"/>
  <c r="S115" i="140"/>
  <c r="P106" i="140"/>
  <c r="AR115" i="140"/>
  <c r="AR116" i="140" s="1"/>
  <c r="P111" i="140"/>
  <c r="G115" i="140"/>
  <c r="P99" i="140"/>
  <c r="P112" i="140"/>
  <c r="M103" i="140"/>
  <c r="T103" i="140" s="1"/>
  <c r="U103" i="140" s="1"/>
  <c r="AK115" i="140"/>
  <c r="F95" i="140"/>
  <c r="F115" i="140" s="1"/>
  <c r="P96" i="140"/>
  <c r="P98" i="140"/>
  <c r="P105" i="140"/>
  <c r="AW115" i="140"/>
  <c r="AW116" i="140" s="1"/>
  <c r="AS116" i="140"/>
  <c r="M9" i="141"/>
  <c r="T9" i="141" s="1"/>
  <c r="U9" i="141" s="1"/>
  <c r="M27" i="141"/>
  <c r="T27" i="141" s="1"/>
  <c r="U27" i="141" s="1"/>
  <c r="P15" i="141"/>
  <c r="P19" i="141"/>
  <c r="V70" i="141"/>
  <c r="P12" i="141"/>
  <c r="P24" i="141"/>
  <c r="AM8" i="141"/>
  <c r="T16" i="141"/>
  <c r="U16" i="141" s="1"/>
  <c r="M22" i="141"/>
  <c r="O22" i="141" s="1"/>
  <c r="T22" i="141"/>
  <c r="U22" i="141" s="1"/>
  <c r="AI60" i="141"/>
  <c r="AK32" i="141"/>
  <c r="AM32" i="141" s="1"/>
  <c r="AO32" i="141" s="1"/>
  <c r="P33" i="141"/>
  <c r="M34" i="141"/>
  <c r="T34" i="141" s="1"/>
  <c r="U34" i="141" s="1"/>
  <c r="M38" i="141"/>
  <c r="T38" i="141" s="1"/>
  <c r="U38" i="141" s="1"/>
  <c r="O63" i="141"/>
  <c r="D84" i="141"/>
  <c r="F63" i="141"/>
  <c r="P68" i="141"/>
  <c r="M90" i="141"/>
  <c r="T90" i="141" s="1"/>
  <c r="U90" i="141" s="1"/>
  <c r="O13" i="141"/>
  <c r="F13" i="141"/>
  <c r="T18" i="141"/>
  <c r="U18" i="141" s="1"/>
  <c r="M25" i="141"/>
  <c r="O25" i="141" s="1"/>
  <c r="M28" i="141"/>
  <c r="T28" i="141" s="1"/>
  <c r="U28" i="141" s="1"/>
  <c r="T30" i="141"/>
  <c r="U30" i="141" s="1"/>
  <c r="P36" i="141"/>
  <c r="P51" i="141"/>
  <c r="M64" i="141"/>
  <c r="T64" i="141" s="1"/>
  <c r="U64" i="141" s="1"/>
  <c r="M67" i="141"/>
  <c r="T67" i="141" s="1"/>
  <c r="U67" i="141" s="1"/>
  <c r="M77" i="141"/>
  <c r="O77" i="141" s="1"/>
  <c r="M78" i="141"/>
  <c r="T78" i="141" s="1"/>
  <c r="U78" i="141" s="1"/>
  <c r="P88" i="141"/>
  <c r="F91" i="141"/>
  <c r="D101" i="141"/>
  <c r="L60" i="141"/>
  <c r="S60" i="141"/>
  <c r="AT60" i="141"/>
  <c r="M10" i="141"/>
  <c r="T10" i="141" s="1"/>
  <c r="U10" i="141" s="1"/>
  <c r="T13" i="141"/>
  <c r="U13" i="141" s="1"/>
  <c r="O16" i="141"/>
  <c r="M20" i="141"/>
  <c r="T20" i="141" s="1"/>
  <c r="U20" i="141" s="1"/>
  <c r="M37" i="141"/>
  <c r="O37" i="141" s="1"/>
  <c r="P41" i="141"/>
  <c r="M45" i="141"/>
  <c r="O45" i="141" s="1"/>
  <c r="T45" i="141"/>
  <c r="U45" i="141" s="1"/>
  <c r="M46" i="141"/>
  <c r="O46" i="141" s="1"/>
  <c r="M48" i="141"/>
  <c r="O48" i="141" s="1"/>
  <c r="M50" i="141"/>
  <c r="T50" i="141" s="1"/>
  <c r="U50" i="141" s="1"/>
  <c r="M52" i="141"/>
  <c r="O52" i="141" s="1"/>
  <c r="AJ102" i="141"/>
  <c r="T63" i="141"/>
  <c r="P76" i="141"/>
  <c r="P80" i="141"/>
  <c r="AN80" i="141"/>
  <c r="AY80" i="141" s="1"/>
  <c r="AO80" i="141"/>
  <c r="S101" i="141"/>
  <c r="M87" i="141"/>
  <c r="T87" i="141" s="1"/>
  <c r="U87" i="141" s="1"/>
  <c r="M8" i="141"/>
  <c r="T8" i="141" s="1"/>
  <c r="U8" i="141" s="1"/>
  <c r="D60" i="141"/>
  <c r="F10" i="141"/>
  <c r="T11" i="141"/>
  <c r="U11" i="141" s="1"/>
  <c r="M17" i="141"/>
  <c r="T17" i="141" s="1"/>
  <c r="U17" i="141" s="1"/>
  <c r="F20" i="141"/>
  <c r="F21" i="141"/>
  <c r="O27" i="141"/>
  <c r="O30" i="141"/>
  <c r="O32" i="141"/>
  <c r="P40" i="141"/>
  <c r="M42" i="141"/>
  <c r="T42" i="141" s="1"/>
  <c r="U42" i="141" s="1"/>
  <c r="M44" i="141"/>
  <c r="T44" i="141" s="1"/>
  <c r="U44" i="141" s="1"/>
  <c r="P47" i="141"/>
  <c r="F53" i="141"/>
  <c r="O54" i="141"/>
  <c r="U54" i="141"/>
  <c r="L84" i="141"/>
  <c r="P62" i="141"/>
  <c r="O65" i="141"/>
  <c r="M71" i="141"/>
  <c r="T71" i="141" s="1"/>
  <c r="U71" i="141" s="1"/>
  <c r="P83" i="141"/>
  <c r="P94" i="141"/>
  <c r="P86" i="141"/>
  <c r="L101" i="141"/>
  <c r="M89" i="141"/>
  <c r="T89" i="141" s="1"/>
  <c r="U89" i="141" s="1"/>
  <c r="P95" i="141"/>
  <c r="P98" i="141"/>
  <c r="M100" i="141"/>
  <c r="O100" i="141" s="1"/>
  <c r="N60" i="141"/>
  <c r="F42" i="141"/>
  <c r="T43" i="141"/>
  <c r="U43" i="141" s="1"/>
  <c r="P49" i="141"/>
  <c r="R102" i="141"/>
  <c r="AB102" i="141"/>
  <c r="U63" i="141"/>
  <c r="O64" i="141"/>
  <c r="O70" i="141"/>
  <c r="M73" i="141"/>
  <c r="T73" i="141" s="1"/>
  <c r="U73" i="141" s="1"/>
  <c r="M75" i="141"/>
  <c r="O75" i="141" s="1"/>
  <c r="P79" i="141"/>
  <c r="T81" i="141"/>
  <c r="U81" i="141" s="1"/>
  <c r="N84" i="141"/>
  <c r="AO86" i="141"/>
  <c r="AO101" i="141" s="1"/>
  <c r="P92" i="141"/>
  <c r="F93" i="141"/>
  <c r="P97" i="141"/>
  <c r="K60" i="141"/>
  <c r="O26" i="141"/>
  <c r="F29" i="141"/>
  <c r="F31" i="141"/>
  <c r="AN57" i="141"/>
  <c r="AY57" i="141" s="1"/>
  <c r="V57" i="141"/>
  <c r="U58" i="141"/>
  <c r="O58" i="141"/>
  <c r="H102" i="141"/>
  <c r="AC102" i="141"/>
  <c r="AG102" i="141"/>
  <c r="BB102" i="141"/>
  <c r="F67" i="141"/>
  <c r="O67" i="141"/>
  <c r="AI84" i="141"/>
  <c r="AK70" i="141"/>
  <c r="AM70" i="141" s="1"/>
  <c r="AO70" i="141" s="1"/>
  <c r="O73" i="141"/>
  <c r="F99" i="141"/>
  <c r="F44" i="141"/>
  <c r="AN59" i="141"/>
  <c r="AY59" i="141" s="1"/>
  <c r="X102" i="141"/>
  <c r="AX102" i="141"/>
  <c r="AT84" i="141"/>
  <c r="O72" i="141"/>
  <c r="F72" i="141"/>
  <c r="P82" i="141"/>
  <c r="K101" i="141"/>
  <c r="W102" i="141"/>
  <c r="AA102" i="141"/>
  <c r="AE102" i="141"/>
  <c r="K84" i="141"/>
  <c r="U72" i="141"/>
  <c r="F87" i="141"/>
  <c r="P91" i="141"/>
  <c r="V14" i="128"/>
  <c r="AN14" i="128"/>
  <c r="AY14" i="128" s="1"/>
  <c r="T10" i="128"/>
  <c r="U10" i="128" s="1"/>
  <c r="M10" i="128"/>
  <c r="T12" i="128"/>
  <c r="U12" i="128" s="1"/>
  <c r="M12" i="128"/>
  <c r="O14" i="128"/>
  <c r="F14" i="128"/>
  <c r="AK15" i="128"/>
  <c r="AM7" i="128"/>
  <c r="L8" i="128"/>
  <c r="K15" i="128"/>
  <c r="T9" i="128"/>
  <c r="U9" i="128" s="1"/>
  <c r="P7" i="128"/>
  <c r="O10" i="128"/>
  <c r="T11" i="128"/>
  <c r="U11" i="128" s="1"/>
  <c r="M11" i="128"/>
  <c r="O11" i="128" s="1"/>
  <c r="D15" i="128"/>
  <c r="P13" i="128"/>
  <c r="F12" i="128"/>
  <c r="F15" i="128" s="1"/>
  <c r="O12" i="128"/>
  <c r="L6" i="127"/>
  <c r="L17" i="148" s="1"/>
  <c r="K17" i="148"/>
  <c r="L8" i="127"/>
  <c r="K9" i="148"/>
  <c r="L12" i="127"/>
  <c r="K19" i="148"/>
  <c r="K20" i="148" s="1"/>
  <c r="I19" i="97" s="1"/>
  <c r="L7" i="127"/>
  <c r="L8" i="148" s="1"/>
  <c r="K8" i="148"/>
  <c r="L11" i="127"/>
  <c r="K6" i="148"/>
  <c r="K7" i="148" s="1"/>
  <c r="E16" i="127"/>
  <c r="C18" i="12" s="1"/>
  <c r="E17" i="148"/>
  <c r="S13" i="148"/>
  <c r="L10" i="127"/>
  <c r="L15" i="148" s="1"/>
  <c r="K15" i="148"/>
  <c r="F13" i="127"/>
  <c r="F10" i="148" s="1"/>
  <c r="F13" i="148" s="1"/>
  <c r="D10" i="148"/>
  <c r="D13" i="148" s="1"/>
  <c r="L9" i="127"/>
  <c r="L14" i="148" s="1"/>
  <c r="K14" i="148"/>
  <c r="L13" i="127"/>
  <c r="K10" i="148"/>
  <c r="U18" i="12"/>
  <c r="E11" i="81"/>
  <c r="L11" i="126"/>
  <c r="K11" i="149"/>
  <c r="L16" i="126"/>
  <c r="K16" i="149"/>
  <c r="N23" i="126"/>
  <c r="L9" i="126"/>
  <c r="L9" i="149" s="1"/>
  <c r="K9" i="149"/>
  <c r="L10" i="126"/>
  <c r="L10" i="149" s="1"/>
  <c r="L14" i="126"/>
  <c r="L14" i="149" s="1"/>
  <c r="K14" i="149"/>
  <c r="L15" i="126"/>
  <c r="L15" i="149" s="1"/>
  <c r="L22" i="126"/>
  <c r="K22" i="149"/>
  <c r="L8" i="126"/>
  <c r="K8" i="149"/>
  <c r="D23" i="126"/>
  <c r="B17" i="12" s="1"/>
  <c r="D12" i="149"/>
  <c r="D23" i="149" s="1"/>
  <c r="L13" i="126"/>
  <c r="K13" i="149"/>
  <c r="L21" i="126"/>
  <c r="L21" i="149" s="1"/>
  <c r="K21" i="149"/>
  <c r="L6" i="126"/>
  <c r="L6" i="149" s="1"/>
  <c r="L7" i="126"/>
  <c r="K7" i="149"/>
  <c r="L12" i="126"/>
  <c r="K12" i="149"/>
  <c r="L17" i="126"/>
  <c r="L17" i="149" s="1"/>
  <c r="K17" i="149"/>
  <c r="P19" i="126"/>
  <c r="L20" i="126"/>
  <c r="L20" i="149" s="1"/>
  <c r="E16" i="12"/>
  <c r="L6" i="125"/>
  <c r="L10" i="150" s="1"/>
  <c r="K10" i="150"/>
  <c r="K14" i="150" s="1"/>
  <c r="L8" i="125"/>
  <c r="K15" i="150"/>
  <c r="K17" i="150" s="1"/>
  <c r="L9" i="125"/>
  <c r="L11" i="150" s="1"/>
  <c r="K11" i="150"/>
  <c r="N18" i="150"/>
  <c r="F14" i="150"/>
  <c r="F18" i="150" s="1"/>
  <c r="L7" i="125"/>
  <c r="K6" i="150"/>
  <c r="K7" i="150" s="1"/>
  <c r="S18" i="150"/>
  <c r="L7" i="146"/>
  <c r="K7" i="151"/>
  <c r="K12" i="151" s="1"/>
  <c r="L12" i="146"/>
  <c r="L8" i="151" s="1"/>
  <c r="K8" i="151"/>
  <c r="P13" i="146"/>
  <c r="P9" i="151" s="1"/>
  <c r="L9" i="151"/>
  <c r="L17" i="146"/>
  <c r="L19" i="151" s="1"/>
  <c r="K19" i="151"/>
  <c r="L6" i="146"/>
  <c r="L6" i="151" s="1"/>
  <c r="L11" i="146"/>
  <c r="L15" i="151" s="1"/>
  <c r="K15" i="151"/>
  <c r="L16" i="146"/>
  <c r="L18" i="151" s="1"/>
  <c r="K18" i="151"/>
  <c r="X15" i="12"/>
  <c r="E16" i="77"/>
  <c r="Y15" i="12"/>
  <c r="F9" i="77"/>
  <c r="L9" i="146"/>
  <c r="L14" i="151" s="1"/>
  <c r="K14" i="151"/>
  <c r="L10" i="146"/>
  <c r="L15" i="146"/>
  <c r="K11" i="151"/>
  <c r="F19" i="146"/>
  <c r="D15" i="12" s="1"/>
  <c r="F6" i="151"/>
  <c r="F12" i="151" s="1"/>
  <c r="L8" i="146"/>
  <c r="K13" i="151"/>
  <c r="L14" i="146"/>
  <c r="L10" i="151" s="1"/>
  <c r="K10" i="151"/>
  <c r="L18" i="146"/>
  <c r="L17" i="151" s="1"/>
  <c r="K17" i="151"/>
  <c r="L15" i="12"/>
  <c r="Z29" i="121"/>
  <c r="E13" i="72" s="1"/>
  <c r="Z25" i="155"/>
  <c r="Z30" i="155" s="1"/>
  <c r="F15" i="121"/>
  <c r="F8" i="155" s="1"/>
  <c r="D8" i="155"/>
  <c r="F13" i="121"/>
  <c r="F15" i="155" s="1"/>
  <c r="D15" i="155"/>
  <c r="F17" i="75"/>
  <c r="AO22" i="132"/>
  <c r="AY10" i="132"/>
  <c r="N11" i="120"/>
  <c r="N6" i="156"/>
  <c r="N11" i="156" s="1"/>
  <c r="L7" i="120"/>
  <c r="K7" i="156"/>
  <c r="F10" i="12"/>
  <c r="D11" i="120"/>
  <c r="B10" i="12" s="1"/>
  <c r="D6" i="156"/>
  <c r="D11" i="156" s="1"/>
  <c r="L6" i="120"/>
  <c r="L6" i="156" s="1"/>
  <c r="K6" i="156"/>
  <c r="E10" i="12"/>
  <c r="S11" i="120"/>
  <c r="Q10" i="12" s="1"/>
  <c r="S6" i="156"/>
  <c r="S11" i="156" s="1"/>
  <c r="F16" i="61"/>
  <c r="F18" i="12"/>
  <c r="F7" i="12"/>
  <c r="I117" i="117"/>
  <c r="G8" i="12" s="1"/>
  <c r="W117" i="117"/>
  <c r="A29" i="121"/>
  <c r="K11" i="120"/>
  <c r="I10" i="12" s="1"/>
  <c r="E117" i="117"/>
  <c r="C8" i="12" s="1"/>
  <c r="X117" i="117"/>
  <c r="V8" i="12" s="1"/>
  <c r="M43" i="119"/>
  <c r="T43" i="119" s="1"/>
  <c r="U43" i="119" s="1"/>
  <c r="W43" i="119" s="1"/>
  <c r="M66" i="119"/>
  <c r="T66" i="119" s="1"/>
  <c r="U66" i="119" s="1"/>
  <c r="W66" i="119" s="1"/>
  <c r="Y9" i="12"/>
  <c r="M49" i="119"/>
  <c r="O49" i="119" s="1"/>
  <c r="F6" i="120"/>
  <c r="V11" i="12"/>
  <c r="M11" i="122"/>
  <c r="T11" i="122" s="1"/>
  <c r="U11" i="122" s="1"/>
  <c r="W11" i="122" s="1"/>
  <c r="K16" i="122"/>
  <c r="P12" i="122"/>
  <c r="M12" i="122" s="1"/>
  <c r="O12" i="122" s="1"/>
  <c r="Y12" i="12"/>
  <c r="H12" i="12"/>
  <c r="M9" i="122"/>
  <c r="O9" i="122" s="1"/>
  <c r="M11" i="124"/>
  <c r="O11" i="124" s="1"/>
  <c r="M15" i="124"/>
  <c r="T15" i="124" s="1"/>
  <c r="U15" i="124" s="1"/>
  <c r="W15" i="124" s="1"/>
  <c r="G14" i="12"/>
  <c r="A25" i="124"/>
  <c r="F9" i="75" s="1"/>
  <c r="M10" i="124"/>
  <c r="O10" i="124" s="1"/>
  <c r="L16" i="44"/>
  <c r="F11" i="43" s="1"/>
  <c r="K25" i="124"/>
  <c r="I14" i="12" s="1"/>
  <c r="M20" i="124"/>
  <c r="O20" i="124" s="1"/>
  <c r="K19" i="146"/>
  <c r="I15" i="12" s="1"/>
  <c r="F14" i="125"/>
  <c r="D16" i="12" s="1"/>
  <c r="O8" i="125"/>
  <c r="O15" i="150" s="1"/>
  <c r="O17" i="150" s="1"/>
  <c r="N14" i="125"/>
  <c r="F16" i="12"/>
  <c r="G16" i="12"/>
  <c r="D16" i="127"/>
  <c r="B18" i="12" s="1"/>
  <c r="G16" i="127"/>
  <c r="E18" i="12" s="1"/>
  <c r="H18" i="12"/>
  <c r="S16" i="127"/>
  <c r="Q18" i="12" s="1"/>
  <c r="P10" i="127"/>
  <c r="P15" i="148" s="1"/>
  <c r="F6" i="127"/>
  <c r="K16" i="127"/>
  <c r="I18" i="12" s="1"/>
  <c r="P6" i="127"/>
  <c r="P17" i="148" s="1"/>
  <c r="P9" i="126"/>
  <c r="P9" i="149" s="1"/>
  <c r="P17" i="126"/>
  <c r="P17" i="149" s="1"/>
  <c r="P6" i="126"/>
  <c r="P6" i="149" s="1"/>
  <c r="P10" i="126"/>
  <c r="P10" i="149" s="1"/>
  <c r="P15" i="126"/>
  <c r="P15" i="149" s="1"/>
  <c r="P20" i="126"/>
  <c r="P20" i="149" s="1"/>
  <c r="L24" i="126"/>
  <c r="F12" i="126"/>
  <c r="F12" i="149" s="1"/>
  <c r="F23" i="149" s="1"/>
  <c r="P18" i="126"/>
  <c r="P18" i="149" s="1"/>
  <c r="P21" i="126"/>
  <c r="P21" i="149" s="1"/>
  <c r="S23" i="126"/>
  <c r="Q17" i="12" s="1"/>
  <c r="K23" i="126"/>
  <c r="I17" i="12" s="1"/>
  <c r="X16" i="12"/>
  <c r="S14" i="125"/>
  <c r="Q16" i="12" s="1"/>
  <c r="K14" i="125"/>
  <c r="I16" i="12" s="1"/>
  <c r="O13" i="44"/>
  <c r="M9" i="124"/>
  <c r="T9" i="124" s="1"/>
  <c r="U9" i="124" s="1"/>
  <c r="W9" i="124" s="1"/>
  <c r="P13" i="124"/>
  <c r="M14" i="124"/>
  <c r="T14" i="124" s="1"/>
  <c r="U14" i="124" s="1"/>
  <c r="W14" i="124" s="1"/>
  <c r="P12" i="124"/>
  <c r="M17" i="124"/>
  <c r="O17" i="124" s="1"/>
  <c r="M8" i="124"/>
  <c r="T8" i="124" s="1"/>
  <c r="U8" i="124" s="1"/>
  <c r="W8" i="124" s="1"/>
  <c r="M16" i="124"/>
  <c r="T16" i="124" s="1"/>
  <c r="U16" i="124" s="1"/>
  <c r="W16" i="124" s="1"/>
  <c r="F9" i="124"/>
  <c r="T11" i="124"/>
  <c r="U11" i="124" s="1"/>
  <c r="W11" i="124" s="1"/>
  <c r="L6" i="124"/>
  <c r="F14" i="124"/>
  <c r="F14" i="152" s="1"/>
  <c r="F25" i="152" s="1"/>
  <c r="D9" i="97" s="1"/>
  <c r="P18" i="124"/>
  <c r="S25" i="124"/>
  <c r="Q14" i="12" s="1"/>
  <c r="M7" i="124"/>
  <c r="O7" i="124" s="1"/>
  <c r="P19" i="124"/>
  <c r="P11" i="146"/>
  <c r="P15" i="151" s="1"/>
  <c r="P14" i="146"/>
  <c r="P10" i="151" s="1"/>
  <c r="P16" i="146"/>
  <c r="P18" i="151" s="1"/>
  <c r="M13" i="146"/>
  <c r="P18" i="146"/>
  <c r="P17" i="151" s="1"/>
  <c r="S19" i="146"/>
  <c r="Q15" i="12" s="1"/>
  <c r="Z49" i="123"/>
  <c r="E17" i="73" s="1"/>
  <c r="P41" i="123"/>
  <c r="P41" i="153" s="1"/>
  <c r="P42" i="153" s="1"/>
  <c r="S49" i="123"/>
  <c r="Q13" i="12" s="1"/>
  <c r="P39" i="123"/>
  <c r="P16" i="123"/>
  <c r="P17" i="153" s="1"/>
  <c r="P24" i="123"/>
  <c r="P21" i="153" s="1"/>
  <c r="P14" i="123"/>
  <c r="P15" i="153" s="1"/>
  <c r="N49" i="123"/>
  <c r="P29" i="123"/>
  <c r="P52" i="153" s="1"/>
  <c r="P15" i="123"/>
  <c r="P16" i="153" s="1"/>
  <c r="P21" i="123"/>
  <c r="P20" i="153" s="1"/>
  <c r="P27" i="123"/>
  <c r="P6" i="153" s="1"/>
  <c r="P7" i="153" s="1"/>
  <c r="P33" i="123"/>
  <c r="P24" i="153" s="1"/>
  <c r="P34" i="123"/>
  <c r="P25" i="153" s="1"/>
  <c r="F13" i="12"/>
  <c r="P22" i="123"/>
  <c r="P49" i="153" s="1"/>
  <c r="F23" i="123"/>
  <c r="P43" i="123"/>
  <c r="P27" i="153" s="1"/>
  <c r="D49" i="123"/>
  <c r="B13" i="12" s="1"/>
  <c r="O10" i="122"/>
  <c r="O11" i="122"/>
  <c r="O12" i="154" s="1"/>
  <c r="O15" i="154" s="1"/>
  <c r="L12" i="12"/>
  <c r="P7" i="122"/>
  <c r="M8" i="122"/>
  <c r="T8" i="122" s="1"/>
  <c r="U8" i="122" s="1"/>
  <c r="W8" i="122" s="1"/>
  <c r="X12" i="12"/>
  <c r="D16" i="122"/>
  <c r="F6" i="122"/>
  <c r="F16" i="154" s="1"/>
  <c r="F17" i="154" s="1"/>
  <c r="L6" i="122"/>
  <c r="F8" i="122"/>
  <c r="T10" i="122"/>
  <c r="U10" i="122" s="1"/>
  <c r="W10" i="122" s="1"/>
  <c r="T12" i="122"/>
  <c r="U12" i="122" s="1"/>
  <c r="W12" i="122" s="1"/>
  <c r="T12" i="12"/>
  <c r="G16" i="122"/>
  <c r="E12" i="12" s="1"/>
  <c r="S13" i="122"/>
  <c r="M13" i="122" s="1"/>
  <c r="O13" i="122" s="1"/>
  <c r="E8" i="44"/>
  <c r="E16" i="44" s="1"/>
  <c r="F8" i="43" s="1"/>
  <c r="P10" i="121"/>
  <c r="P12" i="155" s="1"/>
  <c r="K29" i="121"/>
  <c r="S29" i="121"/>
  <c r="E11" i="12"/>
  <c r="P23" i="121"/>
  <c r="P24" i="155" s="1"/>
  <c r="C11" i="12"/>
  <c r="Y10" i="12"/>
  <c r="L11" i="120"/>
  <c r="J10" i="12" s="1"/>
  <c r="P6" i="120"/>
  <c r="P6" i="156" s="1"/>
  <c r="M51" i="119"/>
  <c r="T51" i="119" s="1"/>
  <c r="U51" i="119" s="1"/>
  <c r="V51" i="119" s="1"/>
  <c r="O6" i="44"/>
  <c r="M15" i="119"/>
  <c r="T15" i="119" s="1"/>
  <c r="U15" i="119" s="1"/>
  <c r="V15" i="119" s="1"/>
  <c r="K59" i="119"/>
  <c r="L59" i="119" s="1"/>
  <c r="P59" i="119" s="1"/>
  <c r="M59" i="119" s="1"/>
  <c r="T59" i="119" s="1"/>
  <c r="U59" i="119" s="1"/>
  <c r="W59" i="119" s="1"/>
  <c r="W9" i="12"/>
  <c r="M22" i="119"/>
  <c r="O22" i="119" s="1"/>
  <c r="O12" i="157" s="1"/>
  <c r="O20" i="157" s="1"/>
  <c r="O81" i="157" s="1"/>
  <c r="F51" i="119"/>
  <c r="M54" i="119"/>
  <c r="O54" i="119" s="1"/>
  <c r="M57" i="119"/>
  <c r="O57" i="119" s="1"/>
  <c r="O15" i="119"/>
  <c r="M32" i="119"/>
  <c r="T32" i="119" s="1"/>
  <c r="U32" i="119" s="1"/>
  <c r="W32" i="119" s="1"/>
  <c r="M53" i="119"/>
  <c r="T53" i="119" s="1"/>
  <c r="U53" i="119" s="1"/>
  <c r="V53" i="119" s="1"/>
  <c r="P62" i="119"/>
  <c r="P35" i="119"/>
  <c r="M35" i="119" s="1"/>
  <c r="O35" i="119" s="1"/>
  <c r="E70" i="119"/>
  <c r="C9" i="12" s="1"/>
  <c r="M20" i="119"/>
  <c r="O20" i="119" s="1"/>
  <c r="M25" i="119"/>
  <c r="T25" i="119" s="1"/>
  <c r="U25" i="119" s="1"/>
  <c r="W25" i="119" s="1"/>
  <c r="O66" i="119"/>
  <c r="J70" i="119"/>
  <c r="M7" i="119"/>
  <c r="O7" i="119" s="1"/>
  <c r="M8" i="119"/>
  <c r="T8" i="119" s="1"/>
  <c r="U8" i="119" s="1"/>
  <c r="W8" i="119" s="1"/>
  <c r="P12" i="119"/>
  <c r="P17" i="119"/>
  <c r="M18" i="119"/>
  <c r="T18" i="119" s="1"/>
  <c r="U18" i="119" s="1"/>
  <c r="W18" i="119" s="1"/>
  <c r="M21" i="119"/>
  <c r="T21" i="119" s="1"/>
  <c r="U21" i="119" s="1"/>
  <c r="W21" i="119" s="1"/>
  <c r="M27" i="119"/>
  <c r="T27" i="119" s="1"/>
  <c r="U27" i="119" s="1"/>
  <c r="W27" i="119" s="1"/>
  <c r="M34" i="119"/>
  <c r="T34" i="119" s="1"/>
  <c r="U34" i="119" s="1"/>
  <c r="W34" i="119" s="1"/>
  <c r="P9" i="119"/>
  <c r="M10" i="119"/>
  <c r="O10" i="119" s="1"/>
  <c r="M16" i="119"/>
  <c r="O16" i="119" s="1"/>
  <c r="F28" i="119"/>
  <c r="P30" i="119"/>
  <c r="M6" i="119"/>
  <c r="O6" i="119" s="1"/>
  <c r="P14" i="119"/>
  <c r="P19" i="119"/>
  <c r="P23" i="119"/>
  <c r="M24" i="119"/>
  <c r="T24" i="119" s="1"/>
  <c r="U24" i="119" s="1"/>
  <c r="W24" i="119" s="1"/>
  <c r="P26" i="119"/>
  <c r="M28" i="119"/>
  <c r="T28" i="119" s="1"/>
  <c r="U28" i="119" s="1"/>
  <c r="W28" i="119" s="1"/>
  <c r="P31" i="119"/>
  <c r="P37" i="119"/>
  <c r="F38" i="119"/>
  <c r="M47" i="119"/>
  <c r="T47" i="119" s="1"/>
  <c r="U47" i="119" s="1"/>
  <c r="W47" i="119" s="1"/>
  <c r="F48" i="119"/>
  <c r="O51" i="119"/>
  <c r="M64" i="119"/>
  <c r="T64" i="119" s="1"/>
  <c r="U64" i="119" s="1"/>
  <c r="W64" i="119" s="1"/>
  <c r="F9" i="12"/>
  <c r="S70" i="119"/>
  <c r="Q9" i="12" s="1"/>
  <c r="M39" i="119"/>
  <c r="O39" i="119" s="1"/>
  <c r="P41" i="119"/>
  <c r="M44" i="119"/>
  <c r="T44" i="119" s="1"/>
  <c r="U44" i="119" s="1"/>
  <c r="W44" i="119" s="1"/>
  <c r="M58" i="119"/>
  <c r="T58" i="119" s="1"/>
  <c r="U58" i="119" s="1"/>
  <c r="V58" i="119" s="1"/>
  <c r="N70" i="119"/>
  <c r="D70" i="119"/>
  <c r="F10" i="119"/>
  <c r="F25" i="119"/>
  <c r="M33" i="119"/>
  <c r="O33" i="119" s="1"/>
  <c r="M36" i="119"/>
  <c r="O36" i="119" s="1"/>
  <c r="M38" i="119"/>
  <c r="O38" i="119" s="1"/>
  <c r="T42" i="119"/>
  <c r="U42" i="119" s="1"/>
  <c r="V42" i="119" s="1"/>
  <c r="V41" i="157" s="1"/>
  <c r="V56" i="157" s="1"/>
  <c r="O46" i="119"/>
  <c r="M52" i="119"/>
  <c r="O52" i="119" s="1"/>
  <c r="M55" i="119"/>
  <c r="O55" i="119" s="1"/>
  <c r="P56" i="119"/>
  <c r="P60" i="119"/>
  <c r="P11" i="119"/>
  <c r="P13" i="119"/>
  <c r="P40" i="119"/>
  <c r="O42" i="119"/>
  <c r="O43" i="119"/>
  <c r="P45" i="119"/>
  <c r="T46" i="119"/>
  <c r="U46" i="119" s="1"/>
  <c r="W46" i="119" s="1"/>
  <c r="M48" i="119"/>
  <c r="T48" i="119" s="1"/>
  <c r="U48" i="119" s="1"/>
  <c r="W48" i="119" s="1"/>
  <c r="M50" i="119"/>
  <c r="O50" i="119" s="1"/>
  <c r="T61" i="119"/>
  <c r="U61" i="119" s="1"/>
  <c r="W61" i="119" s="1"/>
  <c r="M63" i="119"/>
  <c r="O63" i="119" s="1"/>
  <c r="P65" i="119"/>
  <c r="F32" i="119"/>
  <c r="O61" i="119"/>
  <c r="N93" i="117"/>
  <c r="H115" i="117"/>
  <c r="H117" i="117" s="1"/>
  <c r="Q115" i="117"/>
  <c r="R93" i="117"/>
  <c r="R117" i="117" s="1"/>
  <c r="P8" i="12" s="1"/>
  <c r="P19" i="12" s="1"/>
  <c r="G93" i="117"/>
  <c r="D93" i="117"/>
  <c r="S96" i="117"/>
  <c r="L102" i="117"/>
  <c r="P10" i="116"/>
  <c r="S59" i="116"/>
  <c r="P34" i="116"/>
  <c r="P29" i="116"/>
  <c r="F70" i="116"/>
  <c r="F38" i="162" s="1"/>
  <c r="P12" i="116"/>
  <c r="P7" i="162" s="1"/>
  <c r="P50" i="116"/>
  <c r="P70" i="162" s="1"/>
  <c r="P15" i="116"/>
  <c r="P56" i="162" s="1"/>
  <c r="P41" i="116"/>
  <c r="P18" i="162" s="1"/>
  <c r="J104" i="116"/>
  <c r="H7" i="12" s="1"/>
  <c r="K44" i="116"/>
  <c r="P36" i="116"/>
  <c r="P99" i="162" s="1"/>
  <c r="P40" i="116"/>
  <c r="P62" i="116"/>
  <c r="P73" i="162" s="1"/>
  <c r="P64" i="116"/>
  <c r="P34" i="162" s="1"/>
  <c r="D104" i="116"/>
  <c r="B7" i="12" s="1"/>
  <c r="F26" i="116"/>
  <c r="F10" i="162" s="1"/>
  <c r="F50" i="162" s="1"/>
  <c r="N104" i="116"/>
  <c r="P71" i="116"/>
  <c r="P95" i="162" s="1"/>
  <c r="G104" i="116"/>
  <c r="P21" i="116"/>
  <c r="P59" i="162" s="1"/>
  <c r="P32" i="116"/>
  <c r="P64" i="162" s="1"/>
  <c r="P33" i="116"/>
  <c r="P15" i="162" s="1"/>
  <c r="O4" i="44"/>
  <c r="P55" i="116"/>
  <c r="P27" i="162" s="1"/>
  <c r="P82" i="116"/>
  <c r="P82" i="162" s="1"/>
  <c r="P68" i="116"/>
  <c r="P37" i="162" s="1"/>
  <c r="Z104" i="116"/>
  <c r="P47" i="116"/>
  <c r="P23" i="162" s="1"/>
  <c r="P78" i="116"/>
  <c r="P80" i="162" s="1"/>
  <c r="F21" i="121"/>
  <c r="F22" i="155" s="1"/>
  <c r="P30" i="123"/>
  <c r="P53" i="153" s="1"/>
  <c r="K49" i="123"/>
  <c r="L50" i="123" s="1"/>
  <c r="P28" i="116"/>
  <c r="P12" i="162" s="1"/>
  <c r="L29" i="119"/>
  <c r="B20" i="142"/>
  <c r="F20" i="142"/>
  <c r="J20" i="142"/>
  <c r="N20" i="142"/>
  <c r="R20" i="142"/>
  <c r="V20" i="142"/>
  <c r="Z20" i="142"/>
  <c r="AD20" i="142"/>
  <c r="AH20" i="142"/>
  <c r="AL20" i="142"/>
  <c r="D20" i="40" s="1"/>
  <c r="AX20" i="142"/>
  <c r="D20" i="142"/>
  <c r="H20" i="142"/>
  <c r="L20" i="142"/>
  <c r="P20" i="142"/>
  <c r="T20" i="142"/>
  <c r="X20" i="142"/>
  <c r="AB20" i="142"/>
  <c r="AF20" i="142"/>
  <c r="AN20" i="142"/>
  <c r="F20" i="40" s="1"/>
  <c r="F21" i="40" s="1"/>
  <c r="AR20" i="142"/>
  <c r="AV20" i="142"/>
  <c r="AZ20" i="142"/>
  <c r="D29" i="121"/>
  <c r="F22" i="121"/>
  <c r="F23" i="155" s="1"/>
  <c r="N22" i="121"/>
  <c r="N23" i="155" s="1"/>
  <c r="N30" i="155" s="1"/>
  <c r="D21" i="38"/>
  <c r="C21" i="38"/>
  <c r="T24" i="97" s="1"/>
  <c r="C22" i="38"/>
  <c r="E22" i="38" s="1"/>
  <c r="P33" i="117"/>
  <c r="P63" i="167" s="1"/>
  <c r="P38" i="117"/>
  <c r="P33" i="167" s="1"/>
  <c r="P66" i="117"/>
  <c r="P43" i="167" s="1"/>
  <c r="P14" i="117"/>
  <c r="P20" i="167" s="1"/>
  <c r="P113" i="117"/>
  <c r="P50" i="167" s="1"/>
  <c r="F16" i="117"/>
  <c r="F54" i="167" s="1"/>
  <c r="F28" i="117"/>
  <c r="F28" i="167" s="1"/>
  <c r="Z93" i="117"/>
  <c r="M16" i="44"/>
  <c r="F7" i="43" s="1"/>
  <c r="P74" i="117"/>
  <c r="P71" i="167" s="1"/>
  <c r="F83" i="117"/>
  <c r="F107" i="167" s="1"/>
  <c r="K93" i="117"/>
  <c r="P103" i="117"/>
  <c r="P91" i="167" s="1"/>
  <c r="J115" i="117"/>
  <c r="J117" i="117" s="1"/>
  <c r="H8" i="12" s="1"/>
  <c r="K109" i="117"/>
  <c r="F110" i="117"/>
  <c r="F85" i="167" s="1"/>
  <c r="P26" i="117"/>
  <c r="P27" i="167" s="1"/>
  <c r="F41" i="117"/>
  <c r="F64" i="167" s="1"/>
  <c r="F42" i="117"/>
  <c r="F101" i="167" s="1"/>
  <c r="F56" i="117"/>
  <c r="F103" i="167" s="1"/>
  <c r="P67" i="117"/>
  <c r="P69" i="167" s="1"/>
  <c r="N115" i="117"/>
  <c r="D115" i="117"/>
  <c r="F15" i="117"/>
  <c r="F118" i="167" s="1"/>
  <c r="F122" i="167" s="1"/>
  <c r="C5" i="44"/>
  <c r="Z115" i="117"/>
  <c r="P96" i="117"/>
  <c r="P46" i="167" s="1"/>
  <c r="G115" i="117"/>
  <c r="Q93" i="117"/>
  <c r="E20" i="142"/>
  <c r="I20" i="142"/>
  <c r="M20" i="142"/>
  <c r="Q20" i="142"/>
  <c r="U20" i="142"/>
  <c r="Y20" i="142"/>
  <c r="AC20" i="142"/>
  <c r="AG20" i="142"/>
  <c r="AK20" i="142"/>
  <c r="AO20" i="142"/>
  <c r="G20" i="40" s="1"/>
  <c r="G21" i="40" s="1"/>
  <c r="AS20" i="142"/>
  <c r="AW20" i="142"/>
  <c r="C20" i="142"/>
  <c r="G20" i="142"/>
  <c r="K20" i="142"/>
  <c r="O20" i="142"/>
  <c r="S20" i="142"/>
  <c r="W20" i="142"/>
  <c r="AA20" i="142"/>
  <c r="AE20" i="142"/>
  <c r="AI20" i="142"/>
  <c r="AM20" i="142"/>
  <c r="E20" i="40" s="1"/>
  <c r="E21" i="40" s="1"/>
  <c r="AQ20" i="142"/>
  <c r="AU20" i="142"/>
  <c r="AY20" i="142"/>
  <c r="AP20" i="142"/>
  <c r="H20" i="40" s="1"/>
  <c r="AT20" i="142"/>
  <c r="AJ20" i="142"/>
  <c r="F18" i="137"/>
  <c r="F28" i="137" s="1"/>
  <c r="O18" i="137"/>
  <c r="AM115" i="140"/>
  <c r="F9" i="73" l="1"/>
  <c r="Y13" i="12"/>
  <c r="F49" i="123"/>
  <c r="F50" i="153"/>
  <c r="F56" i="153" s="1"/>
  <c r="F57" i="153" s="1"/>
  <c r="P17" i="123"/>
  <c r="L18" i="153"/>
  <c r="P11" i="123"/>
  <c r="L36" i="153"/>
  <c r="E16" i="97"/>
  <c r="G57" i="153"/>
  <c r="L17" i="97"/>
  <c r="N56" i="153"/>
  <c r="M39" i="123"/>
  <c r="P38" i="153"/>
  <c r="P36" i="123"/>
  <c r="L26" i="153"/>
  <c r="P25" i="123"/>
  <c r="L22" i="153"/>
  <c r="P13" i="123"/>
  <c r="L48" i="153"/>
  <c r="J17" i="97" s="1"/>
  <c r="P45" i="123"/>
  <c r="L8" i="153"/>
  <c r="L9" i="153" s="1"/>
  <c r="P26" i="123"/>
  <c r="L46" i="153"/>
  <c r="P23" i="123"/>
  <c r="L50" i="153"/>
  <c r="N10" i="44"/>
  <c r="N16" i="44" s="1"/>
  <c r="F13" i="43" s="1"/>
  <c r="Z48" i="153"/>
  <c r="P38" i="123"/>
  <c r="L55" i="153"/>
  <c r="P19" i="123"/>
  <c r="P43" i="153" s="1"/>
  <c r="P44" i="153" s="1"/>
  <c r="N16" i="97" s="1"/>
  <c r="P28" i="123"/>
  <c r="P51" i="153" s="1"/>
  <c r="K31" i="153"/>
  <c r="B15" i="97"/>
  <c r="D57" i="153"/>
  <c r="S57" i="153"/>
  <c r="Q15" i="97"/>
  <c r="P35" i="123"/>
  <c r="L54" i="153"/>
  <c r="K56" i="153"/>
  <c r="P50" i="123"/>
  <c r="P31" i="123"/>
  <c r="L23" i="153"/>
  <c r="L49" i="123"/>
  <c r="P7" i="123"/>
  <c r="P32" i="153" s="1"/>
  <c r="P33" i="153" s="1"/>
  <c r="N9" i="97" s="1"/>
  <c r="P37" i="123"/>
  <c r="P37" i="153" s="1"/>
  <c r="P42" i="123"/>
  <c r="L39" i="153"/>
  <c r="P32" i="123"/>
  <c r="L10" i="153"/>
  <c r="L31" i="153" s="1"/>
  <c r="K40" i="153"/>
  <c r="P44" i="123"/>
  <c r="L28" i="153"/>
  <c r="P20" i="123"/>
  <c r="L19" i="153"/>
  <c r="P9" i="123"/>
  <c r="L13" i="153"/>
  <c r="P18" i="123"/>
  <c r="L45" i="153"/>
  <c r="P12" i="123"/>
  <c r="L47" i="153"/>
  <c r="P8" i="123"/>
  <c r="L12" i="153"/>
  <c r="P40" i="123"/>
  <c r="L34" i="153"/>
  <c r="L35" i="153" s="1"/>
  <c r="P10" i="123"/>
  <c r="L14" i="153"/>
  <c r="D15" i="97"/>
  <c r="P18" i="121"/>
  <c r="P19" i="155" s="1"/>
  <c r="P7" i="121"/>
  <c r="P10" i="155" s="1"/>
  <c r="P13" i="121"/>
  <c r="L15" i="155"/>
  <c r="P19" i="121"/>
  <c r="L20" i="155"/>
  <c r="P9" i="121"/>
  <c r="L11" i="155"/>
  <c r="P21" i="121"/>
  <c r="L22" i="155"/>
  <c r="P16" i="121"/>
  <c r="L17" i="155"/>
  <c r="P12" i="121"/>
  <c r="L14" i="155"/>
  <c r="P6" i="121"/>
  <c r="L9" i="155"/>
  <c r="P17" i="121"/>
  <c r="L18" i="155"/>
  <c r="P24" i="121"/>
  <c r="L25" i="155"/>
  <c r="K30" i="155"/>
  <c r="K31" i="155" s="1"/>
  <c r="L32" i="155" s="1"/>
  <c r="L29" i="121"/>
  <c r="Q11" i="97"/>
  <c r="P14" i="121"/>
  <c r="L16" i="155"/>
  <c r="P22" i="121"/>
  <c r="L23" i="155"/>
  <c r="P20" i="121"/>
  <c r="L21" i="155"/>
  <c r="P15" i="121"/>
  <c r="L8" i="155"/>
  <c r="P11" i="121"/>
  <c r="L13" i="155"/>
  <c r="I11" i="12"/>
  <c r="L30" i="121"/>
  <c r="P8" i="121"/>
  <c r="P6" i="155" s="1"/>
  <c r="P7" i="155" s="1"/>
  <c r="I10" i="97"/>
  <c r="Y11" i="12"/>
  <c r="F7" i="72"/>
  <c r="P57" i="117"/>
  <c r="P12" i="167" s="1"/>
  <c r="P37" i="117"/>
  <c r="P10" i="167" s="1"/>
  <c r="P63" i="117"/>
  <c r="P51" i="167" s="1"/>
  <c r="D56" i="167"/>
  <c r="D123" i="167" s="1"/>
  <c r="P18" i="117"/>
  <c r="P96" i="167" s="1"/>
  <c r="P7" i="117"/>
  <c r="M7" i="117" s="1"/>
  <c r="N123" i="167"/>
  <c r="P101" i="117"/>
  <c r="P79" i="167" s="1"/>
  <c r="P52" i="117"/>
  <c r="P67" i="167" s="1"/>
  <c r="P55" i="117"/>
  <c r="P38" i="167" s="1"/>
  <c r="P9" i="117"/>
  <c r="P61" i="167" s="1"/>
  <c r="P62" i="167" s="1"/>
  <c r="P48" i="117"/>
  <c r="M48" i="117" s="1"/>
  <c r="P77" i="117"/>
  <c r="P74" i="167" s="1"/>
  <c r="P47" i="117"/>
  <c r="P36" i="167" s="1"/>
  <c r="P10" i="117"/>
  <c r="P8" i="167" s="1"/>
  <c r="P104" i="117"/>
  <c r="P81" i="167" s="1"/>
  <c r="P82" i="117"/>
  <c r="P106" i="167" s="1"/>
  <c r="P24" i="117"/>
  <c r="P25" i="167" s="1"/>
  <c r="P97" i="117"/>
  <c r="P52" i="167" s="1"/>
  <c r="P44" i="117"/>
  <c r="P94" i="167" s="1"/>
  <c r="P81" i="117"/>
  <c r="P105" i="167" s="1"/>
  <c r="P31" i="117"/>
  <c r="P9" i="167" s="1"/>
  <c r="E20" i="97"/>
  <c r="G123" i="167"/>
  <c r="F56" i="167"/>
  <c r="D8" i="97" s="1"/>
  <c r="F87" i="167"/>
  <c r="S93" i="117"/>
  <c r="P36" i="117"/>
  <c r="L100" i="167"/>
  <c r="P106" i="117"/>
  <c r="L92" i="167"/>
  <c r="P73" i="117"/>
  <c r="L104" i="167"/>
  <c r="P68" i="117"/>
  <c r="L70" i="167"/>
  <c r="P59" i="117"/>
  <c r="L39" i="167"/>
  <c r="P41" i="117"/>
  <c r="L64" i="167"/>
  <c r="P107" i="117"/>
  <c r="L83" i="167"/>
  <c r="P65" i="117"/>
  <c r="L42" i="167"/>
  <c r="P15" i="117"/>
  <c r="L118" i="167"/>
  <c r="P71" i="117"/>
  <c r="L45" i="167"/>
  <c r="P56" i="117"/>
  <c r="L103" i="167"/>
  <c r="P49" i="117"/>
  <c r="L65" i="167"/>
  <c r="P45" i="117"/>
  <c r="L119" i="167"/>
  <c r="P35" i="117"/>
  <c r="L32" i="167"/>
  <c r="P16" i="117"/>
  <c r="L54" i="167"/>
  <c r="P11" i="117"/>
  <c r="L17" i="167"/>
  <c r="P50" i="117"/>
  <c r="P66" i="167" s="1"/>
  <c r="P98" i="117"/>
  <c r="P53" i="167" s="1"/>
  <c r="P79" i="117"/>
  <c r="P98" i="167" s="1"/>
  <c r="P60" i="117"/>
  <c r="P40" i="167" s="1"/>
  <c r="P51" i="117"/>
  <c r="P37" i="167" s="1"/>
  <c r="P78" i="117"/>
  <c r="P97" i="167" s="1"/>
  <c r="P25" i="117"/>
  <c r="P26" i="167" s="1"/>
  <c r="P13" i="117"/>
  <c r="P19" i="167" s="1"/>
  <c r="P102" i="117"/>
  <c r="P80" i="167" s="1"/>
  <c r="L80" i="167"/>
  <c r="S115" i="117"/>
  <c r="S46" i="167"/>
  <c r="S56" i="167" s="1"/>
  <c r="P70" i="117"/>
  <c r="P42" i="117"/>
  <c r="P105" i="117"/>
  <c r="L82" i="167"/>
  <c r="P84" i="117"/>
  <c r="L116" i="167"/>
  <c r="P76" i="117"/>
  <c r="L73" i="167"/>
  <c r="P72" i="117"/>
  <c r="L115" i="167"/>
  <c r="L117" i="167" s="1"/>
  <c r="J14" i="97" s="1"/>
  <c r="K117" i="167"/>
  <c r="I14" i="97" s="1"/>
  <c r="P27" i="117"/>
  <c r="L99" i="167"/>
  <c r="P21" i="117"/>
  <c r="L22" i="167"/>
  <c r="P8" i="117"/>
  <c r="L16" i="167"/>
  <c r="P111" i="117"/>
  <c r="L48" i="167"/>
  <c r="K108" i="167"/>
  <c r="K14" i="167"/>
  <c r="I7" i="97" s="1"/>
  <c r="K56" i="167"/>
  <c r="P114" i="117"/>
  <c r="P86" i="167" s="1"/>
  <c r="P11" i="167"/>
  <c r="P58" i="117"/>
  <c r="P13" i="167" s="1"/>
  <c r="L109" i="117"/>
  <c r="L84" i="167" s="1"/>
  <c r="K84" i="167"/>
  <c r="K87" i="167" s="1"/>
  <c r="I11" i="97" s="1"/>
  <c r="P22" i="117"/>
  <c r="P23" i="167" s="1"/>
  <c r="P23" i="117"/>
  <c r="P24" i="167" s="1"/>
  <c r="P15" i="167"/>
  <c r="U8" i="12"/>
  <c r="E13" i="68"/>
  <c r="O12" i="97"/>
  <c r="P40" i="117"/>
  <c r="L35" i="167"/>
  <c r="R123" i="167"/>
  <c r="P8" i="97"/>
  <c r="P20" i="97" s="1"/>
  <c r="P64" i="117"/>
  <c r="L90" i="167"/>
  <c r="P28" i="117"/>
  <c r="L28" i="167"/>
  <c r="P112" i="117"/>
  <c r="L49" i="167"/>
  <c r="P69" i="117"/>
  <c r="L95" i="167"/>
  <c r="P34" i="117"/>
  <c r="L31" i="167"/>
  <c r="P29" i="117"/>
  <c r="L29" i="167"/>
  <c r="L14" i="167"/>
  <c r="P108" i="117"/>
  <c r="L47" i="167"/>
  <c r="P83" i="117"/>
  <c r="L107" i="167"/>
  <c r="P53" i="117"/>
  <c r="L102" i="167"/>
  <c r="P39" i="117"/>
  <c r="L34" i="167"/>
  <c r="P30" i="117"/>
  <c r="L30" i="167"/>
  <c r="P20" i="117"/>
  <c r="L21" i="167"/>
  <c r="F115" i="117"/>
  <c r="P54" i="117"/>
  <c r="P120" i="167" s="1"/>
  <c r="P46" i="117"/>
  <c r="P114" i="167" s="1"/>
  <c r="L93" i="117"/>
  <c r="P75" i="117"/>
  <c r="P72" i="167" s="1"/>
  <c r="F108" i="167"/>
  <c r="P43" i="117"/>
  <c r="P93" i="167" s="1"/>
  <c r="P61" i="117"/>
  <c r="P41" i="167" s="1"/>
  <c r="P85" i="117"/>
  <c r="P109" i="167" s="1"/>
  <c r="P111" i="167" s="1"/>
  <c r="P19" i="117"/>
  <c r="P59" i="167" s="1"/>
  <c r="P60" i="167" s="1"/>
  <c r="P62" i="117"/>
  <c r="P68" i="167" s="1"/>
  <c r="P99" i="117"/>
  <c r="F7" i="68"/>
  <c r="Y8" i="12"/>
  <c r="P110" i="117"/>
  <c r="L85" i="167"/>
  <c r="P100" i="117"/>
  <c r="L78" i="167"/>
  <c r="P80" i="117"/>
  <c r="L121" i="167"/>
  <c r="P32" i="117"/>
  <c r="L55" i="167"/>
  <c r="P17" i="117"/>
  <c r="L6" i="167"/>
  <c r="L7" i="167" s="1"/>
  <c r="P12" i="117"/>
  <c r="L18" i="167"/>
  <c r="Q56" i="167"/>
  <c r="O8" i="97" s="1"/>
  <c r="K122" i="167"/>
  <c r="I18" i="97" s="1"/>
  <c r="T52" i="139"/>
  <c r="U52" i="139" s="1"/>
  <c r="O11" i="139"/>
  <c r="T42" i="139"/>
  <c r="U42" i="139" s="1"/>
  <c r="O49" i="139"/>
  <c r="T49" i="139"/>
  <c r="U49" i="139" s="1"/>
  <c r="T38" i="139"/>
  <c r="U38" i="139" s="1"/>
  <c r="T32" i="139"/>
  <c r="U32" i="139" s="1"/>
  <c r="W32" i="139" s="1"/>
  <c r="O25" i="139"/>
  <c r="T25" i="139"/>
  <c r="U25" i="139" s="1"/>
  <c r="W25" i="139" s="1"/>
  <c r="T72" i="139"/>
  <c r="U72" i="139" s="1"/>
  <c r="AN72" i="139" s="1"/>
  <c r="AZ72" i="139" s="1"/>
  <c r="O33" i="139"/>
  <c r="F78" i="139"/>
  <c r="T24" i="139"/>
  <c r="U24" i="139" s="1"/>
  <c r="O54" i="139"/>
  <c r="T55" i="139"/>
  <c r="U55" i="139" s="1"/>
  <c r="C44" i="145"/>
  <c r="AC117" i="145"/>
  <c r="H117" i="145"/>
  <c r="AE44" i="145"/>
  <c r="K77" i="145"/>
  <c r="O36" i="145"/>
  <c r="O115" i="145"/>
  <c r="L44" i="145"/>
  <c r="O57" i="145"/>
  <c r="N110" i="145"/>
  <c r="O109" i="145"/>
  <c r="O110" i="145" s="1"/>
  <c r="AF109" i="145"/>
  <c r="AF89" i="145"/>
  <c r="AM81" i="145"/>
  <c r="AM89" i="145" s="1"/>
  <c r="AF115" i="145"/>
  <c r="AM113" i="145"/>
  <c r="AM115" i="145" s="1"/>
  <c r="AM97" i="145"/>
  <c r="AM99" i="145" s="1"/>
  <c r="AF99" i="145"/>
  <c r="L77" i="145"/>
  <c r="O26" i="145"/>
  <c r="O44" i="145" s="1"/>
  <c r="AF26" i="145"/>
  <c r="AM26" i="145" s="1"/>
  <c r="AE21" i="145"/>
  <c r="AG8" i="145"/>
  <c r="AG21" i="145" s="1"/>
  <c r="AG117" i="145" s="1"/>
  <c r="D22" i="40" s="1"/>
  <c r="I22" i="40" s="1"/>
  <c r="AJ36" i="145"/>
  <c r="AJ44" i="145" s="1"/>
  <c r="AJ117" i="145" s="1"/>
  <c r="AD44" i="145"/>
  <c r="AD117" i="145" s="1"/>
  <c r="AF92" i="145"/>
  <c r="N94" i="145"/>
  <c r="O92" i="145"/>
  <c r="O94" i="145" s="1"/>
  <c r="O106" i="145"/>
  <c r="C89" i="145"/>
  <c r="AF68" i="145"/>
  <c r="AM68" i="145" s="1"/>
  <c r="O68" i="145"/>
  <c r="AF44" i="145"/>
  <c r="AM24" i="145"/>
  <c r="AM44" i="145" s="1"/>
  <c r="K117" i="145"/>
  <c r="AF106" i="145"/>
  <c r="AM102" i="145"/>
  <c r="AM106" i="145" s="1"/>
  <c r="C106" i="145"/>
  <c r="AM47" i="145"/>
  <c r="AF8" i="145"/>
  <c r="N21" i="145"/>
  <c r="O8" i="145"/>
  <c r="O21" i="145" s="1"/>
  <c r="AF58" i="145"/>
  <c r="AM58" i="145" s="1"/>
  <c r="O58" i="145"/>
  <c r="O77" i="145" s="1"/>
  <c r="I117" i="145"/>
  <c r="N44" i="145"/>
  <c r="O39" i="140"/>
  <c r="O6" i="140"/>
  <c r="T29" i="140"/>
  <c r="U29" i="140" s="1"/>
  <c r="AN29" i="140" s="1"/>
  <c r="AY29" i="140" s="1"/>
  <c r="V49" i="140"/>
  <c r="T52" i="140"/>
  <c r="U52" i="140" s="1"/>
  <c r="AN52" i="140" s="1"/>
  <c r="AY52" i="140" s="1"/>
  <c r="Q116" i="140"/>
  <c r="T19" i="140"/>
  <c r="U19" i="140" s="1"/>
  <c r="AN19" i="140" s="1"/>
  <c r="AY19" i="140" s="1"/>
  <c r="T60" i="140"/>
  <c r="U60" i="140" s="1"/>
  <c r="AN60" i="140" s="1"/>
  <c r="AY60" i="140" s="1"/>
  <c r="T47" i="140"/>
  <c r="U47" i="140" s="1"/>
  <c r="V47" i="140" s="1"/>
  <c r="T64" i="140"/>
  <c r="U64" i="140" s="1"/>
  <c r="V64" i="140" s="1"/>
  <c r="T12" i="140"/>
  <c r="U12" i="140" s="1"/>
  <c r="AN12" i="140" s="1"/>
  <c r="AY12" i="140" s="1"/>
  <c r="O14" i="140"/>
  <c r="T46" i="140"/>
  <c r="U46" i="140" s="1"/>
  <c r="AN46" i="140" s="1"/>
  <c r="AY46" i="140" s="1"/>
  <c r="T75" i="141"/>
  <c r="U75" i="141" s="1"/>
  <c r="T77" i="141"/>
  <c r="U77" i="141" s="1"/>
  <c r="V77" i="141" s="1"/>
  <c r="O9" i="141"/>
  <c r="N102" i="141"/>
  <c r="T35" i="141"/>
  <c r="U35" i="141" s="1"/>
  <c r="O14" i="141"/>
  <c r="V74" i="141"/>
  <c r="O93" i="141"/>
  <c r="O69" i="141"/>
  <c r="O71" i="141"/>
  <c r="O10" i="141"/>
  <c r="O74" i="141"/>
  <c r="V46" i="140"/>
  <c r="T69" i="140"/>
  <c r="U69" i="140" s="1"/>
  <c r="V69" i="140" s="1"/>
  <c r="T54" i="140"/>
  <c r="U54" i="140" s="1"/>
  <c r="AN54" i="140" s="1"/>
  <c r="AY54" i="140" s="1"/>
  <c r="T42" i="140"/>
  <c r="U42" i="140" s="1"/>
  <c r="AN42" i="140" s="1"/>
  <c r="AY42" i="140" s="1"/>
  <c r="O7" i="140"/>
  <c r="T21" i="140"/>
  <c r="U21" i="140" s="1"/>
  <c r="V21" i="140" s="1"/>
  <c r="V10" i="140"/>
  <c r="T110" i="140"/>
  <c r="U110" i="140" s="1"/>
  <c r="V110" i="140" s="1"/>
  <c r="O110" i="140"/>
  <c r="O13" i="140"/>
  <c r="T13" i="140"/>
  <c r="U13" i="140" s="1"/>
  <c r="V13" i="140" s="1"/>
  <c r="O97" i="140"/>
  <c r="O57" i="140"/>
  <c r="O33" i="140"/>
  <c r="O17" i="140"/>
  <c r="T109" i="140"/>
  <c r="U109" i="140" s="1"/>
  <c r="AN109" i="140" s="1"/>
  <c r="BB109" i="140" s="1"/>
  <c r="O78" i="140"/>
  <c r="T76" i="140"/>
  <c r="U76" i="140" s="1"/>
  <c r="V76" i="140" s="1"/>
  <c r="T26" i="140"/>
  <c r="U26" i="140" s="1"/>
  <c r="V26" i="140" s="1"/>
  <c r="AM93" i="140"/>
  <c r="AM116" i="140" s="1"/>
  <c r="AK93" i="140"/>
  <c r="AK116" i="140" s="1"/>
  <c r="AO93" i="140"/>
  <c r="AO116" i="140" s="1"/>
  <c r="O67" i="140"/>
  <c r="T55" i="140"/>
  <c r="U55" i="140" s="1"/>
  <c r="AN55" i="140" s="1"/>
  <c r="AY55" i="140" s="1"/>
  <c r="Z116" i="140"/>
  <c r="F84" i="141"/>
  <c r="O31" i="141"/>
  <c r="O90" i="141"/>
  <c r="O99" i="141"/>
  <c r="AK101" i="141"/>
  <c r="T100" i="141"/>
  <c r="U100" i="141" s="1"/>
  <c r="D102" i="141"/>
  <c r="T52" i="141"/>
  <c r="U52" i="141" s="1"/>
  <c r="AN52" i="141" s="1"/>
  <c r="AY52" i="141" s="1"/>
  <c r="T46" i="141"/>
  <c r="U46" i="141" s="1"/>
  <c r="AN66" i="141"/>
  <c r="AY66" i="141" s="1"/>
  <c r="T29" i="141"/>
  <c r="U29" i="141" s="1"/>
  <c r="AN29" i="141" s="1"/>
  <c r="AY29" i="141" s="1"/>
  <c r="O34" i="141"/>
  <c r="O89" i="141"/>
  <c r="AM101" i="141"/>
  <c r="P60" i="141"/>
  <c r="T21" i="141"/>
  <c r="U21" i="141" s="1"/>
  <c r="AN21" i="141" s="1"/>
  <c r="AY21" i="141" s="1"/>
  <c r="AK60" i="141"/>
  <c r="S102" i="141"/>
  <c r="O38" i="141"/>
  <c r="T23" i="141"/>
  <c r="U23" i="141" s="1"/>
  <c r="O50" i="141"/>
  <c r="T39" i="141"/>
  <c r="U39" i="141" s="1"/>
  <c r="AN39" i="141" s="1"/>
  <c r="AY39" i="141" s="1"/>
  <c r="M21" i="141"/>
  <c r="O21" i="141" s="1"/>
  <c r="M96" i="141"/>
  <c r="O96" i="141" s="1"/>
  <c r="O44" i="141"/>
  <c r="O20" i="141"/>
  <c r="F60" i="141"/>
  <c r="T53" i="141"/>
  <c r="U53" i="141" s="1"/>
  <c r="V53" i="141" s="1"/>
  <c r="AN70" i="141"/>
  <c r="AY70" i="141" s="1"/>
  <c r="O9" i="140"/>
  <c r="T9" i="140"/>
  <c r="U9" i="140" s="1"/>
  <c r="AN9" i="140" s="1"/>
  <c r="AY9" i="140" s="1"/>
  <c r="V56" i="140"/>
  <c r="AN56" i="140"/>
  <c r="AY56" i="140" s="1"/>
  <c r="O56" i="140"/>
  <c r="O28" i="140"/>
  <c r="T68" i="140"/>
  <c r="U68" i="140" s="1"/>
  <c r="AN68" i="140" s="1"/>
  <c r="AY68" i="140" s="1"/>
  <c r="V29" i="140"/>
  <c r="O35" i="140"/>
  <c r="F93" i="140"/>
  <c r="F116" i="140" s="1"/>
  <c r="M20" i="140"/>
  <c r="O20" i="140" s="1"/>
  <c r="T59" i="140"/>
  <c r="U59" i="140" s="1"/>
  <c r="M48" i="140"/>
  <c r="O48" i="140" s="1"/>
  <c r="O101" i="140"/>
  <c r="S93" i="140"/>
  <c r="S116" i="140" s="1"/>
  <c r="T23" i="140"/>
  <c r="U23" i="140" s="1"/>
  <c r="V23" i="140" s="1"/>
  <c r="D116" i="140"/>
  <c r="M61" i="140"/>
  <c r="O61" i="140" s="1"/>
  <c r="T73" i="140"/>
  <c r="U73" i="140" s="1"/>
  <c r="C20" i="97"/>
  <c r="D18" i="97"/>
  <c r="F18" i="154"/>
  <c r="D117" i="117"/>
  <c r="B8" i="12" s="1"/>
  <c r="Z31" i="155"/>
  <c r="X11" i="97"/>
  <c r="N31" i="155"/>
  <c r="L11" i="97"/>
  <c r="D108" i="162"/>
  <c r="K107" i="162"/>
  <c r="K20" i="151"/>
  <c r="K21" i="151" s="1"/>
  <c r="F21" i="151"/>
  <c r="K23" i="149"/>
  <c r="L24" i="149" s="1"/>
  <c r="L22" i="151"/>
  <c r="Z50" i="162"/>
  <c r="Q50" i="162"/>
  <c r="Q108" i="162" s="1"/>
  <c r="K50" i="162"/>
  <c r="E21" i="38"/>
  <c r="F8" i="100"/>
  <c r="T24" i="12"/>
  <c r="M34" i="116"/>
  <c r="P103" i="162"/>
  <c r="P104" i="162" s="1"/>
  <c r="P79" i="116"/>
  <c r="L81" i="162"/>
  <c r="P42" i="116"/>
  <c r="L19" i="162"/>
  <c r="P30" i="116"/>
  <c r="L63" i="162"/>
  <c r="P22" i="116"/>
  <c r="L60" i="162"/>
  <c r="P74" i="116"/>
  <c r="L106" i="162"/>
  <c r="P52" i="116"/>
  <c r="L72" i="162"/>
  <c r="P43" i="116"/>
  <c r="L20" i="162"/>
  <c r="P31" i="116"/>
  <c r="L14" i="162"/>
  <c r="X7" i="12"/>
  <c r="E13" i="67"/>
  <c r="P65" i="116"/>
  <c r="P75" i="162" s="1"/>
  <c r="P7" i="116"/>
  <c r="P97" i="162" s="1"/>
  <c r="L44" i="116"/>
  <c r="K68" i="162"/>
  <c r="P35" i="116"/>
  <c r="P16" i="162" s="1"/>
  <c r="S31" i="162"/>
  <c r="P45" i="116"/>
  <c r="L21" i="162"/>
  <c r="P46" i="116"/>
  <c r="L22" i="162"/>
  <c r="P6" i="116"/>
  <c r="L6" i="162"/>
  <c r="P48" i="116"/>
  <c r="L24" i="162"/>
  <c r="P20" i="116"/>
  <c r="P98" i="162" s="1"/>
  <c r="M10" i="116"/>
  <c r="P53" i="162"/>
  <c r="P72" i="116"/>
  <c r="P39" i="162" s="1"/>
  <c r="P73" i="116"/>
  <c r="P40" i="162" s="1"/>
  <c r="P26" i="116"/>
  <c r="P10" i="162" s="1"/>
  <c r="P11" i="116"/>
  <c r="P96" i="162" s="1"/>
  <c r="P19" i="116"/>
  <c r="P58" i="162" s="1"/>
  <c r="M29" i="116"/>
  <c r="P13" i="162"/>
  <c r="P67" i="116"/>
  <c r="L36" i="162"/>
  <c r="P58" i="116"/>
  <c r="L30" i="162"/>
  <c r="P49" i="116"/>
  <c r="L69" i="162"/>
  <c r="P27" i="116"/>
  <c r="L11" i="162"/>
  <c r="P59" i="116"/>
  <c r="P31" i="162" s="1"/>
  <c r="L31" i="162"/>
  <c r="P17" i="116"/>
  <c r="L57" i="162"/>
  <c r="P81" i="116"/>
  <c r="L42" i="162"/>
  <c r="P76" i="116"/>
  <c r="L78" i="162"/>
  <c r="P66" i="116"/>
  <c r="L35" i="162"/>
  <c r="P61" i="116"/>
  <c r="L33" i="162"/>
  <c r="P53" i="116"/>
  <c r="L25" i="162"/>
  <c r="P13" i="116"/>
  <c r="L54" i="162"/>
  <c r="M40" i="116"/>
  <c r="M67" i="162" s="1"/>
  <c r="P67" i="162"/>
  <c r="P80" i="116"/>
  <c r="P41" i="162" s="1"/>
  <c r="P63" i="116"/>
  <c r="L74" i="162"/>
  <c r="P60" i="116"/>
  <c r="L32" i="162"/>
  <c r="P24" i="116"/>
  <c r="L61" i="162"/>
  <c r="P77" i="116"/>
  <c r="L79" i="162"/>
  <c r="P57" i="116"/>
  <c r="L29" i="162"/>
  <c r="P37" i="116"/>
  <c r="P17" i="162" s="1"/>
  <c r="P54" i="116"/>
  <c r="P26" i="162" s="1"/>
  <c r="P18" i="116"/>
  <c r="P9" i="162" s="1"/>
  <c r="P9" i="116"/>
  <c r="L52" i="162"/>
  <c r="P25" i="116"/>
  <c r="L62" i="162"/>
  <c r="P14" i="116"/>
  <c r="L55" i="162"/>
  <c r="P8" i="116"/>
  <c r="L51" i="162"/>
  <c r="P69" i="116"/>
  <c r="L76" i="162"/>
  <c r="P38" i="116"/>
  <c r="L65" i="162"/>
  <c r="P16" i="116"/>
  <c r="L8" i="162"/>
  <c r="L75" i="116"/>
  <c r="K77" i="162"/>
  <c r="P70" i="116"/>
  <c r="L38" i="162"/>
  <c r="P56" i="116"/>
  <c r="L28" i="162"/>
  <c r="P51" i="116"/>
  <c r="L71" i="162"/>
  <c r="P39" i="116"/>
  <c r="L66" i="162"/>
  <c r="P23" i="116"/>
  <c r="L105" i="162"/>
  <c r="L107" i="162" s="1"/>
  <c r="U9" i="129"/>
  <c r="P10" i="129"/>
  <c r="L12" i="129"/>
  <c r="T11" i="129"/>
  <c r="U11" i="129" s="1"/>
  <c r="V10" i="130"/>
  <c r="AN10" i="130"/>
  <c r="AY10" i="130" s="1"/>
  <c r="V17" i="130"/>
  <c r="AN17" i="130"/>
  <c r="AY17" i="130" s="1"/>
  <c r="V14" i="130"/>
  <c r="AN14" i="130"/>
  <c r="AY14" i="130" s="1"/>
  <c r="M19" i="130"/>
  <c r="O19" i="130" s="1"/>
  <c r="V21" i="130"/>
  <c r="AN21" i="130"/>
  <c r="AY21" i="130" s="1"/>
  <c r="M12" i="130"/>
  <c r="O12" i="130" s="1"/>
  <c r="V15" i="130"/>
  <c r="AN15" i="130"/>
  <c r="AY15" i="130" s="1"/>
  <c r="L26" i="130"/>
  <c r="P9" i="130"/>
  <c r="M22" i="130"/>
  <c r="O22" i="130" s="1"/>
  <c r="T22" i="130"/>
  <c r="U22" i="130" s="1"/>
  <c r="M18" i="130"/>
  <c r="O18" i="130" s="1"/>
  <c r="T18" i="130"/>
  <c r="U18" i="130" s="1"/>
  <c r="T25" i="130"/>
  <c r="U25" i="130" s="1"/>
  <c r="O10" i="130"/>
  <c r="M23" i="130"/>
  <c r="O23" i="130" s="1"/>
  <c r="V11" i="130"/>
  <c r="AN11" i="130"/>
  <c r="AY11" i="130" s="1"/>
  <c r="M13" i="130"/>
  <c r="O13" i="130" s="1"/>
  <c r="AM26" i="130"/>
  <c r="AO9" i="130"/>
  <c r="AO26" i="130" s="1"/>
  <c r="M24" i="130"/>
  <c r="O24" i="130" s="1"/>
  <c r="M20" i="130"/>
  <c r="O20" i="130" s="1"/>
  <c r="M16" i="130"/>
  <c r="O16" i="130" s="1"/>
  <c r="AN16" i="131"/>
  <c r="AZ16" i="131" s="1"/>
  <c r="V16" i="131"/>
  <c r="M13" i="131"/>
  <c r="O13" i="131" s="1"/>
  <c r="M9" i="131"/>
  <c r="P17" i="131"/>
  <c r="AM17" i="131"/>
  <c r="AP9" i="131"/>
  <c r="AP17" i="131" s="1"/>
  <c r="M11" i="131"/>
  <c r="O11" i="131" s="1"/>
  <c r="T15" i="131"/>
  <c r="U15" i="131" s="1"/>
  <c r="M15" i="131"/>
  <c r="O15" i="131" s="1"/>
  <c r="L17" i="131"/>
  <c r="O9" i="131"/>
  <c r="AN14" i="131"/>
  <c r="AZ14" i="131" s="1"/>
  <c r="V14" i="131"/>
  <c r="AN19" i="132"/>
  <c r="AY19" i="132" s="1"/>
  <c r="V19" i="132"/>
  <c r="U22" i="132"/>
  <c r="T20" i="132"/>
  <c r="U20" i="132" s="1"/>
  <c r="T12" i="132"/>
  <c r="M12" i="132"/>
  <c r="O12" i="132" s="1"/>
  <c r="T13" i="132"/>
  <c r="M13" i="132"/>
  <c r="O13" i="132" s="1"/>
  <c r="T21" i="132"/>
  <c r="U21" i="132" s="1"/>
  <c r="T16" i="132"/>
  <c r="M16" i="132"/>
  <c r="O16" i="132" s="1"/>
  <c r="L22" i="132"/>
  <c r="P9" i="132"/>
  <c r="M11" i="132"/>
  <c r="O11" i="132" s="1"/>
  <c r="W14" i="133"/>
  <c r="AN14" i="133"/>
  <c r="AZ14" i="133" s="1"/>
  <c r="AP9" i="133"/>
  <c r="AP21" i="133" s="1"/>
  <c r="AM21" i="133"/>
  <c r="M15" i="133"/>
  <c r="O15" i="133" s="1"/>
  <c r="M19" i="133"/>
  <c r="O19" i="133" s="1"/>
  <c r="W13" i="133"/>
  <c r="AN13" i="133"/>
  <c r="AZ13" i="133" s="1"/>
  <c r="P21" i="133"/>
  <c r="T9" i="133"/>
  <c r="M9" i="133"/>
  <c r="W18" i="133"/>
  <c r="AN18" i="133"/>
  <c r="AZ18" i="133" s="1"/>
  <c r="T11" i="133"/>
  <c r="U11" i="133" s="1"/>
  <c r="M11" i="133"/>
  <c r="O11" i="133" s="1"/>
  <c r="M20" i="133"/>
  <c r="O20" i="133" s="1"/>
  <c r="T20" i="133"/>
  <c r="U20" i="133" s="1"/>
  <c r="T12" i="133"/>
  <c r="U12" i="133" s="1"/>
  <c r="M12" i="133"/>
  <c r="O12" i="133" s="1"/>
  <c r="M17" i="133"/>
  <c r="O17" i="133" s="1"/>
  <c r="P16" i="133"/>
  <c r="M10" i="133"/>
  <c r="O10" i="133" s="1"/>
  <c r="T10" i="133"/>
  <c r="U10" i="133" s="1"/>
  <c r="AN27" i="134"/>
  <c r="AZ27" i="134" s="1"/>
  <c r="W27" i="134"/>
  <c r="Z38" i="134"/>
  <c r="AN38" i="134"/>
  <c r="AZ38" i="134" s="1"/>
  <c r="AN19" i="134"/>
  <c r="AZ19" i="134" s="1"/>
  <c r="W19" i="134"/>
  <c r="Z36" i="134"/>
  <c r="AN36" i="134"/>
  <c r="AZ36" i="134" s="1"/>
  <c r="W32" i="134"/>
  <c r="AN32" i="134"/>
  <c r="AZ32" i="134" s="1"/>
  <c r="M25" i="134"/>
  <c r="O25" i="134" s="1"/>
  <c r="T25" i="134"/>
  <c r="U25" i="134" s="1"/>
  <c r="AN13" i="134"/>
  <c r="AZ13" i="134" s="1"/>
  <c r="W13" i="134"/>
  <c r="O9" i="134"/>
  <c r="M12" i="134"/>
  <c r="O12" i="134" s="1"/>
  <c r="M34" i="134"/>
  <c r="O34" i="134" s="1"/>
  <c r="T34" i="134"/>
  <c r="U34" i="134" s="1"/>
  <c r="M39" i="134"/>
  <c r="O39" i="134" s="1"/>
  <c r="M16" i="134"/>
  <c r="O16" i="134" s="1"/>
  <c r="AM42" i="134"/>
  <c r="AP9" i="134"/>
  <c r="AP42" i="134" s="1"/>
  <c r="W28" i="134"/>
  <c r="AN28" i="134"/>
  <c r="AZ28" i="134" s="1"/>
  <c r="O27" i="134"/>
  <c r="T31" i="134"/>
  <c r="U31" i="134" s="1"/>
  <c r="M31" i="134"/>
  <c r="O31" i="134" s="1"/>
  <c r="M33" i="134"/>
  <c r="O33" i="134" s="1"/>
  <c r="T9" i="134"/>
  <c r="M18" i="134"/>
  <c r="O18" i="134" s="1"/>
  <c r="M26" i="134"/>
  <c r="O26" i="134" s="1"/>
  <c r="W24" i="134"/>
  <c r="AN24" i="134"/>
  <c r="AZ24" i="134" s="1"/>
  <c r="P42" i="134"/>
  <c r="T23" i="134"/>
  <c r="U23" i="134" s="1"/>
  <c r="M23" i="134"/>
  <c r="O23" i="134" s="1"/>
  <c r="T41" i="134"/>
  <c r="U41" i="134" s="1"/>
  <c r="M41" i="134"/>
  <c r="O41" i="134" s="1"/>
  <c r="M15" i="134"/>
  <c r="O15" i="134" s="1"/>
  <c r="M11" i="134"/>
  <c r="O11" i="134" s="1"/>
  <c r="M35" i="134"/>
  <c r="O36" i="134"/>
  <c r="W20" i="134"/>
  <c r="AN20" i="134"/>
  <c r="AZ20" i="134" s="1"/>
  <c r="T29" i="134"/>
  <c r="U29" i="134" s="1"/>
  <c r="M29" i="134"/>
  <c r="O29" i="134" s="1"/>
  <c r="T21" i="134"/>
  <c r="U21" i="134" s="1"/>
  <c r="M21" i="134"/>
  <c r="O21" i="134" s="1"/>
  <c r="T37" i="134"/>
  <c r="U37" i="134" s="1"/>
  <c r="M37" i="134"/>
  <c r="O37" i="134" s="1"/>
  <c r="M17" i="134"/>
  <c r="O17" i="134" s="1"/>
  <c r="T22" i="134"/>
  <c r="U22" i="134" s="1"/>
  <c r="M22" i="134"/>
  <c r="O22" i="134" s="1"/>
  <c r="T30" i="134"/>
  <c r="U30" i="134" s="1"/>
  <c r="M30" i="134"/>
  <c r="O30" i="134" s="1"/>
  <c r="V32" i="135"/>
  <c r="AN32" i="135"/>
  <c r="AY32" i="135" s="1"/>
  <c r="AN19" i="135"/>
  <c r="AY19" i="135" s="1"/>
  <c r="W19" i="135"/>
  <c r="V28" i="135"/>
  <c r="AN28" i="135"/>
  <c r="AY28" i="135" s="1"/>
  <c r="AN36" i="135"/>
  <c r="AY36" i="135" s="1"/>
  <c r="W36" i="135"/>
  <c r="V12" i="135"/>
  <c r="AN12" i="135"/>
  <c r="AY12" i="135" s="1"/>
  <c r="V16" i="135"/>
  <c r="AN16" i="135"/>
  <c r="AY16" i="135" s="1"/>
  <c r="V18" i="135"/>
  <c r="AN18" i="135"/>
  <c r="AY18" i="135" s="1"/>
  <c r="V11" i="135"/>
  <c r="AN11" i="135"/>
  <c r="AY11" i="135" s="1"/>
  <c r="AN25" i="135"/>
  <c r="AY25" i="135" s="1"/>
  <c r="V25" i="135"/>
  <c r="M10" i="135"/>
  <c r="O10" i="135" s="1"/>
  <c r="O36" i="135"/>
  <c r="W37" i="135"/>
  <c r="AN37" i="135"/>
  <c r="AY37" i="135" s="1"/>
  <c r="O28" i="135"/>
  <c r="L39" i="135"/>
  <c r="P9" i="135"/>
  <c r="W24" i="135"/>
  <c r="AN24" i="135"/>
  <c r="AY24" i="135" s="1"/>
  <c r="AM39" i="135"/>
  <c r="AO9" i="135"/>
  <c r="AO39" i="135" s="1"/>
  <c r="T22" i="135"/>
  <c r="U22" i="135" s="1"/>
  <c r="T30" i="135"/>
  <c r="U30" i="135" s="1"/>
  <c r="V26" i="135"/>
  <c r="AN26" i="135"/>
  <c r="AY26" i="135" s="1"/>
  <c r="W20" i="135"/>
  <c r="AN20" i="135"/>
  <c r="AY20" i="135" s="1"/>
  <c r="M38" i="135"/>
  <c r="O38" i="135" s="1"/>
  <c r="T38" i="135"/>
  <c r="U38" i="135" s="1"/>
  <c r="AN29" i="135"/>
  <c r="AY29" i="135" s="1"/>
  <c r="V29" i="135"/>
  <c r="AN13" i="135"/>
  <c r="AY13" i="135" s="1"/>
  <c r="W13" i="135"/>
  <c r="T17" i="135"/>
  <c r="U17" i="135" s="1"/>
  <c r="M17" i="135"/>
  <c r="O17" i="135" s="1"/>
  <c r="AN35" i="135"/>
  <c r="AY35" i="135" s="1"/>
  <c r="W35" i="135"/>
  <c r="W23" i="135"/>
  <c r="AN23" i="135"/>
  <c r="AY23" i="135" s="1"/>
  <c r="M15" i="135"/>
  <c r="O15" i="135" s="1"/>
  <c r="T15" i="135"/>
  <c r="U15" i="135" s="1"/>
  <c r="W33" i="135"/>
  <c r="AN33" i="135"/>
  <c r="AY33" i="135" s="1"/>
  <c r="AN27" i="135"/>
  <c r="AY27" i="135" s="1"/>
  <c r="W27" i="135"/>
  <c r="W21" i="135"/>
  <c r="AN21" i="135"/>
  <c r="AY21" i="135" s="1"/>
  <c r="AN31" i="135"/>
  <c r="AY31" i="135" s="1"/>
  <c r="V31" i="135"/>
  <c r="W19" i="136"/>
  <c r="AN19" i="136"/>
  <c r="AZ18" i="136" s="1"/>
  <c r="W15" i="136"/>
  <c r="AN15" i="136"/>
  <c r="AZ14" i="136" s="1"/>
  <c r="M18" i="136"/>
  <c r="O18" i="136" s="1"/>
  <c r="W20" i="136"/>
  <c r="AN20" i="136"/>
  <c r="AZ19" i="136" s="1"/>
  <c r="P21" i="136"/>
  <c r="T9" i="136"/>
  <c r="M9" i="136"/>
  <c r="M14" i="136"/>
  <c r="O14" i="136" s="1"/>
  <c r="T17" i="136"/>
  <c r="U17" i="136" s="1"/>
  <c r="M17" i="136"/>
  <c r="O17" i="136" s="1"/>
  <c r="O19" i="136"/>
  <c r="W12" i="136"/>
  <c r="AN12" i="136"/>
  <c r="AZ11" i="136" s="1"/>
  <c r="M16" i="136"/>
  <c r="O16" i="136" s="1"/>
  <c r="T16" i="136"/>
  <c r="U16" i="136" s="1"/>
  <c r="M13" i="136"/>
  <c r="O13" i="136" s="1"/>
  <c r="P11" i="136"/>
  <c r="AZ9" i="136"/>
  <c r="W24" i="137"/>
  <c r="AN24" i="137"/>
  <c r="AZ24" i="137" s="1"/>
  <c r="M22" i="137"/>
  <c r="O22" i="137" s="1"/>
  <c r="AN13" i="137"/>
  <c r="AZ13" i="137" s="1"/>
  <c r="W13" i="137"/>
  <c r="AN26" i="137"/>
  <c r="AZ26" i="137" s="1"/>
  <c r="W26" i="137"/>
  <c r="AN14" i="137"/>
  <c r="AZ14" i="137" s="1"/>
  <c r="W14" i="137"/>
  <c r="T17" i="137"/>
  <c r="U17" i="137" s="1"/>
  <c r="M17" i="137"/>
  <c r="O17" i="137" s="1"/>
  <c r="AN27" i="137"/>
  <c r="AZ27" i="137" s="1"/>
  <c r="W27" i="137"/>
  <c r="T20" i="137"/>
  <c r="U20" i="137" s="1"/>
  <c r="M20" i="137"/>
  <c r="O20" i="137" s="1"/>
  <c r="T15" i="137"/>
  <c r="U15" i="137" s="1"/>
  <c r="M23" i="137"/>
  <c r="O23" i="137" s="1"/>
  <c r="W19" i="137"/>
  <c r="AN19" i="137"/>
  <c r="AZ19" i="137" s="1"/>
  <c r="W16" i="137"/>
  <c r="AN16" i="137"/>
  <c r="AZ16" i="137" s="1"/>
  <c r="M11" i="137"/>
  <c r="O11" i="137" s="1"/>
  <c r="T11" i="137"/>
  <c r="U11" i="137" s="1"/>
  <c r="W25" i="137"/>
  <c r="AN25" i="137"/>
  <c r="AZ25" i="137" s="1"/>
  <c r="P9" i="137"/>
  <c r="L28" i="137"/>
  <c r="AN18" i="137"/>
  <c r="AZ18" i="137" s="1"/>
  <c r="W18" i="137"/>
  <c r="M12" i="137"/>
  <c r="O12" i="137" s="1"/>
  <c r="T10" i="137"/>
  <c r="U10" i="137" s="1"/>
  <c r="M10" i="137"/>
  <c r="O10" i="137" s="1"/>
  <c r="W14" i="138"/>
  <c r="AM12" i="138"/>
  <c r="AN12" i="138" s="1"/>
  <c r="AZ12" i="138" s="1"/>
  <c r="AM14" i="138"/>
  <c r="AU10" i="138"/>
  <c r="AM10" i="138"/>
  <c r="AN10" i="138" s="1"/>
  <c r="AZ10" i="138" s="1"/>
  <c r="AN9" i="138"/>
  <c r="AU13" i="138"/>
  <c r="AU14" i="138" s="1"/>
  <c r="AM13" i="138"/>
  <c r="AN13" i="138" s="1"/>
  <c r="AZ13" i="138" s="1"/>
  <c r="O9" i="138"/>
  <c r="T12" i="138"/>
  <c r="M12" i="138"/>
  <c r="O12" i="138" s="1"/>
  <c r="M11" i="138"/>
  <c r="O11" i="138" s="1"/>
  <c r="T10" i="138"/>
  <c r="M10" i="138"/>
  <c r="O10" i="138" s="1"/>
  <c r="T9" i="138"/>
  <c r="AN67" i="139"/>
  <c r="AZ67" i="139" s="1"/>
  <c r="W67" i="139"/>
  <c r="AN57" i="139"/>
  <c r="AZ57" i="139" s="1"/>
  <c r="Z57" i="139"/>
  <c r="W51" i="139"/>
  <c r="AN51" i="139"/>
  <c r="AZ51" i="139" s="1"/>
  <c r="AN33" i="139"/>
  <c r="AZ33" i="139" s="1"/>
  <c r="W33" i="139"/>
  <c r="W54" i="139"/>
  <c r="AN54" i="139"/>
  <c r="AZ54" i="139" s="1"/>
  <c r="AN68" i="139"/>
  <c r="AZ68" i="139" s="1"/>
  <c r="W68" i="139"/>
  <c r="AN23" i="139"/>
  <c r="AZ23" i="139" s="1"/>
  <c r="W23" i="139"/>
  <c r="W72" i="139"/>
  <c r="M61" i="139"/>
  <c r="O61" i="139" s="1"/>
  <c r="W49" i="139"/>
  <c r="AN49" i="139"/>
  <c r="AZ49" i="139" s="1"/>
  <c r="AN59" i="139"/>
  <c r="AZ59" i="139" s="1"/>
  <c r="W59" i="139"/>
  <c r="M53" i="139"/>
  <c r="O53" i="139" s="1"/>
  <c r="AN44" i="139"/>
  <c r="AZ44" i="139" s="1"/>
  <c r="W44" i="139"/>
  <c r="AN24" i="139"/>
  <c r="AZ24" i="139" s="1"/>
  <c r="W24" i="139"/>
  <c r="AN63" i="139"/>
  <c r="AZ63" i="139" s="1"/>
  <c r="W63" i="139"/>
  <c r="M31" i="139"/>
  <c r="O31" i="139" s="1"/>
  <c r="M26" i="139"/>
  <c r="O26" i="139" s="1"/>
  <c r="U7" i="139"/>
  <c r="W46" i="139"/>
  <c r="AN46" i="139"/>
  <c r="AZ46" i="139" s="1"/>
  <c r="W69" i="139"/>
  <c r="AN69" i="139"/>
  <c r="AZ69" i="139" s="1"/>
  <c r="M48" i="139"/>
  <c r="O48" i="139" s="1"/>
  <c r="M41" i="139"/>
  <c r="O41" i="139" s="1"/>
  <c r="AN20" i="139"/>
  <c r="AZ20" i="139" s="1"/>
  <c r="W20" i="139"/>
  <c r="AP7" i="139"/>
  <c r="AN70" i="139"/>
  <c r="AZ70" i="139" s="1"/>
  <c r="W70" i="139"/>
  <c r="M12" i="139"/>
  <c r="O12" i="139" s="1"/>
  <c r="P78" i="139"/>
  <c r="T64" i="139"/>
  <c r="U64" i="139" s="1"/>
  <c r="M21" i="139"/>
  <c r="O21" i="139" s="1"/>
  <c r="M50" i="139"/>
  <c r="O50" i="139" s="1"/>
  <c r="T50" i="139"/>
  <c r="U50" i="139" s="1"/>
  <c r="T37" i="139"/>
  <c r="U37" i="139" s="1"/>
  <c r="AN9" i="139"/>
  <c r="AZ9" i="139" s="1"/>
  <c r="W9" i="139"/>
  <c r="T27" i="139"/>
  <c r="U27" i="139" s="1"/>
  <c r="T16" i="139"/>
  <c r="U16" i="139" s="1"/>
  <c r="T10" i="139"/>
  <c r="U10" i="139" s="1"/>
  <c r="T58" i="139"/>
  <c r="U58" i="139" s="1"/>
  <c r="O58" i="139"/>
  <c r="AN66" i="139"/>
  <c r="AZ66" i="139" s="1"/>
  <c r="Z66" i="139"/>
  <c r="W66" i="139" s="1"/>
  <c r="M40" i="139"/>
  <c r="O40" i="139" s="1"/>
  <c r="AN42" i="139"/>
  <c r="AZ42" i="139" s="1"/>
  <c r="W42" i="139"/>
  <c r="T62" i="139"/>
  <c r="U62" i="139" s="1"/>
  <c r="M36" i="139"/>
  <c r="O36" i="139" s="1"/>
  <c r="T60" i="139"/>
  <c r="U60" i="139" s="1"/>
  <c r="M47" i="139"/>
  <c r="O47" i="139" s="1"/>
  <c r="T22" i="139"/>
  <c r="U22" i="139" s="1"/>
  <c r="T43" i="139"/>
  <c r="U43" i="139" s="1"/>
  <c r="M19" i="139"/>
  <c r="O19" i="139" s="1"/>
  <c r="M13" i="139"/>
  <c r="O13" i="139" s="1"/>
  <c r="M30" i="139"/>
  <c r="O30" i="139" s="1"/>
  <c r="AN25" i="139"/>
  <c r="AZ25" i="139" s="1"/>
  <c r="M39" i="139"/>
  <c r="O39" i="139" s="1"/>
  <c r="M35" i="139"/>
  <c r="O35" i="139" s="1"/>
  <c r="M15" i="139"/>
  <c r="O15" i="139" s="1"/>
  <c r="M8" i="139"/>
  <c r="O67" i="139"/>
  <c r="M65" i="139"/>
  <c r="O65" i="139" s="1"/>
  <c r="W52" i="139"/>
  <c r="AN52" i="139"/>
  <c r="AZ52" i="139" s="1"/>
  <c r="O51" i="139"/>
  <c r="W28" i="139"/>
  <c r="AN28" i="139"/>
  <c r="AZ28" i="139" s="1"/>
  <c r="M45" i="139"/>
  <c r="O45" i="139" s="1"/>
  <c r="M18" i="139"/>
  <c r="O18" i="139" s="1"/>
  <c r="M71" i="139"/>
  <c r="O71" i="139" s="1"/>
  <c r="M29" i="139"/>
  <c r="O29" i="139" s="1"/>
  <c r="T29" i="139"/>
  <c r="U29" i="139" s="1"/>
  <c r="W17" i="139"/>
  <c r="AN17" i="139"/>
  <c r="AZ17" i="139" s="1"/>
  <c r="M56" i="139"/>
  <c r="O56" i="139" s="1"/>
  <c r="W11" i="139"/>
  <c r="AN11" i="139"/>
  <c r="AZ11" i="139" s="1"/>
  <c r="V103" i="140"/>
  <c r="AN103" i="140"/>
  <c r="BB103" i="140" s="1"/>
  <c r="V78" i="140"/>
  <c r="AN78" i="140"/>
  <c r="AY78" i="140" s="1"/>
  <c r="AN18" i="140"/>
  <c r="AY18" i="140" s="1"/>
  <c r="V18" i="140"/>
  <c r="AN41" i="140"/>
  <c r="AY41" i="140" s="1"/>
  <c r="V41" i="140"/>
  <c r="V11" i="140"/>
  <c r="AN11" i="140"/>
  <c r="AY11" i="140" s="1"/>
  <c r="AN50" i="140"/>
  <c r="AY50" i="140" s="1"/>
  <c r="V50" i="140"/>
  <c r="AN14" i="140"/>
  <c r="AY14" i="140" s="1"/>
  <c r="V14" i="140"/>
  <c r="AN75" i="140"/>
  <c r="AY75" i="140" s="1"/>
  <c r="V75" i="140"/>
  <c r="AN32" i="140"/>
  <c r="AY32" i="140" s="1"/>
  <c r="V32" i="140"/>
  <c r="AN22" i="140"/>
  <c r="AY22" i="140" s="1"/>
  <c r="V22" i="140"/>
  <c r="AN30" i="140"/>
  <c r="AY30" i="140" s="1"/>
  <c r="V30" i="140"/>
  <c r="AN107" i="140"/>
  <c r="BB107" i="140" s="1"/>
  <c r="V107" i="140"/>
  <c r="V17" i="140"/>
  <c r="AN17" i="140"/>
  <c r="AY17" i="140" s="1"/>
  <c r="M105" i="140"/>
  <c r="O105" i="140" s="1"/>
  <c r="M112" i="140"/>
  <c r="O112" i="140" s="1"/>
  <c r="O103" i="140"/>
  <c r="AN97" i="140"/>
  <c r="BB97" i="140" s="1"/>
  <c r="V97" i="140"/>
  <c r="M74" i="140"/>
  <c r="O74" i="140" s="1"/>
  <c r="V67" i="140"/>
  <c r="AN67" i="140"/>
  <c r="AY67" i="140" s="1"/>
  <c r="M62" i="140"/>
  <c r="O62" i="140" s="1"/>
  <c r="AN101" i="140"/>
  <c r="BB101" i="140" s="1"/>
  <c r="V101" i="140"/>
  <c r="O75" i="140"/>
  <c r="V57" i="140"/>
  <c r="AN57" i="140"/>
  <c r="AY57" i="140" s="1"/>
  <c r="M53" i="140"/>
  <c r="O53" i="140" s="1"/>
  <c r="M36" i="140"/>
  <c r="O36" i="140" s="1"/>
  <c r="V6" i="140"/>
  <c r="AN6" i="140"/>
  <c r="AY6" i="140" s="1"/>
  <c r="M34" i="140"/>
  <c r="O34" i="140" s="1"/>
  <c r="M43" i="140"/>
  <c r="O43" i="140" s="1"/>
  <c r="AN28" i="140"/>
  <c r="AY28" i="140" s="1"/>
  <c r="V28" i="140"/>
  <c r="M8" i="140"/>
  <c r="O8" i="140" s="1"/>
  <c r="AN21" i="140"/>
  <c r="AY21" i="140" s="1"/>
  <c r="M96" i="140"/>
  <c r="O96" i="140" s="1"/>
  <c r="L115" i="140"/>
  <c r="P95" i="140"/>
  <c r="M102" i="140"/>
  <c r="O102" i="140" s="1"/>
  <c r="M108" i="140"/>
  <c r="O108" i="140" s="1"/>
  <c r="M45" i="140"/>
  <c r="O45" i="140" s="1"/>
  <c r="M65" i="140"/>
  <c r="O65" i="140" s="1"/>
  <c r="O30" i="140"/>
  <c r="M24" i="140"/>
  <c r="O24" i="140" s="1"/>
  <c r="O11" i="140"/>
  <c r="M66" i="140"/>
  <c r="O66" i="140" s="1"/>
  <c r="V52" i="140"/>
  <c r="V35" i="140"/>
  <c r="AN35" i="140"/>
  <c r="AY35" i="140" s="1"/>
  <c r="M31" i="140"/>
  <c r="O31" i="140" s="1"/>
  <c r="AN39" i="140"/>
  <c r="AY39" i="140" s="1"/>
  <c r="V39" i="140"/>
  <c r="V16" i="140"/>
  <c r="AN16" i="140"/>
  <c r="AY16" i="140" s="1"/>
  <c r="AN7" i="140"/>
  <c r="AY7" i="140" s="1"/>
  <c r="V7" i="140"/>
  <c r="M99" i="140"/>
  <c r="O99" i="140" s="1"/>
  <c r="M111" i="140"/>
  <c r="O111" i="140" s="1"/>
  <c r="M106" i="140"/>
  <c r="O106" i="140" s="1"/>
  <c r="T114" i="140"/>
  <c r="U114" i="140" s="1"/>
  <c r="T72" i="140"/>
  <c r="U72" i="140" s="1"/>
  <c r="M113" i="140"/>
  <c r="O113" i="140" s="1"/>
  <c r="T79" i="140"/>
  <c r="U79" i="140" s="1"/>
  <c r="M80" i="140"/>
  <c r="O80" i="140" s="1"/>
  <c r="M44" i="140"/>
  <c r="O44" i="140" s="1"/>
  <c r="O41" i="140"/>
  <c r="O22" i="140"/>
  <c r="O18" i="140"/>
  <c r="M27" i="140"/>
  <c r="O27" i="140" s="1"/>
  <c r="T40" i="140"/>
  <c r="U40" i="140" s="1"/>
  <c r="L93" i="140"/>
  <c r="P5" i="140"/>
  <c r="M63" i="140"/>
  <c r="O63" i="140" s="1"/>
  <c r="T37" i="140"/>
  <c r="U37" i="140" s="1"/>
  <c r="M15" i="140"/>
  <c r="O15" i="140" s="1"/>
  <c r="M98" i="140"/>
  <c r="O98" i="140" s="1"/>
  <c r="T98" i="140"/>
  <c r="U98" i="140" s="1"/>
  <c r="O107" i="140"/>
  <c r="M100" i="140"/>
  <c r="O100" i="140" s="1"/>
  <c r="M77" i="140"/>
  <c r="O77" i="140" s="1"/>
  <c r="M70" i="140"/>
  <c r="O70" i="140" s="1"/>
  <c r="M71" i="140"/>
  <c r="O71" i="140" s="1"/>
  <c r="O50" i="140"/>
  <c r="T58" i="140"/>
  <c r="U58" i="140" s="1"/>
  <c r="M104" i="140"/>
  <c r="O104" i="140" s="1"/>
  <c r="T51" i="140"/>
  <c r="U51" i="140" s="1"/>
  <c r="M38" i="140"/>
  <c r="O38" i="140" s="1"/>
  <c r="O32" i="140"/>
  <c r="M25" i="140"/>
  <c r="O25" i="140" s="1"/>
  <c r="V33" i="140"/>
  <c r="AN33" i="140"/>
  <c r="AY33" i="140" s="1"/>
  <c r="G116" i="140"/>
  <c r="K116" i="140"/>
  <c r="AN17" i="141"/>
  <c r="AY17" i="141" s="1"/>
  <c r="V17" i="141"/>
  <c r="AN10" i="141"/>
  <c r="AY10" i="141" s="1"/>
  <c r="V10" i="141"/>
  <c r="V64" i="141"/>
  <c r="AN64" i="141"/>
  <c r="AY64" i="141" s="1"/>
  <c r="V35" i="141"/>
  <c r="AN35" i="141"/>
  <c r="AY35" i="141" s="1"/>
  <c r="AN20" i="141"/>
  <c r="AY20" i="141" s="1"/>
  <c r="V20" i="141"/>
  <c r="AN38" i="141"/>
  <c r="AY38" i="141" s="1"/>
  <c r="V38" i="141"/>
  <c r="AN73" i="141"/>
  <c r="AY73" i="141" s="1"/>
  <c r="V73" i="141"/>
  <c r="AN44" i="141"/>
  <c r="AY44" i="141" s="1"/>
  <c r="V44" i="141"/>
  <c r="V11" i="141"/>
  <c r="AN11" i="141"/>
  <c r="AY11" i="141" s="1"/>
  <c r="AN50" i="141"/>
  <c r="AY50" i="141" s="1"/>
  <c r="V50" i="141"/>
  <c r="AN28" i="141"/>
  <c r="AY28" i="141" s="1"/>
  <c r="V28" i="141"/>
  <c r="V14" i="141"/>
  <c r="AN14" i="141"/>
  <c r="AY14" i="141" s="1"/>
  <c r="AN9" i="141"/>
  <c r="AY9" i="141" s="1"/>
  <c r="V9" i="141"/>
  <c r="AN89" i="141"/>
  <c r="AY89" i="141" s="1"/>
  <c r="V89" i="141"/>
  <c r="AN42" i="141"/>
  <c r="AY42" i="141" s="1"/>
  <c r="V42" i="141"/>
  <c r="AN13" i="141"/>
  <c r="AY13" i="141" s="1"/>
  <c r="V13" i="141"/>
  <c r="AN78" i="141"/>
  <c r="AY78" i="141" s="1"/>
  <c r="V78" i="141"/>
  <c r="V67" i="141"/>
  <c r="AN67" i="141"/>
  <c r="AY67" i="141" s="1"/>
  <c r="AN34" i="141"/>
  <c r="AY34" i="141" s="1"/>
  <c r="V34" i="141"/>
  <c r="V31" i="141"/>
  <c r="AN31" i="141"/>
  <c r="AY31" i="141" s="1"/>
  <c r="AN99" i="141"/>
  <c r="AY99" i="141" s="1"/>
  <c r="V99" i="141"/>
  <c r="AN75" i="141"/>
  <c r="AY75" i="141" s="1"/>
  <c r="V75" i="141"/>
  <c r="M98" i="141"/>
  <c r="O98" i="141" s="1"/>
  <c r="M83" i="141"/>
  <c r="O83" i="141" s="1"/>
  <c r="AN30" i="141"/>
  <c r="AY30" i="141" s="1"/>
  <c r="V30" i="141"/>
  <c r="AI102" i="141"/>
  <c r="AM60" i="141"/>
  <c r="AO8" i="141"/>
  <c r="AO60" i="141" s="1"/>
  <c r="M19" i="141"/>
  <c r="O19" i="141" s="1"/>
  <c r="F101" i="141"/>
  <c r="AN8" i="141"/>
  <c r="V8" i="141"/>
  <c r="AN63" i="141"/>
  <c r="AY63" i="141" s="1"/>
  <c r="V63" i="141"/>
  <c r="AN100" i="141"/>
  <c r="AY100" i="141" s="1"/>
  <c r="V100" i="141"/>
  <c r="M94" i="141"/>
  <c r="O94" i="141" s="1"/>
  <c r="AN54" i="141"/>
  <c r="AY54" i="141" s="1"/>
  <c r="V54" i="141"/>
  <c r="M80" i="141"/>
  <c r="O80" i="141" s="1"/>
  <c r="T37" i="141"/>
  <c r="U37" i="141" s="1"/>
  <c r="AN69" i="141"/>
  <c r="AY69" i="141" s="1"/>
  <c r="V69" i="141"/>
  <c r="M68" i="141"/>
  <c r="O68" i="141" s="1"/>
  <c r="M91" i="141"/>
  <c r="O91" i="141" s="1"/>
  <c r="AN72" i="141"/>
  <c r="AY72" i="141" s="1"/>
  <c r="V72" i="141"/>
  <c r="M97" i="141"/>
  <c r="O97" i="141" s="1"/>
  <c r="M92" i="141"/>
  <c r="O92" i="141" s="1"/>
  <c r="V81" i="141"/>
  <c r="AN81" i="141"/>
  <c r="AY81" i="141" s="1"/>
  <c r="O28" i="141"/>
  <c r="V46" i="141"/>
  <c r="AN46" i="141"/>
  <c r="AY46" i="141" s="1"/>
  <c r="M41" i="141"/>
  <c r="O41" i="141" s="1"/>
  <c r="O17" i="141"/>
  <c r="AT102" i="141"/>
  <c r="M51" i="141"/>
  <c r="O51" i="141" s="1"/>
  <c r="AN32" i="141"/>
  <c r="AY32" i="141" s="1"/>
  <c r="V32" i="141"/>
  <c r="T25" i="141"/>
  <c r="U25" i="141" s="1"/>
  <c r="AK84" i="141"/>
  <c r="M24" i="141"/>
  <c r="O24" i="141" s="1"/>
  <c r="T24" i="141"/>
  <c r="U24" i="141" s="1"/>
  <c r="M12" i="141"/>
  <c r="O12" i="141" s="1"/>
  <c r="M82" i="141"/>
  <c r="O82" i="141" s="1"/>
  <c r="M79" i="141"/>
  <c r="O79" i="141" s="1"/>
  <c r="T79" i="141"/>
  <c r="U79" i="141" s="1"/>
  <c r="M86" i="141"/>
  <c r="P101" i="141"/>
  <c r="AN71" i="141"/>
  <c r="AY71" i="141" s="1"/>
  <c r="V71" i="141"/>
  <c r="M76" i="141"/>
  <c r="O76" i="141" s="1"/>
  <c r="AN45" i="141"/>
  <c r="AY45" i="141" s="1"/>
  <c r="V45" i="141"/>
  <c r="V29" i="141"/>
  <c r="AM84" i="141"/>
  <c r="AO62" i="141"/>
  <c r="AO84" i="141" s="1"/>
  <c r="V22" i="141"/>
  <c r="AN22" i="141"/>
  <c r="AY22" i="141" s="1"/>
  <c r="AN27" i="141"/>
  <c r="AY27" i="141" s="1"/>
  <c r="V27" i="141"/>
  <c r="AN93" i="141"/>
  <c r="AY93" i="141" s="1"/>
  <c r="V93" i="141"/>
  <c r="O42" i="141"/>
  <c r="M47" i="141"/>
  <c r="O47" i="141" s="1"/>
  <c r="M40" i="141"/>
  <c r="O40" i="141" s="1"/>
  <c r="T40" i="141"/>
  <c r="U40" i="141" s="1"/>
  <c r="AN26" i="141"/>
  <c r="AY26" i="141" s="1"/>
  <c r="V26" i="141"/>
  <c r="AN87" i="141"/>
  <c r="AY87" i="141" s="1"/>
  <c r="V87" i="141"/>
  <c r="V65" i="141"/>
  <c r="AN65" i="141"/>
  <c r="AY65" i="141" s="1"/>
  <c r="T48" i="141"/>
  <c r="U48" i="141" s="1"/>
  <c r="L102" i="141"/>
  <c r="V43" i="141"/>
  <c r="AN43" i="141"/>
  <c r="AY43" i="141" s="1"/>
  <c r="V16" i="141"/>
  <c r="AN16" i="141"/>
  <c r="AY16" i="141" s="1"/>
  <c r="O87" i="141"/>
  <c r="AN58" i="141"/>
  <c r="AY58" i="141" s="1"/>
  <c r="V58" i="141"/>
  <c r="K102" i="141"/>
  <c r="M49" i="141"/>
  <c r="O49" i="141" s="1"/>
  <c r="V39" i="141"/>
  <c r="M95" i="141"/>
  <c r="O95" i="141" s="1"/>
  <c r="P84" i="141"/>
  <c r="M62" i="141"/>
  <c r="T62" i="141" s="1"/>
  <c r="O78" i="141"/>
  <c r="O8" i="141"/>
  <c r="M88" i="141"/>
  <c r="O88" i="141" s="1"/>
  <c r="M36" i="141"/>
  <c r="O36" i="141" s="1"/>
  <c r="V18" i="141"/>
  <c r="AN18" i="141"/>
  <c r="AY18" i="141" s="1"/>
  <c r="AN90" i="141"/>
  <c r="AY90" i="141" s="1"/>
  <c r="V90" i="141"/>
  <c r="M33" i="141"/>
  <c r="O33" i="141" s="1"/>
  <c r="M15" i="141"/>
  <c r="O15" i="141" s="1"/>
  <c r="V11" i="128"/>
  <c r="AN11" i="128"/>
  <c r="AY11" i="128" s="1"/>
  <c r="AN9" i="128"/>
  <c r="AY9" i="128" s="1"/>
  <c r="V9" i="128"/>
  <c r="AN12" i="128"/>
  <c r="AY12" i="128" s="1"/>
  <c r="Z12" i="128"/>
  <c r="Z15" i="128" s="1"/>
  <c r="AN10" i="128"/>
  <c r="AY10" i="128" s="1"/>
  <c r="V10" i="128"/>
  <c r="M13" i="128"/>
  <c r="O13" i="128" s="1"/>
  <c r="T7" i="128"/>
  <c r="M7" i="128"/>
  <c r="P8" i="128"/>
  <c r="L15" i="128"/>
  <c r="AM15" i="128"/>
  <c r="AO7" i="128"/>
  <c r="AO15" i="128" s="1"/>
  <c r="Z117" i="117"/>
  <c r="E15" i="68" s="1"/>
  <c r="P8" i="127"/>
  <c r="L9" i="148"/>
  <c r="P7" i="127"/>
  <c r="P8" i="148" s="1"/>
  <c r="P9" i="127"/>
  <c r="P14" i="148" s="1"/>
  <c r="P13" i="127"/>
  <c r="L10" i="148"/>
  <c r="P11" i="127"/>
  <c r="L6" i="148"/>
  <c r="L7" i="148" s="1"/>
  <c r="F16" i="127"/>
  <c r="D18" i="12" s="1"/>
  <c r="F17" i="148"/>
  <c r="L16" i="127"/>
  <c r="K13" i="148"/>
  <c r="P12" i="127"/>
  <c r="L19" i="148"/>
  <c r="L20" i="148" s="1"/>
  <c r="J19" i="97" s="1"/>
  <c r="P19" i="149"/>
  <c r="M19" i="126"/>
  <c r="P16" i="126"/>
  <c r="L16" i="149"/>
  <c r="T19" i="126"/>
  <c r="L23" i="126"/>
  <c r="J17" i="12" s="1"/>
  <c r="P7" i="126"/>
  <c r="L7" i="149"/>
  <c r="P22" i="126"/>
  <c r="L22" i="149"/>
  <c r="L17" i="12"/>
  <c r="P12" i="126"/>
  <c r="L12" i="149"/>
  <c r="F23" i="126"/>
  <c r="D17" i="12" s="1"/>
  <c r="P14" i="126"/>
  <c r="P14" i="149" s="1"/>
  <c r="P13" i="126"/>
  <c r="L13" i="149"/>
  <c r="P8" i="126"/>
  <c r="L8" i="149"/>
  <c r="P11" i="126"/>
  <c r="L11" i="149"/>
  <c r="P7" i="125"/>
  <c r="L6" i="150"/>
  <c r="L7" i="150" s="1"/>
  <c r="L14" i="150"/>
  <c r="O7" i="125"/>
  <c r="O6" i="150" s="1"/>
  <c r="O7" i="150" s="1"/>
  <c r="P6" i="125"/>
  <c r="P10" i="150" s="1"/>
  <c r="K18" i="150"/>
  <c r="L19" i="150" s="1"/>
  <c r="L15" i="125"/>
  <c r="P9" i="125"/>
  <c r="P11" i="150" s="1"/>
  <c r="L16" i="12"/>
  <c r="L14" i="125"/>
  <c r="P8" i="125"/>
  <c r="L15" i="150"/>
  <c r="L17" i="150" s="1"/>
  <c r="O13" i="146"/>
  <c r="O9" i="151" s="1"/>
  <c r="M9" i="151"/>
  <c r="P9" i="146"/>
  <c r="P14" i="151" s="1"/>
  <c r="P8" i="146"/>
  <c r="L13" i="151"/>
  <c r="L20" i="151" s="1"/>
  <c r="P15" i="146"/>
  <c r="L11" i="151"/>
  <c r="P12" i="146"/>
  <c r="P8" i="151" s="1"/>
  <c r="P10" i="146"/>
  <c r="L16" i="151"/>
  <c r="P7" i="146"/>
  <c r="L7" i="151"/>
  <c r="L12" i="151" s="1"/>
  <c r="P6" i="146"/>
  <c r="P6" i="151" s="1"/>
  <c r="L19" i="146"/>
  <c r="P20" i="146" s="1"/>
  <c r="P17" i="146"/>
  <c r="P19" i="151" s="1"/>
  <c r="L20" i="146"/>
  <c r="X11" i="12"/>
  <c r="G19" i="12"/>
  <c r="V19" i="12"/>
  <c r="V25" i="12" s="1"/>
  <c r="F30" i="155"/>
  <c r="D30" i="155"/>
  <c r="F8" i="12"/>
  <c r="F19" i="12" s="1"/>
  <c r="P12" i="120"/>
  <c r="F11" i="120"/>
  <c r="D10" i="12" s="1"/>
  <c r="F6" i="156"/>
  <c r="F11" i="156" s="1"/>
  <c r="P7" i="120"/>
  <c r="L7" i="156"/>
  <c r="K11" i="156"/>
  <c r="L12" i="156" s="1"/>
  <c r="L12" i="120"/>
  <c r="L11" i="156"/>
  <c r="P12" i="156" s="1"/>
  <c r="L10" i="12"/>
  <c r="L17" i="127"/>
  <c r="J18" i="12"/>
  <c r="P17" i="127"/>
  <c r="L7" i="12"/>
  <c r="F16" i="122"/>
  <c r="D12" i="12" s="1"/>
  <c r="C19" i="12"/>
  <c r="G117" i="117"/>
  <c r="E8" i="12" s="1"/>
  <c r="O8" i="122"/>
  <c r="I12" i="12"/>
  <c r="N117" i="117"/>
  <c r="L8" i="12" s="1"/>
  <c r="Q117" i="117"/>
  <c r="O8" i="12" s="1"/>
  <c r="O19" i="12" s="1"/>
  <c r="K70" i="119"/>
  <c r="I9" i="12" s="1"/>
  <c r="T49" i="119"/>
  <c r="U49" i="119" s="1"/>
  <c r="V49" i="119" s="1"/>
  <c r="T9" i="122"/>
  <c r="U9" i="122" s="1"/>
  <c r="W9" i="122" s="1"/>
  <c r="S16" i="122"/>
  <c r="Q12" i="12" s="1"/>
  <c r="B14" i="12"/>
  <c r="O15" i="124"/>
  <c r="F25" i="124"/>
  <c r="D14" i="12" s="1"/>
  <c r="T20" i="124"/>
  <c r="U20" i="124" s="1"/>
  <c r="W20" i="124" s="1"/>
  <c r="Y14" i="12"/>
  <c r="T17" i="124"/>
  <c r="U17" i="124" s="1"/>
  <c r="W17" i="124" s="1"/>
  <c r="O14" i="124"/>
  <c r="O14" i="152" s="1"/>
  <c r="O9" i="124"/>
  <c r="O8" i="124"/>
  <c r="T10" i="124"/>
  <c r="U10" i="124" s="1"/>
  <c r="W10" i="124" s="1"/>
  <c r="T13" i="146"/>
  <c r="Y16" i="12"/>
  <c r="F29" i="121"/>
  <c r="D11" i="12" s="1"/>
  <c r="G23" i="40"/>
  <c r="G24" i="40" s="1"/>
  <c r="A16" i="127"/>
  <c r="Y18" i="12" s="1"/>
  <c r="F23" i="40"/>
  <c r="F24" i="40" s="1"/>
  <c r="O8" i="44"/>
  <c r="M6" i="127"/>
  <c r="M17" i="148" s="1"/>
  <c r="M9" i="127"/>
  <c r="M10" i="127"/>
  <c r="M21" i="126"/>
  <c r="T10" i="126"/>
  <c r="M10" i="126"/>
  <c r="M18" i="126"/>
  <c r="T15" i="126"/>
  <c r="M15" i="126"/>
  <c r="M9" i="126"/>
  <c r="M14" i="126"/>
  <c r="P24" i="126"/>
  <c r="M20" i="126"/>
  <c r="M6" i="126"/>
  <c r="M17" i="126"/>
  <c r="P14" i="125"/>
  <c r="M6" i="125"/>
  <c r="M9" i="125"/>
  <c r="M12" i="124"/>
  <c r="O12" i="124" s="1"/>
  <c r="M13" i="124"/>
  <c r="O13" i="124" s="1"/>
  <c r="M18" i="124"/>
  <c r="O18" i="124" s="1"/>
  <c r="T7" i="124"/>
  <c r="U7" i="124" s="1"/>
  <c r="W7" i="124" s="1"/>
  <c r="M19" i="124"/>
  <c r="O19" i="124" s="1"/>
  <c r="O16" i="124"/>
  <c r="P6" i="124"/>
  <c r="L25" i="124"/>
  <c r="J14" i="12" s="1"/>
  <c r="M12" i="146"/>
  <c r="T18" i="146"/>
  <c r="M18" i="146"/>
  <c r="M14" i="146"/>
  <c r="M17" i="146"/>
  <c r="M16" i="146"/>
  <c r="J15" i="12"/>
  <c r="M11" i="146"/>
  <c r="D13" i="12"/>
  <c r="T39" i="123"/>
  <c r="X13" i="12"/>
  <c r="M41" i="123"/>
  <c r="M43" i="123"/>
  <c r="M22" i="123"/>
  <c r="M34" i="123"/>
  <c r="M29" i="123"/>
  <c r="M28" i="123"/>
  <c r="M27" i="123"/>
  <c r="M37" i="123"/>
  <c r="M21" i="123"/>
  <c r="L13" i="12"/>
  <c r="M33" i="123"/>
  <c r="M15" i="123"/>
  <c r="M14" i="123"/>
  <c r="M24" i="123"/>
  <c r="M16" i="123"/>
  <c r="M7" i="122"/>
  <c r="O7" i="122" s="1"/>
  <c r="B12" i="12"/>
  <c r="L16" i="122"/>
  <c r="J12" i="12" s="1"/>
  <c r="P6" i="122"/>
  <c r="M23" i="121"/>
  <c r="M10" i="121"/>
  <c r="J19" i="44"/>
  <c r="P29" i="121"/>
  <c r="M18" i="121"/>
  <c r="M7" i="121"/>
  <c r="Q11" i="12"/>
  <c r="M6" i="120"/>
  <c r="M6" i="156" s="1"/>
  <c r="O34" i="119"/>
  <c r="O25" i="119"/>
  <c r="T54" i="119"/>
  <c r="U54" i="119" s="1"/>
  <c r="V54" i="119" s="1"/>
  <c r="W54" i="119" s="1"/>
  <c r="T57" i="119"/>
  <c r="U57" i="119" s="1"/>
  <c r="W57" i="119" s="1"/>
  <c r="O8" i="119"/>
  <c r="O53" i="119"/>
  <c r="O32" i="119"/>
  <c r="T38" i="119"/>
  <c r="U38" i="119" s="1"/>
  <c r="W38" i="119" s="1"/>
  <c r="T35" i="119"/>
  <c r="U35" i="119" s="1"/>
  <c r="T10" i="119"/>
  <c r="U10" i="119" s="1"/>
  <c r="W10" i="119" s="1"/>
  <c r="O64" i="119"/>
  <c r="T22" i="119"/>
  <c r="U22" i="119" s="1"/>
  <c r="W22" i="119" s="1"/>
  <c r="T36" i="119"/>
  <c r="U36" i="119" s="1"/>
  <c r="W36" i="119" s="1"/>
  <c r="T20" i="119"/>
  <c r="U20" i="119" s="1"/>
  <c r="W20" i="119" s="1"/>
  <c r="O21" i="119"/>
  <c r="O28" i="119"/>
  <c r="M62" i="119"/>
  <c r="O62" i="119" s="1"/>
  <c r="L9" i="12"/>
  <c r="O59" i="119"/>
  <c r="O24" i="119"/>
  <c r="T33" i="119"/>
  <c r="U33" i="119" s="1"/>
  <c r="W33" i="119" s="1"/>
  <c r="F70" i="119"/>
  <c r="H9" i="12"/>
  <c r="H19" i="12" s="1"/>
  <c r="T52" i="119"/>
  <c r="U52" i="119" s="1"/>
  <c r="W52" i="119" s="1"/>
  <c r="O44" i="119"/>
  <c r="T7" i="119"/>
  <c r="U7" i="119" s="1"/>
  <c r="W7" i="119" s="1"/>
  <c r="M45" i="119"/>
  <c r="O45" i="119" s="1"/>
  <c r="M11" i="119"/>
  <c r="O11" i="119" s="1"/>
  <c r="M65" i="119"/>
  <c r="O65" i="119" s="1"/>
  <c r="O47" i="119"/>
  <c r="O58" i="119"/>
  <c r="O27" i="119"/>
  <c r="M31" i="119"/>
  <c r="O31" i="119" s="1"/>
  <c r="M26" i="119"/>
  <c r="O26" i="119" s="1"/>
  <c r="M23" i="119"/>
  <c r="O23" i="119" s="1"/>
  <c r="M17" i="119"/>
  <c r="O17" i="119" s="1"/>
  <c r="T50" i="119"/>
  <c r="U50" i="119" s="1"/>
  <c r="W50" i="119" s="1"/>
  <c r="M40" i="119"/>
  <c r="O40" i="119" s="1"/>
  <c r="M13" i="119"/>
  <c r="O13" i="119" s="1"/>
  <c r="T39" i="119"/>
  <c r="U39" i="119" s="1"/>
  <c r="W39" i="119" s="1"/>
  <c r="O48" i="119"/>
  <c r="M37" i="119"/>
  <c r="O37" i="119" s="1"/>
  <c r="T6" i="119"/>
  <c r="U6" i="119" s="1"/>
  <c r="V6" i="119" s="1"/>
  <c r="M30" i="119"/>
  <c r="O30" i="119" s="1"/>
  <c r="O18" i="119"/>
  <c r="M56" i="119"/>
  <c r="O56" i="119" s="1"/>
  <c r="B9" i="12"/>
  <c r="M41" i="119"/>
  <c r="O41" i="119" s="1"/>
  <c r="M14" i="119"/>
  <c r="O14" i="119" s="1"/>
  <c r="M12" i="119"/>
  <c r="O12" i="119" s="1"/>
  <c r="T63" i="119"/>
  <c r="U63" i="119" s="1"/>
  <c r="W63" i="119" s="1"/>
  <c r="M60" i="119"/>
  <c r="O60" i="119" s="1"/>
  <c r="T55" i="119"/>
  <c r="U55" i="119" s="1"/>
  <c r="W55" i="119" s="1"/>
  <c r="M19" i="119"/>
  <c r="O19" i="119" s="1"/>
  <c r="T16" i="119"/>
  <c r="U16" i="119" s="1"/>
  <c r="W16" i="119" s="1"/>
  <c r="M9" i="119"/>
  <c r="O9" i="119" s="1"/>
  <c r="F93" i="117"/>
  <c r="M62" i="117"/>
  <c r="S104" i="116"/>
  <c r="Q7" i="12" s="1"/>
  <c r="K104" i="116"/>
  <c r="F104" i="116"/>
  <c r="D7" i="12" s="1"/>
  <c r="T29" i="116"/>
  <c r="M78" i="116"/>
  <c r="M47" i="116"/>
  <c r="M68" i="116"/>
  <c r="M82" i="116"/>
  <c r="M73" i="116"/>
  <c r="M55" i="116"/>
  <c r="M33" i="116"/>
  <c r="O40" i="116"/>
  <c r="O67" i="162" s="1"/>
  <c r="T40" i="116"/>
  <c r="M36" i="116"/>
  <c r="M18" i="116"/>
  <c r="M41" i="116"/>
  <c r="M15" i="116"/>
  <c r="M12" i="116"/>
  <c r="M72" i="116"/>
  <c r="M32" i="116"/>
  <c r="M21" i="116"/>
  <c r="M62" i="116"/>
  <c r="T34" i="116"/>
  <c r="P44" i="116"/>
  <c r="M50" i="116"/>
  <c r="M19" i="116"/>
  <c r="E7" i="12"/>
  <c r="M71" i="116"/>
  <c r="M64" i="116"/>
  <c r="M7" i="116"/>
  <c r="M11" i="116"/>
  <c r="M20" i="116"/>
  <c r="M37" i="116"/>
  <c r="D21" i="40"/>
  <c r="P29" i="119"/>
  <c r="L70" i="119"/>
  <c r="I13" i="12"/>
  <c r="J13" i="12"/>
  <c r="M28" i="116"/>
  <c r="M12" i="162" s="1"/>
  <c r="M30" i="123"/>
  <c r="M53" i="153" s="1"/>
  <c r="N29" i="121"/>
  <c r="E23" i="40"/>
  <c r="E24" i="40" s="1"/>
  <c r="I20" i="40"/>
  <c r="I21" i="40" s="1"/>
  <c r="AG24" i="142"/>
  <c r="B11" i="12"/>
  <c r="U24" i="12"/>
  <c r="U24" i="97"/>
  <c r="F9" i="100"/>
  <c r="M96" i="117"/>
  <c r="M57" i="117"/>
  <c r="M25" i="117"/>
  <c r="M66" i="117"/>
  <c r="M38" i="117"/>
  <c r="M101" i="117"/>
  <c r="M26" i="117"/>
  <c r="M74" i="117"/>
  <c r="M113" i="117"/>
  <c r="M14" i="117"/>
  <c r="M18" i="117"/>
  <c r="M33" i="117"/>
  <c r="M81" i="117"/>
  <c r="M67" i="117"/>
  <c r="M43" i="117"/>
  <c r="P109" i="117"/>
  <c r="P84" i="167" s="1"/>
  <c r="M78" i="117"/>
  <c r="M24" i="117"/>
  <c r="M19" i="117"/>
  <c r="C16" i="44"/>
  <c r="O5" i="44"/>
  <c r="M52" i="117"/>
  <c r="M46" i="117"/>
  <c r="M77" i="117"/>
  <c r="K115" i="117"/>
  <c r="K117" i="117" s="1"/>
  <c r="I8" i="12" s="1"/>
  <c r="M103" i="117"/>
  <c r="M82" i="117"/>
  <c r="H21" i="40"/>
  <c r="H23" i="40"/>
  <c r="H24" i="40" s="1"/>
  <c r="C117" i="145" l="1"/>
  <c r="O14" i="123"/>
  <c r="O15" i="153" s="1"/>
  <c r="M15" i="153"/>
  <c r="O28" i="123"/>
  <c r="O51" i="153" s="1"/>
  <c r="M51" i="153"/>
  <c r="U39" i="123"/>
  <c r="T38" i="153"/>
  <c r="P14" i="153"/>
  <c r="M10" i="123"/>
  <c r="P23" i="153"/>
  <c r="M31" i="123"/>
  <c r="P48" i="153"/>
  <c r="N17" i="97" s="1"/>
  <c r="M13" i="123"/>
  <c r="O15" i="123"/>
  <c r="O16" i="153" s="1"/>
  <c r="M16" i="153"/>
  <c r="O29" i="123"/>
  <c r="O52" i="153" s="1"/>
  <c r="M52" i="153"/>
  <c r="O16" i="123"/>
  <c r="O17" i="153" s="1"/>
  <c r="M17" i="153"/>
  <c r="O33" i="123"/>
  <c r="O24" i="153" s="1"/>
  <c r="M24" i="153"/>
  <c r="O34" i="123"/>
  <c r="O25" i="153" s="1"/>
  <c r="M25" i="153"/>
  <c r="O41" i="123"/>
  <c r="O41" i="153" s="1"/>
  <c r="O42" i="153" s="1"/>
  <c r="M41" i="153"/>
  <c r="M42" i="153" s="1"/>
  <c r="O10" i="44"/>
  <c r="O16" i="44" s="1"/>
  <c r="X24" i="12" s="1"/>
  <c r="J10" i="97"/>
  <c r="P34" i="153"/>
  <c r="P35" i="153" s="1"/>
  <c r="M40" i="123"/>
  <c r="P47" i="153"/>
  <c r="M12" i="123"/>
  <c r="P13" i="153"/>
  <c r="M9" i="123"/>
  <c r="P28" i="153"/>
  <c r="M44" i="123"/>
  <c r="P55" i="153"/>
  <c r="M38" i="123"/>
  <c r="P50" i="153"/>
  <c r="M23" i="123"/>
  <c r="P8" i="153"/>
  <c r="P9" i="153" s="1"/>
  <c r="M45" i="123"/>
  <c r="T45" i="123" s="1"/>
  <c r="P22" i="153"/>
  <c r="M25" i="123"/>
  <c r="O39" i="123"/>
  <c r="O38" i="153" s="1"/>
  <c r="M38" i="153"/>
  <c r="P18" i="153"/>
  <c r="M17" i="123"/>
  <c r="O37" i="123"/>
  <c r="O37" i="153" s="1"/>
  <c r="M37" i="153"/>
  <c r="O43" i="123"/>
  <c r="O27" i="153" s="1"/>
  <c r="M27" i="153"/>
  <c r="P12" i="153"/>
  <c r="M8" i="123"/>
  <c r="P45" i="153"/>
  <c r="M18" i="123"/>
  <c r="P19" i="153"/>
  <c r="M20" i="123"/>
  <c r="P46" i="153"/>
  <c r="M26" i="123"/>
  <c r="P26" i="153"/>
  <c r="M36" i="123"/>
  <c r="P36" i="153"/>
  <c r="P40" i="153" s="1"/>
  <c r="M11" i="123"/>
  <c r="O27" i="123"/>
  <c r="O6" i="153" s="1"/>
  <c r="O7" i="153" s="1"/>
  <c r="M6" i="153"/>
  <c r="M7" i="153" s="1"/>
  <c r="M19" i="123"/>
  <c r="T26" i="123"/>
  <c r="P10" i="153"/>
  <c r="M32" i="123"/>
  <c r="P54" i="153"/>
  <c r="M35" i="123"/>
  <c r="P49" i="123"/>
  <c r="O24" i="123"/>
  <c r="O21" i="153" s="1"/>
  <c r="M21" i="153"/>
  <c r="O21" i="123"/>
  <c r="O20" i="153" s="1"/>
  <c r="M20" i="153"/>
  <c r="M7" i="123"/>
  <c r="M49" i="123" s="1"/>
  <c r="O22" i="123"/>
  <c r="O49" i="153" s="1"/>
  <c r="M49" i="153"/>
  <c r="T11" i="123"/>
  <c r="L56" i="153"/>
  <c r="P39" i="153"/>
  <c r="M42" i="123"/>
  <c r="I15" i="97"/>
  <c r="K57" i="153"/>
  <c r="L58" i="153" s="1"/>
  <c r="X17" i="97"/>
  <c r="Z56" i="153"/>
  <c r="L15" i="97"/>
  <c r="L20" i="97" s="1"/>
  <c r="N57" i="153"/>
  <c r="L40" i="153"/>
  <c r="M8" i="121"/>
  <c r="L30" i="155"/>
  <c r="L31" i="155" s="1"/>
  <c r="P32" i="155" s="1"/>
  <c r="O18" i="121"/>
  <c r="O19" i="155" s="1"/>
  <c r="M19" i="155"/>
  <c r="N11" i="12"/>
  <c r="P8" i="155"/>
  <c r="M15" i="121"/>
  <c r="P23" i="155"/>
  <c r="M22" i="121"/>
  <c r="J11" i="12"/>
  <c r="P30" i="121"/>
  <c r="O8" i="121"/>
  <c r="O6" i="155" s="1"/>
  <c r="O7" i="155" s="1"/>
  <c r="M6" i="155"/>
  <c r="M7" i="155" s="1"/>
  <c r="O10" i="121"/>
  <c r="O12" i="155" s="1"/>
  <c r="M12" i="155"/>
  <c r="P18" i="155"/>
  <c r="M17" i="121"/>
  <c r="P14" i="155"/>
  <c r="M12" i="121"/>
  <c r="P22" i="155"/>
  <c r="M21" i="121"/>
  <c r="P20" i="155"/>
  <c r="M19" i="121"/>
  <c r="T19" i="121" s="1"/>
  <c r="O7" i="121"/>
  <c r="O10" i="155" s="1"/>
  <c r="M10" i="155"/>
  <c r="O23" i="121"/>
  <c r="O24" i="155" s="1"/>
  <c r="M24" i="155"/>
  <c r="T12" i="121"/>
  <c r="P13" i="155"/>
  <c r="M11" i="121"/>
  <c r="P21" i="155"/>
  <c r="M20" i="121"/>
  <c r="T20" i="121"/>
  <c r="P16" i="155"/>
  <c r="M14" i="121"/>
  <c r="P25" i="155"/>
  <c r="M24" i="121"/>
  <c r="P9" i="155"/>
  <c r="M6" i="121"/>
  <c r="P17" i="155"/>
  <c r="M16" i="121"/>
  <c r="P11" i="155"/>
  <c r="M9" i="121"/>
  <c r="P15" i="155"/>
  <c r="M13" i="121"/>
  <c r="B8" i="97"/>
  <c r="M15" i="167"/>
  <c r="O7" i="117"/>
  <c r="O15" i="167" s="1"/>
  <c r="P14" i="167"/>
  <c r="M22" i="117"/>
  <c r="M63" i="117"/>
  <c r="M55" i="117"/>
  <c r="M38" i="167" s="1"/>
  <c r="M10" i="117"/>
  <c r="O10" i="117" s="1"/>
  <c r="O8" i="167" s="1"/>
  <c r="M9" i="117"/>
  <c r="M47" i="117"/>
  <c r="M37" i="117"/>
  <c r="J7" i="97"/>
  <c r="M11" i="167"/>
  <c r="O48" i="117"/>
  <c r="O11" i="167" s="1"/>
  <c r="T48" i="117"/>
  <c r="T11" i="167" s="1"/>
  <c r="M51" i="117"/>
  <c r="O51" i="117" s="1"/>
  <c r="O37" i="167" s="1"/>
  <c r="M61" i="117"/>
  <c r="L87" i="167"/>
  <c r="J11" i="97" s="1"/>
  <c r="M44" i="117"/>
  <c r="T44" i="117" s="1"/>
  <c r="T7" i="117"/>
  <c r="U7" i="117" s="1"/>
  <c r="V7" i="117" s="1"/>
  <c r="V15" i="167" s="1"/>
  <c r="L115" i="117"/>
  <c r="M104" i="117"/>
  <c r="O104" i="117" s="1"/>
  <c r="O81" i="167" s="1"/>
  <c r="M97" i="117"/>
  <c r="T97" i="117" s="1"/>
  <c r="M50" i="117"/>
  <c r="O50" i="117" s="1"/>
  <c r="O66" i="167" s="1"/>
  <c r="S123" i="167"/>
  <c r="Q8" i="97"/>
  <c r="Q20" i="97" s="1"/>
  <c r="M60" i="117"/>
  <c r="T60" i="117" s="1"/>
  <c r="M31" i="117"/>
  <c r="O31" i="117" s="1"/>
  <c r="O9" i="167" s="1"/>
  <c r="O20" i="97"/>
  <c r="S117" i="117"/>
  <c r="Q8" i="12" s="1"/>
  <c r="Q19" i="12" s="1"/>
  <c r="F117" i="117"/>
  <c r="D8" i="12" s="1"/>
  <c r="M13" i="117"/>
  <c r="O13" i="117" s="1"/>
  <c r="O19" i="167" s="1"/>
  <c r="L56" i="167"/>
  <c r="O103" i="117"/>
  <c r="O91" i="167" s="1"/>
  <c r="M91" i="167"/>
  <c r="O24" i="117"/>
  <c r="O25" i="167" s="1"/>
  <c r="M25" i="167"/>
  <c r="O43" i="117"/>
  <c r="O93" i="167" s="1"/>
  <c r="M93" i="167"/>
  <c r="U48" i="117"/>
  <c r="O33" i="117"/>
  <c r="O63" i="167" s="1"/>
  <c r="M63" i="167"/>
  <c r="O14" i="117"/>
  <c r="O20" i="167" s="1"/>
  <c r="M20" i="167"/>
  <c r="O113" i="117"/>
  <c r="O50" i="167" s="1"/>
  <c r="M50" i="167"/>
  <c r="O26" i="117"/>
  <c r="O27" i="167" s="1"/>
  <c r="M27" i="167"/>
  <c r="M94" i="167"/>
  <c r="O38" i="117"/>
  <c r="O33" i="167" s="1"/>
  <c r="M33" i="167"/>
  <c r="O25" i="117"/>
  <c r="O26" i="167" s="1"/>
  <c r="M26" i="167"/>
  <c r="O62" i="117"/>
  <c r="O68" i="167" s="1"/>
  <c r="M68" i="167"/>
  <c r="P18" i="167"/>
  <c r="M12" i="117"/>
  <c r="P55" i="167"/>
  <c r="M32" i="117"/>
  <c r="P78" i="167"/>
  <c r="M100" i="117"/>
  <c r="N13" i="97"/>
  <c r="P21" i="167"/>
  <c r="M20" i="117"/>
  <c r="P34" i="167"/>
  <c r="M39" i="117"/>
  <c r="P31" i="167"/>
  <c r="M34" i="117"/>
  <c r="P49" i="167"/>
  <c r="M112" i="117"/>
  <c r="T112" i="117" s="1"/>
  <c r="P90" i="167"/>
  <c r="M64" i="117"/>
  <c r="T64" i="117" s="1"/>
  <c r="P35" i="167"/>
  <c r="M40" i="117"/>
  <c r="M111" i="117"/>
  <c r="P48" i="167"/>
  <c r="P22" i="167"/>
  <c r="M21" i="117"/>
  <c r="P17" i="167"/>
  <c r="M11" i="117"/>
  <c r="P32" i="167"/>
  <c r="M35" i="117"/>
  <c r="P65" i="167"/>
  <c r="M49" i="117"/>
  <c r="P45" i="167"/>
  <c r="M71" i="117"/>
  <c r="P39" i="167"/>
  <c r="M59" i="117"/>
  <c r="P104" i="167"/>
  <c r="M73" i="117"/>
  <c r="P100" i="167"/>
  <c r="M36" i="117"/>
  <c r="O22" i="117"/>
  <c r="O23" i="167" s="1"/>
  <c r="M23" i="167"/>
  <c r="O77" i="117"/>
  <c r="O74" i="167" s="1"/>
  <c r="M74" i="167"/>
  <c r="O78" i="117"/>
  <c r="O97" i="167" s="1"/>
  <c r="M97" i="167"/>
  <c r="O67" i="117"/>
  <c r="O69" i="167" s="1"/>
  <c r="M69" i="167"/>
  <c r="O81" i="117"/>
  <c r="O105" i="167" s="1"/>
  <c r="M105" i="167"/>
  <c r="O61" i="117"/>
  <c r="O41" i="167" s="1"/>
  <c r="M41" i="167"/>
  <c r="O55" i="117"/>
  <c r="O38" i="167" s="1"/>
  <c r="M54" i="117"/>
  <c r="O9" i="117"/>
  <c r="O61" i="167" s="1"/>
  <c r="O62" i="167" s="1"/>
  <c r="M61" i="167"/>
  <c r="M62" i="167" s="1"/>
  <c r="M85" i="117"/>
  <c r="T96" i="117"/>
  <c r="M46" i="167"/>
  <c r="T35" i="117"/>
  <c r="M99" i="117"/>
  <c r="T99" i="117" s="1"/>
  <c r="P77" i="167"/>
  <c r="P107" i="167"/>
  <c r="M83" i="117"/>
  <c r="T83" i="117" s="1"/>
  <c r="P115" i="167"/>
  <c r="M72" i="117"/>
  <c r="P116" i="167"/>
  <c r="M84" i="117"/>
  <c r="M42" i="117"/>
  <c r="P101" i="167"/>
  <c r="L122" i="167"/>
  <c r="J18" i="97" s="1"/>
  <c r="P42" i="167"/>
  <c r="M65" i="117"/>
  <c r="T59" i="117"/>
  <c r="M8" i="167"/>
  <c r="O46" i="117"/>
  <c r="O114" i="167" s="1"/>
  <c r="M114" i="167"/>
  <c r="O19" i="117"/>
  <c r="O59" i="167" s="1"/>
  <c r="O60" i="167" s="1"/>
  <c r="M59" i="167"/>
  <c r="M60" i="167" s="1"/>
  <c r="L117" i="117"/>
  <c r="J8" i="12" s="1"/>
  <c r="M79" i="117"/>
  <c r="M114" i="117"/>
  <c r="M98" i="117"/>
  <c r="T98" i="117" s="1"/>
  <c r="O74" i="117"/>
  <c r="O71" i="167" s="1"/>
  <c r="M71" i="167"/>
  <c r="M58" i="117"/>
  <c r="O97" i="117"/>
  <c r="O52" i="167" s="1"/>
  <c r="M52" i="167"/>
  <c r="M23" i="117"/>
  <c r="O57" i="117"/>
  <c r="O12" i="167" s="1"/>
  <c r="M12" i="167"/>
  <c r="E19" i="12"/>
  <c r="P6" i="167"/>
  <c r="P7" i="167" s="1"/>
  <c r="N10" i="97" s="1"/>
  <c r="M17" i="117"/>
  <c r="P121" i="167"/>
  <c r="M80" i="117"/>
  <c r="P85" i="167"/>
  <c r="M110" i="117"/>
  <c r="P30" i="167"/>
  <c r="M30" i="117"/>
  <c r="P29" i="167"/>
  <c r="M29" i="117"/>
  <c r="P95" i="167"/>
  <c r="M69" i="117"/>
  <c r="P28" i="167"/>
  <c r="M28" i="117"/>
  <c r="Q123" i="167"/>
  <c r="K123" i="167"/>
  <c r="L124" i="167" s="1"/>
  <c r="I12" i="97"/>
  <c r="P16" i="167"/>
  <c r="M8" i="117"/>
  <c r="P99" i="167"/>
  <c r="M27" i="117"/>
  <c r="M70" i="117"/>
  <c r="P44" i="167"/>
  <c r="P54" i="167"/>
  <c r="M16" i="117"/>
  <c r="P119" i="167"/>
  <c r="M45" i="117"/>
  <c r="P103" i="167"/>
  <c r="M56" i="117"/>
  <c r="P64" i="167"/>
  <c r="M41" i="117"/>
  <c r="P70" i="167"/>
  <c r="M68" i="117"/>
  <c r="P92" i="167"/>
  <c r="M106" i="117"/>
  <c r="P93" i="117"/>
  <c r="O82" i="117"/>
  <c r="O106" i="167" s="1"/>
  <c r="M106" i="167"/>
  <c r="O47" i="117"/>
  <c r="O36" i="167" s="1"/>
  <c r="M36" i="167"/>
  <c r="O52" i="117"/>
  <c r="O67" i="167" s="1"/>
  <c r="M67" i="167"/>
  <c r="M102" i="117"/>
  <c r="T102" i="117" s="1"/>
  <c r="O63" i="117"/>
  <c r="O51" i="167" s="1"/>
  <c r="M51" i="167"/>
  <c r="O18" i="117"/>
  <c r="O96" i="167" s="1"/>
  <c r="M96" i="167"/>
  <c r="T106" i="117"/>
  <c r="M81" i="167"/>
  <c r="M75" i="117"/>
  <c r="T75" i="117" s="1"/>
  <c r="O101" i="117"/>
  <c r="O79" i="167" s="1"/>
  <c r="M79" i="167"/>
  <c r="O37" i="117"/>
  <c r="O10" i="167" s="1"/>
  <c r="M10" i="167"/>
  <c r="O66" i="117"/>
  <c r="O43" i="167" s="1"/>
  <c r="M43" i="167"/>
  <c r="D12" i="97"/>
  <c r="F123" i="167"/>
  <c r="P102" i="167"/>
  <c r="M53" i="117"/>
  <c r="P47" i="167"/>
  <c r="M108" i="117"/>
  <c r="L108" i="167"/>
  <c r="J12" i="97" s="1"/>
  <c r="P73" i="167"/>
  <c r="M76" i="117"/>
  <c r="P82" i="167"/>
  <c r="M105" i="117"/>
  <c r="P118" i="167"/>
  <c r="M15" i="117"/>
  <c r="P83" i="167"/>
  <c r="M107" i="117"/>
  <c r="AN32" i="139"/>
  <c r="AZ32" i="139" s="1"/>
  <c r="T35" i="139"/>
  <c r="U35" i="139" s="1"/>
  <c r="AN38" i="139"/>
  <c r="AZ38" i="139" s="1"/>
  <c r="W38" i="139"/>
  <c r="T65" i="139"/>
  <c r="U65" i="139" s="1"/>
  <c r="T61" i="139"/>
  <c r="U61" i="139" s="1"/>
  <c r="AN61" i="139" s="1"/>
  <c r="AZ61" i="139" s="1"/>
  <c r="T47" i="139"/>
  <c r="U47" i="139" s="1"/>
  <c r="T71" i="139"/>
  <c r="U71" i="139" s="1"/>
  <c r="W71" i="139" s="1"/>
  <c r="T39" i="139"/>
  <c r="U39" i="139" s="1"/>
  <c r="AN39" i="139" s="1"/>
  <c r="AZ39" i="139" s="1"/>
  <c r="T12" i="139"/>
  <c r="U12" i="139" s="1"/>
  <c r="W12" i="139" s="1"/>
  <c r="W55" i="139"/>
  <c r="AN55" i="139"/>
  <c r="AZ55" i="139" s="1"/>
  <c r="T41" i="139"/>
  <c r="U41" i="139" s="1"/>
  <c r="W41" i="139" s="1"/>
  <c r="L117" i="145"/>
  <c r="AE117" i="145"/>
  <c r="N117" i="145"/>
  <c r="AM8" i="145"/>
  <c r="AM21" i="145" s="1"/>
  <c r="AF21" i="145"/>
  <c r="AF94" i="145"/>
  <c r="AM92" i="145"/>
  <c r="AM94" i="145" s="1"/>
  <c r="AF110" i="145"/>
  <c r="AM109" i="145"/>
  <c r="AM110" i="145" s="1"/>
  <c r="AF77" i="145"/>
  <c r="D23" i="40"/>
  <c r="D24" i="40" s="1"/>
  <c r="O117" i="145"/>
  <c r="AM77" i="145"/>
  <c r="V60" i="140"/>
  <c r="AN13" i="140"/>
  <c r="AY13" i="140" s="1"/>
  <c r="V19" i="140"/>
  <c r="V12" i="140"/>
  <c r="AN69" i="140"/>
  <c r="AY69" i="140" s="1"/>
  <c r="V55" i="140"/>
  <c r="T65" i="140"/>
  <c r="U65" i="140" s="1"/>
  <c r="V65" i="140" s="1"/>
  <c r="T61" i="140"/>
  <c r="U61" i="140" s="1"/>
  <c r="V61" i="140" s="1"/>
  <c r="AN64" i="140"/>
  <c r="AY64" i="140" s="1"/>
  <c r="V42" i="140"/>
  <c r="AN47" i="140"/>
  <c r="AY47" i="140" s="1"/>
  <c r="AN110" i="140"/>
  <c r="BB110" i="140" s="1"/>
  <c r="AN77" i="141"/>
  <c r="AY77" i="141" s="1"/>
  <c r="T49" i="141"/>
  <c r="U49" i="141" s="1"/>
  <c r="T47" i="141"/>
  <c r="U47" i="141" s="1"/>
  <c r="V47" i="141" s="1"/>
  <c r="AN26" i="140"/>
  <c r="AY26" i="140" s="1"/>
  <c r="L116" i="140"/>
  <c r="V54" i="140"/>
  <c r="V68" i="140"/>
  <c r="T20" i="140"/>
  <c r="U20" i="140" s="1"/>
  <c r="V9" i="140"/>
  <c r="V109" i="140"/>
  <c r="T48" i="140"/>
  <c r="U48" i="140" s="1"/>
  <c r="AN48" i="140" s="1"/>
  <c r="AY48" i="140" s="1"/>
  <c r="AN76" i="140"/>
  <c r="AY76" i="140" s="1"/>
  <c r="AN23" i="140"/>
  <c r="AY23" i="140" s="1"/>
  <c r="T38" i="140"/>
  <c r="U38" i="140" s="1"/>
  <c r="V38" i="140" s="1"/>
  <c r="T45" i="140"/>
  <c r="U45" i="140" s="1"/>
  <c r="V45" i="140" s="1"/>
  <c r="F102" i="141"/>
  <c r="V52" i="141"/>
  <c r="T51" i="141"/>
  <c r="U51" i="141" s="1"/>
  <c r="V51" i="141" s="1"/>
  <c r="T41" i="141"/>
  <c r="U41" i="141" s="1"/>
  <c r="AN41" i="141" s="1"/>
  <c r="AY41" i="141" s="1"/>
  <c r="AN53" i="141"/>
  <c r="AY53" i="141" s="1"/>
  <c r="V21" i="141"/>
  <c r="T36" i="141"/>
  <c r="U36" i="141" s="1"/>
  <c r="V36" i="141" s="1"/>
  <c r="AK102" i="141"/>
  <c r="T88" i="141"/>
  <c r="U88" i="141" s="1"/>
  <c r="V88" i="141" s="1"/>
  <c r="T97" i="141"/>
  <c r="U97" i="141" s="1"/>
  <c r="T91" i="141"/>
  <c r="U91" i="141" s="1"/>
  <c r="V91" i="141" s="1"/>
  <c r="P102" i="141"/>
  <c r="AO102" i="141"/>
  <c r="T96" i="141"/>
  <c r="U96" i="141" s="1"/>
  <c r="V23" i="141"/>
  <c r="AN23" i="141"/>
  <c r="AY23" i="141" s="1"/>
  <c r="T66" i="140"/>
  <c r="U66" i="140" s="1"/>
  <c r="AN66" i="140" s="1"/>
  <c r="AY66" i="140" s="1"/>
  <c r="T43" i="140"/>
  <c r="U43" i="140" s="1"/>
  <c r="AN43" i="140" s="1"/>
  <c r="AY43" i="140" s="1"/>
  <c r="V73" i="140"/>
  <c r="AN73" i="140"/>
  <c r="AY73" i="140" s="1"/>
  <c r="T100" i="140"/>
  <c r="U100" i="140" s="1"/>
  <c r="V100" i="140" s="1"/>
  <c r="T96" i="140"/>
  <c r="U96" i="140" s="1"/>
  <c r="V96" i="140" s="1"/>
  <c r="T77" i="140"/>
  <c r="U77" i="140" s="1"/>
  <c r="AN77" i="140" s="1"/>
  <c r="AY77" i="140" s="1"/>
  <c r="T27" i="140"/>
  <c r="U27" i="140" s="1"/>
  <c r="AN27" i="140" s="1"/>
  <c r="AY27" i="140" s="1"/>
  <c r="T102" i="140"/>
  <c r="U102" i="140" s="1"/>
  <c r="AN102" i="140" s="1"/>
  <c r="BB102" i="140" s="1"/>
  <c r="T53" i="140"/>
  <c r="U53" i="140" s="1"/>
  <c r="V53" i="140" s="1"/>
  <c r="AN59" i="140"/>
  <c r="AY59" i="140" s="1"/>
  <c r="V59" i="140"/>
  <c r="L22" i="148"/>
  <c r="I8" i="97"/>
  <c r="Z108" i="162"/>
  <c r="X7" i="97"/>
  <c r="D31" i="155"/>
  <c r="B11" i="97"/>
  <c r="F31" i="155"/>
  <c r="D11" i="97"/>
  <c r="L21" i="151"/>
  <c r="P22" i="151" s="1"/>
  <c r="L13" i="148"/>
  <c r="J8" i="97" s="1"/>
  <c r="L23" i="149"/>
  <c r="P24" i="149" s="1"/>
  <c r="L18" i="150"/>
  <c r="P19" i="150" s="1"/>
  <c r="K102" i="162"/>
  <c r="S50" i="162"/>
  <c r="S108" i="162" s="1"/>
  <c r="L50" i="162"/>
  <c r="O37" i="116"/>
  <c r="O17" i="162" s="1"/>
  <c r="M17" i="162"/>
  <c r="O71" i="116"/>
  <c r="O95" i="162" s="1"/>
  <c r="M95" i="162"/>
  <c r="O19" i="116"/>
  <c r="O58" i="162" s="1"/>
  <c r="M58" i="162"/>
  <c r="O15" i="116"/>
  <c r="O56" i="162" s="1"/>
  <c r="M56" i="162"/>
  <c r="U40" i="116"/>
  <c r="T67" i="162"/>
  <c r="O78" i="116"/>
  <c r="O80" i="162" s="1"/>
  <c r="M80" i="162"/>
  <c r="O10" i="116"/>
  <c r="O53" i="162" s="1"/>
  <c r="M53" i="162"/>
  <c r="P14" i="162"/>
  <c r="M31" i="116"/>
  <c r="P72" i="162"/>
  <c r="M52" i="116"/>
  <c r="P60" i="162"/>
  <c r="M22" i="116"/>
  <c r="T10" i="116"/>
  <c r="O11" i="116"/>
  <c r="O96" i="162" s="1"/>
  <c r="M96" i="162"/>
  <c r="O50" i="116"/>
  <c r="O70" i="162" s="1"/>
  <c r="M70" i="162"/>
  <c r="O62" i="116"/>
  <c r="O73" i="162" s="1"/>
  <c r="M73" i="162"/>
  <c r="M65" i="116"/>
  <c r="O41" i="116"/>
  <c r="O18" i="162" s="1"/>
  <c r="M18" i="162"/>
  <c r="O82" i="116"/>
  <c r="O82" i="162" s="1"/>
  <c r="M82" i="162"/>
  <c r="M80" i="116"/>
  <c r="T80" i="116" s="1"/>
  <c r="T52" i="116"/>
  <c r="P105" i="162"/>
  <c r="M23" i="116"/>
  <c r="P71" i="162"/>
  <c r="M51" i="116"/>
  <c r="P8" i="162"/>
  <c r="M16" i="116"/>
  <c r="P76" i="162"/>
  <c r="M69" i="116"/>
  <c r="P79" i="162"/>
  <c r="M77" i="116"/>
  <c r="P32" i="162"/>
  <c r="M60" i="116"/>
  <c r="P54" i="162"/>
  <c r="M13" i="116"/>
  <c r="P33" i="162"/>
  <c r="M61" i="116"/>
  <c r="P78" i="162"/>
  <c r="M76" i="116"/>
  <c r="P11" i="162"/>
  <c r="M27" i="116"/>
  <c r="P30" i="162"/>
  <c r="M58" i="116"/>
  <c r="O29" i="116"/>
  <c r="O13" i="162" s="1"/>
  <c r="M13" i="162"/>
  <c r="P6" i="162"/>
  <c r="M6" i="116"/>
  <c r="P21" i="162"/>
  <c r="M45" i="116"/>
  <c r="M26" i="116"/>
  <c r="P68" i="162"/>
  <c r="O72" i="116"/>
  <c r="O39" i="162" s="1"/>
  <c r="M39" i="162"/>
  <c r="O18" i="116"/>
  <c r="O9" i="162" s="1"/>
  <c r="M9" i="162"/>
  <c r="O68" i="116"/>
  <c r="O37" i="162" s="1"/>
  <c r="M37" i="162"/>
  <c r="T23" i="116"/>
  <c r="T13" i="116"/>
  <c r="O64" i="116"/>
  <c r="O34" i="162" s="1"/>
  <c r="M34" i="162"/>
  <c r="M54" i="116"/>
  <c r="T58" i="116"/>
  <c r="O32" i="116"/>
  <c r="O64" i="162" s="1"/>
  <c r="M64" i="162"/>
  <c r="O12" i="116"/>
  <c r="O7" i="162" s="1"/>
  <c r="M7" i="162"/>
  <c r="O36" i="116"/>
  <c r="O99" i="162" s="1"/>
  <c r="M99" i="162"/>
  <c r="O55" i="116"/>
  <c r="O27" i="162" s="1"/>
  <c r="M27" i="162"/>
  <c r="O47" i="116"/>
  <c r="O23" i="162" s="1"/>
  <c r="M23" i="162"/>
  <c r="T77" i="116"/>
  <c r="T31" i="116"/>
  <c r="T27" i="116"/>
  <c r="P66" i="162"/>
  <c r="M39" i="116"/>
  <c r="P28" i="162"/>
  <c r="M56" i="116"/>
  <c r="L77" i="162"/>
  <c r="P75" i="116"/>
  <c r="P65" i="162"/>
  <c r="M38" i="116"/>
  <c r="P51" i="162"/>
  <c r="M8" i="116"/>
  <c r="P29" i="162"/>
  <c r="M57" i="116"/>
  <c r="P61" i="162"/>
  <c r="M24" i="116"/>
  <c r="P74" i="162"/>
  <c r="M63" i="116"/>
  <c r="P25" i="162"/>
  <c r="M53" i="116"/>
  <c r="P35" i="162"/>
  <c r="M66" i="116"/>
  <c r="P42" i="162"/>
  <c r="M81" i="116"/>
  <c r="P69" i="162"/>
  <c r="M49" i="116"/>
  <c r="P36" i="162"/>
  <c r="M67" i="116"/>
  <c r="P24" i="162"/>
  <c r="M48" i="116"/>
  <c r="P22" i="162"/>
  <c r="M46" i="116"/>
  <c r="M59" i="116"/>
  <c r="O20" i="116"/>
  <c r="O98" i="162" s="1"/>
  <c r="M98" i="162"/>
  <c r="U34" i="116"/>
  <c r="T103" i="162"/>
  <c r="T104" i="162" s="1"/>
  <c r="O73" i="116"/>
  <c r="O40" i="162" s="1"/>
  <c r="M40" i="162"/>
  <c r="U29" i="116"/>
  <c r="T13" i="162"/>
  <c r="P62" i="162"/>
  <c r="M25" i="116"/>
  <c r="P19" i="162"/>
  <c r="M42" i="116"/>
  <c r="P38" i="162"/>
  <c r="M70" i="116"/>
  <c r="P57" i="162"/>
  <c r="M17" i="116"/>
  <c r="M35" i="116"/>
  <c r="O7" i="116"/>
  <c r="O97" i="162" s="1"/>
  <c r="M97" i="162"/>
  <c r="O21" i="116"/>
  <c r="O59" i="162" s="1"/>
  <c r="M59" i="162"/>
  <c r="O33" i="116"/>
  <c r="O15" i="162" s="1"/>
  <c r="M15" i="162"/>
  <c r="T70" i="116"/>
  <c r="P55" i="162"/>
  <c r="M14" i="116"/>
  <c r="P52" i="162"/>
  <c r="M9" i="116"/>
  <c r="L104" i="116"/>
  <c r="L68" i="162"/>
  <c r="L102" i="162" s="1"/>
  <c r="L108" i="162" s="1"/>
  <c r="P20" i="162"/>
  <c r="M43" i="116"/>
  <c r="P106" i="162"/>
  <c r="M74" i="116"/>
  <c r="P63" i="162"/>
  <c r="M30" i="116"/>
  <c r="P81" i="162"/>
  <c r="M79" i="116"/>
  <c r="O34" i="116"/>
  <c r="O103" i="162" s="1"/>
  <c r="O104" i="162" s="1"/>
  <c r="M103" i="162"/>
  <c r="M104" i="162" s="1"/>
  <c r="AN11" i="129"/>
  <c r="BC11" i="129" s="1"/>
  <c r="BC12" i="129" s="1"/>
  <c r="V11" i="129"/>
  <c r="V9" i="129"/>
  <c r="AL9" i="129"/>
  <c r="T10" i="129"/>
  <c r="M10" i="129"/>
  <c r="P12" i="129"/>
  <c r="V18" i="130"/>
  <c r="AN18" i="130"/>
  <c r="AY18" i="130" s="1"/>
  <c r="M9" i="130"/>
  <c r="P26" i="130"/>
  <c r="T16" i="130"/>
  <c r="U16" i="130" s="1"/>
  <c r="T24" i="130"/>
  <c r="U24" i="130" s="1"/>
  <c r="T13" i="130"/>
  <c r="U13" i="130" s="1"/>
  <c r="T23" i="130"/>
  <c r="U23" i="130" s="1"/>
  <c r="T12" i="130"/>
  <c r="U12" i="130" s="1"/>
  <c r="T19" i="130"/>
  <c r="U19" i="130" s="1"/>
  <c r="V22" i="130"/>
  <c r="AN22" i="130"/>
  <c r="AY22" i="130" s="1"/>
  <c r="T20" i="130"/>
  <c r="U20" i="130" s="1"/>
  <c r="V25" i="130"/>
  <c r="AN25" i="130"/>
  <c r="AY25" i="130" s="1"/>
  <c r="W15" i="131"/>
  <c r="W17" i="131" s="1"/>
  <c r="AN15" i="131"/>
  <c r="AZ15" i="131" s="1"/>
  <c r="O17" i="131"/>
  <c r="T13" i="131"/>
  <c r="U13" i="131" s="1"/>
  <c r="T11" i="131"/>
  <c r="U11" i="131" s="1"/>
  <c r="M17" i="131"/>
  <c r="T9" i="131"/>
  <c r="P22" i="132"/>
  <c r="T9" i="132"/>
  <c r="M9" i="132"/>
  <c r="AN21" i="132"/>
  <c r="AY21" i="132" s="1"/>
  <c r="V21" i="132"/>
  <c r="AN20" i="132"/>
  <c r="V20" i="132"/>
  <c r="V22" i="132" s="1"/>
  <c r="T11" i="132"/>
  <c r="W12" i="133"/>
  <c r="AN12" i="133"/>
  <c r="AZ12" i="133" s="1"/>
  <c r="W11" i="133"/>
  <c r="AN11" i="133"/>
  <c r="AZ11" i="133" s="1"/>
  <c r="U9" i="133"/>
  <c r="T19" i="133"/>
  <c r="U19" i="133" s="1"/>
  <c r="W20" i="133"/>
  <c r="AN20" i="133"/>
  <c r="AZ20" i="133" s="1"/>
  <c r="T17" i="133"/>
  <c r="U17" i="133" s="1"/>
  <c r="AN10" i="133"/>
  <c r="AZ10" i="133" s="1"/>
  <c r="W10" i="133"/>
  <c r="M16" i="133"/>
  <c r="O16" i="133" s="1"/>
  <c r="O9" i="133"/>
  <c r="O21" i="133" s="1"/>
  <c r="T15" i="133"/>
  <c r="U15" i="133" s="1"/>
  <c r="W30" i="134"/>
  <c r="AN30" i="134"/>
  <c r="AZ30" i="134" s="1"/>
  <c r="AN21" i="134"/>
  <c r="AZ21" i="134" s="1"/>
  <c r="W21" i="134"/>
  <c r="AN41" i="134"/>
  <c r="AZ41" i="134" s="1"/>
  <c r="Z41" i="134"/>
  <c r="AN34" i="134"/>
  <c r="AZ34" i="134" s="1"/>
  <c r="W34" i="134"/>
  <c r="AN25" i="134"/>
  <c r="AZ25" i="134" s="1"/>
  <c r="W25" i="134"/>
  <c r="T15" i="134"/>
  <c r="U15" i="134" s="1"/>
  <c r="T18" i="134"/>
  <c r="U18" i="134" s="1"/>
  <c r="T16" i="134"/>
  <c r="U16" i="134" s="1"/>
  <c r="M42" i="134"/>
  <c r="W22" i="134"/>
  <c r="AN22" i="134"/>
  <c r="AZ22" i="134" s="1"/>
  <c r="Z37" i="134"/>
  <c r="AN37" i="134"/>
  <c r="AZ37" i="134" s="1"/>
  <c r="AN29" i="134"/>
  <c r="AZ29" i="134" s="1"/>
  <c r="W29" i="134"/>
  <c r="O35" i="134"/>
  <c r="O42" i="134" s="1"/>
  <c r="T35" i="134"/>
  <c r="U35" i="134" s="1"/>
  <c r="AN23" i="134"/>
  <c r="AZ23" i="134" s="1"/>
  <c r="W23" i="134"/>
  <c r="U9" i="134"/>
  <c r="AN31" i="134"/>
  <c r="AZ31" i="134" s="1"/>
  <c r="W31" i="134"/>
  <c r="T17" i="134"/>
  <c r="U17" i="134" s="1"/>
  <c r="T11" i="134"/>
  <c r="U11" i="134" s="1"/>
  <c r="T26" i="134"/>
  <c r="U26" i="134" s="1"/>
  <c r="T33" i="134"/>
  <c r="U33" i="134" s="1"/>
  <c r="T39" i="134"/>
  <c r="U39" i="134" s="1"/>
  <c r="T12" i="134"/>
  <c r="U12" i="134" s="1"/>
  <c r="AN17" i="135"/>
  <c r="AY17" i="135" s="1"/>
  <c r="W17" i="135"/>
  <c r="V15" i="135"/>
  <c r="AN15" i="135"/>
  <c r="AY15" i="135" s="1"/>
  <c r="W15" i="135"/>
  <c r="AN38" i="135"/>
  <c r="AY38" i="135" s="1"/>
  <c r="W38" i="135"/>
  <c r="P39" i="135"/>
  <c r="M9" i="135"/>
  <c r="AN22" i="135"/>
  <c r="AY22" i="135" s="1"/>
  <c r="W22" i="135"/>
  <c r="T10" i="135"/>
  <c r="U10" i="135" s="1"/>
  <c r="AN30" i="135"/>
  <c r="AY30" i="135" s="1"/>
  <c r="V30" i="135"/>
  <c r="W17" i="136"/>
  <c r="AN17" i="136"/>
  <c r="AZ16" i="136" s="1"/>
  <c r="U9" i="136"/>
  <c r="T13" i="136"/>
  <c r="U13" i="136" s="1"/>
  <c r="T18" i="136"/>
  <c r="U18" i="136" s="1"/>
  <c r="W16" i="136"/>
  <c r="AN16" i="136"/>
  <c r="AZ15" i="136" s="1"/>
  <c r="T14" i="136"/>
  <c r="U14" i="136" s="1"/>
  <c r="M11" i="136"/>
  <c r="O11" i="136" s="1"/>
  <c r="O9" i="136"/>
  <c r="W10" i="137"/>
  <c r="AN10" i="137"/>
  <c r="AZ10" i="137" s="1"/>
  <c r="AN20" i="137"/>
  <c r="AZ20" i="137" s="1"/>
  <c r="W20" i="137"/>
  <c r="T23" i="137"/>
  <c r="U23" i="137" s="1"/>
  <c r="T22" i="137"/>
  <c r="U22" i="137" s="1"/>
  <c r="T12" i="137"/>
  <c r="U12" i="137" s="1"/>
  <c r="P28" i="137"/>
  <c r="M9" i="137"/>
  <c r="W11" i="137"/>
  <c r="AN11" i="137"/>
  <c r="AZ11" i="137" s="1"/>
  <c r="W15" i="137"/>
  <c r="AN15" i="137"/>
  <c r="AZ15" i="137" s="1"/>
  <c r="W17" i="137"/>
  <c r="AN17" i="137"/>
  <c r="AZ17" i="137" s="1"/>
  <c r="M14" i="138"/>
  <c r="AZ9" i="138"/>
  <c r="AZ14" i="138" s="1"/>
  <c r="AN14" i="138"/>
  <c r="T14" i="138"/>
  <c r="T11" i="138"/>
  <c r="O14" i="138"/>
  <c r="AN29" i="139"/>
  <c r="AZ29" i="139" s="1"/>
  <c r="W29" i="139"/>
  <c r="O8" i="139"/>
  <c r="O78" i="139" s="1"/>
  <c r="M78" i="139"/>
  <c r="AN35" i="139"/>
  <c r="AZ35" i="139" s="1"/>
  <c r="W35" i="139"/>
  <c r="AN47" i="139"/>
  <c r="AZ47" i="139" s="1"/>
  <c r="W47" i="139"/>
  <c r="W62" i="139"/>
  <c r="AN62" i="139"/>
  <c r="AZ62" i="139" s="1"/>
  <c r="AN27" i="139"/>
  <c r="AZ27" i="139" s="1"/>
  <c r="W27" i="139"/>
  <c r="AN50" i="139"/>
  <c r="AZ50" i="139" s="1"/>
  <c r="W50" i="139"/>
  <c r="W64" i="139"/>
  <c r="AN64" i="139"/>
  <c r="AZ64" i="139" s="1"/>
  <c r="AN7" i="139"/>
  <c r="V57" i="139"/>
  <c r="V78" i="139" s="1"/>
  <c r="Z78" i="139"/>
  <c r="T56" i="139"/>
  <c r="U56" i="139" s="1"/>
  <c r="T18" i="139"/>
  <c r="U18" i="139" s="1"/>
  <c r="AN65" i="139"/>
  <c r="AZ65" i="139" s="1"/>
  <c r="W65" i="139"/>
  <c r="T8" i="139"/>
  <c r="W43" i="139"/>
  <c r="AN43" i="139"/>
  <c r="AZ43" i="139" s="1"/>
  <c r="W60" i="139"/>
  <c r="AN60" i="139"/>
  <c r="AZ60" i="139" s="1"/>
  <c r="W58" i="139"/>
  <c r="AN58" i="139"/>
  <c r="AZ58" i="139" s="1"/>
  <c r="T48" i="139"/>
  <c r="U48" i="139" s="1"/>
  <c r="T31" i="139"/>
  <c r="U31" i="139" s="1"/>
  <c r="T53" i="139"/>
  <c r="U53" i="139" s="1"/>
  <c r="W39" i="139"/>
  <c r="T13" i="139"/>
  <c r="U13" i="139" s="1"/>
  <c r="W22" i="139"/>
  <c r="AN22" i="139"/>
  <c r="AZ22" i="139" s="1"/>
  <c r="AN10" i="139"/>
  <c r="AZ10" i="139" s="1"/>
  <c r="W10" i="139"/>
  <c r="AN41" i="139"/>
  <c r="AZ41" i="139" s="1"/>
  <c r="T45" i="139"/>
  <c r="U45" i="139" s="1"/>
  <c r="T15" i="139"/>
  <c r="U15" i="139" s="1"/>
  <c r="T30" i="139"/>
  <c r="U30" i="139" s="1"/>
  <c r="T19" i="139"/>
  <c r="U19" i="139" s="1"/>
  <c r="T36" i="139"/>
  <c r="U36" i="139" s="1"/>
  <c r="T40" i="139"/>
  <c r="U40" i="139" s="1"/>
  <c r="W16" i="139"/>
  <c r="AN16" i="139"/>
  <c r="AZ16" i="139" s="1"/>
  <c r="W37" i="139"/>
  <c r="AN37" i="139"/>
  <c r="AZ37" i="139" s="1"/>
  <c r="T21" i="139"/>
  <c r="U21" i="139" s="1"/>
  <c r="T26" i="139"/>
  <c r="U26" i="139" s="1"/>
  <c r="T24" i="140"/>
  <c r="U24" i="140" s="1"/>
  <c r="T108" i="140"/>
  <c r="U108" i="140" s="1"/>
  <c r="T8" i="140"/>
  <c r="U8" i="140" s="1"/>
  <c r="T62" i="140"/>
  <c r="U62" i="140" s="1"/>
  <c r="T74" i="140"/>
  <c r="U74" i="140" s="1"/>
  <c r="T105" i="140"/>
  <c r="U105" i="140" s="1"/>
  <c r="AN51" i="140"/>
  <c r="AY51" i="140" s="1"/>
  <c r="V51" i="140"/>
  <c r="T15" i="140"/>
  <c r="U15" i="140" s="1"/>
  <c r="T80" i="140"/>
  <c r="U80" i="140" s="1"/>
  <c r="T106" i="140"/>
  <c r="U106" i="140" s="1"/>
  <c r="T99" i="140"/>
  <c r="U99" i="140" s="1"/>
  <c r="T25" i="140"/>
  <c r="U25" i="140" s="1"/>
  <c r="T104" i="140"/>
  <c r="U104" i="140" s="1"/>
  <c r="T71" i="140"/>
  <c r="U71" i="140" s="1"/>
  <c r="AN98" i="140"/>
  <c r="BB98" i="140" s="1"/>
  <c r="V98" i="140"/>
  <c r="T63" i="140"/>
  <c r="U63" i="140" s="1"/>
  <c r="V40" i="140"/>
  <c r="AN40" i="140"/>
  <c r="AY40" i="140" s="1"/>
  <c r="AN72" i="140"/>
  <c r="AY72" i="140" s="1"/>
  <c r="V72" i="140"/>
  <c r="V37" i="140"/>
  <c r="AN37" i="140"/>
  <c r="AY37" i="140" s="1"/>
  <c r="T113" i="140"/>
  <c r="U113" i="140" s="1"/>
  <c r="P115" i="140"/>
  <c r="M95" i="140"/>
  <c r="T95" i="140" s="1"/>
  <c r="V58" i="140"/>
  <c r="AN58" i="140"/>
  <c r="AY58" i="140" s="1"/>
  <c r="T70" i="140"/>
  <c r="U70" i="140" s="1"/>
  <c r="M5" i="140"/>
  <c r="T5" i="140" s="1"/>
  <c r="P93" i="140"/>
  <c r="T44" i="140"/>
  <c r="U44" i="140" s="1"/>
  <c r="AN79" i="140"/>
  <c r="AY79" i="140" s="1"/>
  <c r="V79" i="140"/>
  <c r="AN114" i="140"/>
  <c r="BB114" i="140" s="1"/>
  <c r="V114" i="140"/>
  <c r="T111" i="140"/>
  <c r="U111" i="140" s="1"/>
  <c r="T31" i="140"/>
  <c r="U31" i="140" s="1"/>
  <c r="T34" i="140"/>
  <c r="U34" i="140" s="1"/>
  <c r="T36" i="140"/>
  <c r="U36" i="140" s="1"/>
  <c r="T112" i="140"/>
  <c r="U112" i="140" s="1"/>
  <c r="AN88" i="141"/>
  <c r="AY88" i="141" s="1"/>
  <c r="M60" i="141"/>
  <c r="V49" i="141"/>
  <c r="AN49" i="141"/>
  <c r="AY49" i="141" s="1"/>
  <c r="AN40" i="141"/>
  <c r="AY40" i="141" s="1"/>
  <c r="V40" i="141"/>
  <c r="AN24" i="141"/>
  <c r="AY24" i="141" s="1"/>
  <c r="V24" i="141"/>
  <c r="AN97" i="141"/>
  <c r="AY97" i="141" s="1"/>
  <c r="V97" i="141"/>
  <c r="T33" i="141"/>
  <c r="U33" i="141" s="1"/>
  <c r="U62" i="141"/>
  <c r="T95" i="141"/>
  <c r="U95" i="141" s="1"/>
  <c r="AN48" i="141"/>
  <c r="AY48" i="141" s="1"/>
  <c r="V48" i="141"/>
  <c r="M101" i="141"/>
  <c r="O86" i="141"/>
  <c r="O101" i="141" s="1"/>
  <c r="T82" i="141"/>
  <c r="U82" i="141" s="1"/>
  <c r="AN37" i="141"/>
  <c r="AY37" i="141" s="1"/>
  <c r="V37" i="141"/>
  <c r="T80" i="141"/>
  <c r="T94" i="141"/>
  <c r="U94" i="141" s="1"/>
  <c r="AM102" i="141"/>
  <c r="T98" i="141"/>
  <c r="U98" i="141" s="1"/>
  <c r="O60" i="141"/>
  <c r="M84" i="141"/>
  <c r="O62" i="141"/>
  <c r="O84" i="141" s="1"/>
  <c r="AN47" i="141"/>
  <c r="AY47" i="141" s="1"/>
  <c r="AN79" i="141"/>
  <c r="AY79" i="141" s="1"/>
  <c r="V79" i="141"/>
  <c r="AN51" i="141"/>
  <c r="AY51" i="141" s="1"/>
  <c r="T92" i="141"/>
  <c r="U92" i="141" s="1"/>
  <c r="T68" i="141"/>
  <c r="U68" i="141" s="1"/>
  <c r="T15" i="141"/>
  <c r="U15" i="141" s="1"/>
  <c r="T76" i="141"/>
  <c r="U76" i="141" s="1"/>
  <c r="T86" i="141"/>
  <c r="T12" i="141"/>
  <c r="AN25" i="141"/>
  <c r="AY25" i="141" s="1"/>
  <c r="V25" i="141"/>
  <c r="AY8" i="141"/>
  <c r="T19" i="141"/>
  <c r="U19" i="141" s="1"/>
  <c r="T83" i="141"/>
  <c r="U83" i="141" s="1"/>
  <c r="U7" i="128"/>
  <c r="M8" i="128"/>
  <c r="O8" i="128" s="1"/>
  <c r="P15" i="128"/>
  <c r="O7" i="128"/>
  <c r="T13" i="128"/>
  <c r="U13" i="128" s="1"/>
  <c r="X8" i="12"/>
  <c r="X19" i="12" s="1"/>
  <c r="O9" i="127"/>
  <c r="O14" i="148" s="1"/>
  <c r="M14" i="148"/>
  <c r="P6" i="148"/>
  <c r="P7" i="148" s="1"/>
  <c r="M11" i="127"/>
  <c r="M7" i="127"/>
  <c r="P16" i="127"/>
  <c r="P22" i="148"/>
  <c r="P10" i="148"/>
  <c r="P13" i="148" s="1"/>
  <c r="M13" i="127"/>
  <c r="P9" i="148"/>
  <c r="M8" i="127"/>
  <c r="O10" i="127"/>
  <c r="O15" i="148" s="1"/>
  <c r="M15" i="148"/>
  <c r="P19" i="148"/>
  <c r="P20" i="148" s="1"/>
  <c r="N19" i="97" s="1"/>
  <c r="M12" i="127"/>
  <c r="P8" i="149"/>
  <c r="M8" i="126"/>
  <c r="T8" i="126" s="1"/>
  <c r="M19" i="149"/>
  <c r="O19" i="126"/>
  <c r="O19" i="149" s="1"/>
  <c r="O6" i="126"/>
  <c r="O6" i="149" s="1"/>
  <c r="M6" i="149"/>
  <c r="O14" i="126"/>
  <c r="O14" i="149" s="1"/>
  <c r="M14" i="149"/>
  <c r="U15" i="126"/>
  <c r="T15" i="149"/>
  <c r="U10" i="126"/>
  <c r="T10" i="149"/>
  <c r="M11" i="126"/>
  <c r="P11" i="149"/>
  <c r="T11" i="126"/>
  <c r="P13" i="149"/>
  <c r="M13" i="126"/>
  <c r="O20" i="126"/>
  <c r="O20" i="149" s="1"/>
  <c r="M20" i="149"/>
  <c r="T14" i="126"/>
  <c r="O18" i="126"/>
  <c r="O18" i="149" s="1"/>
  <c r="M18" i="149"/>
  <c r="M7" i="126"/>
  <c r="T7" i="126" s="1"/>
  <c r="P7" i="149"/>
  <c r="P16" i="149"/>
  <c r="M16" i="126"/>
  <c r="O17" i="126"/>
  <c r="O17" i="149" s="1"/>
  <c r="M17" i="149"/>
  <c r="T20" i="126"/>
  <c r="O9" i="126"/>
  <c r="O9" i="149" s="1"/>
  <c r="M9" i="149"/>
  <c r="P23" i="126"/>
  <c r="N17" i="12" s="1"/>
  <c r="O21" i="126"/>
  <c r="O21" i="149" s="1"/>
  <c r="M21" i="149"/>
  <c r="T17" i="126"/>
  <c r="O15" i="126"/>
  <c r="O15" i="149" s="1"/>
  <c r="M15" i="149"/>
  <c r="O10" i="126"/>
  <c r="O10" i="149" s="1"/>
  <c r="M10" i="149"/>
  <c r="M12" i="126"/>
  <c r="P12" i="149"/>
  <c r="P22" i="149"/>
  <c r="M22" i="126"/>
  <c r="U19" i="126"/>
  <c r="T19" i="149"/>
  <c r="O9" i="125"/>
  <c r="O11" i="150" s="1"/>
  <c r="M11" i="150"/>
  <c r="T6" i="125"/>
  <c r="T10" i="150" s="1"/>
  <c r="M10" i="150"/>
  <c r="M14" i="150" s="1"/>
  <c r="M18" i="150" s="1"/>
  <c r="P15" i="150"/>
  <c r="P17" i="150" s="1"/>
  <c r="T8" i="125"/>
  <c r="T9" i="125"/>
  <c r="N16" i="12"/>
  <c r="J16" i="12"/>
  <c r="P15" i="125"/>
  <c r="P14" i="150"/>
  <c r="P6" i="150"/>
  <c r="P7" i="150" s="1"/>
  <c r="T7" i="125"/>
  <c r="O17" i="146"/>
  <c r="O19" i="151" s="1"/>
  <c r="M19" i="151"/>
  <c r="U18" i="146"/>
  <c r="T17" i="151"/>
  <c r="P19" i="146"/>
  <c r="N15" i="12" s="1"/>
  <c r="U13" i="146"/>
  <c r="T9" i="151"/>
  <c r="P11" i="151"/>
  <c r="M15" i="146"/>
  <c r="T15" i="146"/>
  <c r="O11" i="146"/>
  <c r="O15" i="151" s="1"/>
  <c r="M15" i="151"/>
  <c r="O14" i="146"/>
  <c r="O10" i="151" s="1"/>
  <c r="M10" i="151"/>
  <c r="O12" i="146"/>
  <c r="O8" i="151" s="1"/>
  <c r="M8" i="151"/>
  <c r="P16" i="151"/>
  <c r="M10" i="146"/>
  <c r="M9" i="146"/>
  <c r="O16" i="146"/>
  <c r="O18" i="151" s="1"/>
  <c r="M18" i="151"/>
  <c r="O18" i="146"/>
  <c r="O17" i="151" s="1"/>
  <c r="M17" i="151"/>
  <c r="M6" i="146"/>
  <c r="P7" i="151"/>
  <c r="P12" i="151" s="1"/>
  <c r="M7" i="146"/>
  <c r="P13" i="151"/>
  <c r="M8" i="146"/>
  <c r="A104" i="116"/>
  <c r="H7" i="67" s="1"/>
  <c r="L118" i="117"/>
  <c r="P7" i="156"/>
  <c r="P11" i="156" s="1"/>
  <c r="M7" i="120"/>
  <c r="T6" i="120"/>
  <c r="T6" i="156" s="1"/>
  <c r="T7" i="120"/>
  <c r="P11" i="120"/>
  <c r="N18" i="12"/>
  <c r="I7" i="12"/>
  <c r="I19" i="12" s="1"/>
  <c r="L105" i="116"/>
  <c r="B19" i="12"/>
  <c r="E30" i="39" s="1"/>
  <c r="G11" i="41" s="1"/>
  <c r="T7" i="122"/>
  <c r="U7" i="122" s="1"/>
  <c r="W7" i="122" s="1"/>
  <c r="T47" i="117"/>
  <c r="T8" i="121"/>
  <c r="T7" i="123"/>
  <c r="T33" i="123"/>
  <c r="T43" i="123"/>
  <c r="T19" i="124"/>
  <c r="U19" i="124" s="1"/>
  <c r="W19" i="124" s="1"/>
  <c r="T12" i="124"/>
  <c r="U12" i="124" s="1"/>
  <c r="W12" i="124" s="1"/>
  <c r="T16" i="146"/>
  <c r="T10" i="127"/>
  <c r="T7" i="127"/>
  <c r="O6" i="127"/>
  <c r="T9" i="127"/>
  <c r="T6" i="127"/>
  <c r="T17" i="148" s="1"/>
  <c r="T9" i="126"/>
  <c r="T18" i="126"/>
  <c r="T6" i="126"/>
  <c r="T21" i="126"/>
  <c r="M14" i="125"/>
  <c r="K16" i="12" s="1"/>
  <c r="O6" i="125"/>
  <c r="T18" i="124"/>
  <c r="U18" i="124" s="1"/>
  <c r="W18" i="124" s="1"/>
  <c r="M6" i="124"/>
  <c r="P25" i="124"/>
  <c r="T13" i="124"/>
  <c r="U13" i="124" s="1"/>
  <c r="W13" i="124" s="1"/>
  <c r="T11" i="146"/>
  <c r="T17" i="146"/>
  <c r="T12" i="146"/>
  <c r="T14" i="146"/>
  <c r="T24" i="123"/>
  <c r="T41" i="123"/>
  <c r="T15" i="123"/>
  <c r="T37" i="123"/>
  <c r="T28" i="123"/>
  <c r="T34" i="123"/>
  <c r="T22" i="123"/>
  <c r="T19" i="123"/>
  <c r="T16" i="123"/>
  <c r="T14" i="123"/>
  <c r="T21" i="123"/>
  <c r="T27" i="123"/>
  <c r="T29" i="123"/>
  <c r="P16" i="122"/>
  <c r="N12" i="12" s="1"/>
  <c r="M6" i="122"/>
  <c r="T18" i="121"/>
  <c r="T10" i="121"/>
  <c r="T7" i="121"/>
  <c r="T23" i="121"/>
  <c r="U6" i="120"/>
  <c r="U6" i="156" s="1"/>
  <c r="M11" i="120"/>
  <c r="K10" i="12" s="1"/>
  <c r="O6" i="120"/>
  <c r="W35" i="119"/>
  <c r="W35" i="157" s="1"/>
  <c r="T30" i="119"/>
  <c r="U30" i="119" s="1"/>
  <c r="W30" i="119" s="1"/>
  <c r="T19" i="119"/>
  <c r="U19" i="119" s="1"/>
  <c r="W19" i="119" s="1"/>
  <c r="T60" i="119"/>
  <c r="U60" i="119" s="1"/>
  <c r="W60" i="119" s="1"/>
  <c r="D9" i="12"/>
  <c r="T62" i="119"/>
  <c r="U62" i="119" s="1"/>
  <c r="V62" i="119" s="1"/>
  <c r="T14" i="119"/>
  <c r="U14" i="119" s="1"/>
  <c r="W14" i="119" s="1"/>
  <c r="T37" i="119"/>
  <c r="U37" i="119" s="1"/>
  <c r="W37" i="119" s="1"/>
  <c r="T13" i="119"/>
  <c r="U13" i="119" s="1"/>
  <c r="W13" i="119" s="1"/>
  <c r="T23" i="119"/>
  <c r="U23" i="119" s="1"/>
  <c r="W23" i="119" s="1"/>
  <c r="T31" i="119"/>
  <c r="U31" i="119" s="1"/>
  <c r="W31" i="119" s="1"/>
  <c r="T11" i="119"/>
  <c r="U11" i="119" s="1"/>
  <c r="W11" i="119" s="1"/>
  <c r="T65" i="119"/>
  <c r="U65" i="119" s="1"/>
  <c r="W65" i="119" s="1"/>
  <c r="T9" i="119"/>
  <c r="U9" i="119" s="1"/>
  <c r="W9" i="119" s="1"/>
  <c r="T12" i="119"/>
  <c r="U12" i="119" s="1"/>
  <c r="W12" i="119" s="1"/>
  <c r="T41" i="119"/>
  <c r="U41" i="119" s="1"/>
  <c r="W41" i="119" s="1"/>
  <c r="T56" i="119"/>
  <c r="U56" i="119" s="1"/>
  <c r="W56" i="119" s="1"/>
  <c r="W48" i="157" s="1"/>
  <c r="T40" i="119"/>
  <c r="U40" i="119" s="1"/>
  <c r="W40" i="119" s="1"/>
  <c r="T17" i="119"/>
  <c r="U17" i="119" s="1"/>
  <c r="W17" i="119" s="1"/>
  <c r="T26" i="119"/>
  <c r="U26" i="119" s="1"/>
  <c r="W26" i="119" s="1"/>
  <c r="T45" i="119"/>
  <c r="U45" i="119" s="1"/>
  <c r="V45" i="119" s="1"/>
  <c r="T77" i="117"/>
  <c r="T25" i="117"/>
  <c r="T81" i="117"/>
  <c r="T74" i="117"/>
  <c r="T104" i="117"/>
  <c r="T82" i="117"/>
  <c r="T63" i="117"/>
  <c r="T62" i="117"/>
  <c r="T22" i="117"/>
  <c r="T33" i="117"/>
  <c r="T103" i="117"/>
  <c r="T19" i="117"/>
  <c r="T78" i="117"/>
  <c r="T43" i="117"/>
  <c r="T114" i="117"/>
  <c r="T37" i="117"/>
  <c r="T58" i="117"/>
  <c r="T9" i="117"/>
  <c r="T57" i="117"/>
  <c r="T11" i="116"/>
  <c r="T21" i="116"/>
  <c r="T50" i="116"/>
  <c r="T18" i="116"/>
  <c r="T62" i="116"/>
  <c r="T32" i="116"/>
  <c r="T55" i="116"/>
  <c r="T19" i="116"/>
  <c r="T36" i="116"/>
  <c r="T33" i="116"/>
  <c r="T73" i="116"/>
  <c r="T68" i="116"/>
  <c r="T64" i="116"/>
  <c r="M44" i="116"/>
  <c r="T72" i="116"/>
  <c r="T12" i="116"/>
  <c r="T15" i="116"/>
  <c r="T82" i="116"/>
  <c r="T47" i="116"/>
  <c r="T37" i="116"/>
  <c r="T26" i="116"/>
  <c r="T20" i="116"/>
  <c r="T7" i="116"/>
  <c r="T71" i="116"/>
  <c r="T54" i="116"/>
  <c r="T65" i="116"/>
  <c r="T41" i="116"/>
  <c r="T78" i="116"/>
  <c r="O28" i="116"/>
  <c r="O12" i="162" s="1"/>
  <c r="N13" i="12"/>
  <c r="T28" i="116"/>
  <c r="T12" i="162" s="1"/>
  <c r="O30" i="123"/>
  <c r="J9" i="12"/>
  <c r="T30" i="123"/>
  <c r="T53" i="153" s="1"/>
  <c r="M29" i="119"/>
  <c r="T29" i="119" s="1"/>
  <c r="P70" i="119"/>
  <c r="L11" i="12"/>
  <c r="L19" i="12" s="1"/>
  <c r="E28" i="39" s="1"/>
  <c r="G9" i="41" s="1"/>
  <c r="T46" i="117"/>
  <c r="T18" i="117"/>
  <c r="T113" i="117"/>
  <c r="T101" i="117"/>
  <c r="T79" i="167" s="1"/>
  <c r="T38" i="117"/>
  <c r="T52" i="117"/>
  <c r="K19" i="44"/>
  <c r="F10" i="43"/>
  <c r="F14" i="43" s="1"/>
  <c r="F12" i="100" s="1"/>
  <c r="T24" i="117"/>
  <c r="M109" i="117"/>
  <c r="T67" i="117"/>
  <c r="T14" i="117"/>
  <c r="T61" i="117"/>
  <c r="T26" i="117"/>
  <c r="T66" i="117"/>
  <c r="P115" i="117"/>
  <c r="T23" i="117"/>
  <c r="O96" i="117"/>
  <c r="O46" i="167" s="1"/>
  <c r="U45" i="123" l="1"/>
  <c r="T8" i="153"/>
  <c r="T9" i="153" s="1"/>
  <c r="U27" i="123"/>
  <c r="T6" i="153"/>
  <c r="T7" i="153" s="1"/>
  <c r="U37" i="123"/>
  <c r="T37" i="153"/>
  <c r="U33" i="123"/>
  <c r="T24" i="153"/>
  <c r="P56" i="153"/>
  <c r="O53" i="153"/>
  <c r="U21" i="123"/>
  <c r="T20" i="153"/>
  <c r="U22" i="123"/>
  <c r="T49" i="153"/>
  <c r="U15" i="123"/>
  <c r="T16" i="153"/>
  <c r="U7" i="123"/>
  <c r="T32" i="153"/>
  <c r="T33" i="153" s="1"/>
  <c r="R9" i="97" s="1"/>
  <c r="O20" i="123"/>
  <c r="O19" i="153" s="1"/>
  <c r="M19" i="153"/>
  <c r="T20" i="123"/>
  <c r="T31" i="123"/>
  <c r="M23" i="153"/>
  <c r="O31" i="123"/>
  <c r="O23" i="153" s="1"/>
  <c r="U14" i="123"/>
  <c r="T15" i="153"/>
  <c r="U34" i="123"/>
  <c r="T25" i="153"/>
  <c r="X15" i="97"/>
  <c r="Z57" i="153"/>
  <c r="T42" i="123"/>
  <c r="M39" i="153"/>
  <c r="O42" i="123"/>
  <c r="O39" i="153" s="1"/>
  <c r="U11" i="123"/>
  <c r="T36" i="153"/>
  <c r="P31" i="153"/>
  <c r="O40" i="153"/>
  <c r="O38" i="123"/>
  <c r="O55" i="153" s="1"/>
  <c r="M55" i="153"/>
  <c r="T38" i="123"/>
  <c r="T9" i="123"/>
  <c r="M13" i="153"/>
  <c r="O9" i="123"/>
  <c r="O13" i="153" s="1"/>
  <c r="O40" i="123"/>
  <c r="O34" i="153" s="1"/>
  <c r="O35" i="153" s="1"/>
  <c r="M34" i="153"/>
  <c r="M35" i="153" s="1"/>
  <c r="T40" i="123"/>
  <c r="V39" i="123"/>
  <c r="V38" i="153" s="1"/>
  <c r="U38" i="153"/>
  <c r="U19" i="123"/>
  <c r="T43" i="153"/>
  <c r="T44" i="153" s="1"/>
  <c r="R16" i="97" s="1"/>
  <c r="U24" i="123"/>
  <c r="T21" i="153"/>
  <c r="J15" i="97"/>
  <c r="J20" i="97" s="1"/>
  <c r="N27" i="97" s="1"/>
  <c r="L57" i="153"/>
  <c r="P58" i="153" s="1"/>
  <c r="O19" i="123"/>
  <c r="O43" i="153" s="1"/>
  <c r="O44" i="153" s="1"/>
  <c r="M16" i="97" s="1"/>
  <c r="M43" i="153"/>
  <c r="M44" i="153" s="1"/>
  <c r="K16" i="97" s="1"/>
  <c r="T23" i="123"/>
  <c r="M50" i="153"/>
  <c r="O23" i="123"/>
  <c r="O50" i="153" s="1"/>
  <c r="T44" i="123"/>
  <c r="M28" i="153"/>
  <c r="O44" i="123"/>
  <c r="O28" i="153" s="1"/>
  <c r="T12" i="123"/>
  <c r="M47" i="153"/>
  <c r="O12" i="123"/>
  <c r="O47" i="153" s="1"/>
  <c r="O7" i="123"/>
  <c r="O32" i="153" s="1"/>
  <c r="O33" i="153" s="1"/>
  <c r="M32" i="153"/>
  <c r="M33" i="153" s="1"/>
  <c r="K9" i="97" s="1"/>
  <c r="O32" i="123"/>
  <c r="O10" i="153" s="1"/>
  <c r="M10" i="153"/>
  <c r="T36" i="123"/>
  <c r="M26" i="153"/>
  <c r="O36" i="123"/>
  <c r="O26" i="153" s="1"/>
  <c r="T8" i="123"/>
  <c r="M12" i="153"/>
  <c r="O8" i="123"/>
  <c r="O12" i="153" s="1"/>
  <c r="O45" i="123"/>
  <c r="O8" i="153" s="1"/>
  <c r="O9" i="153" s="1"/>
  <c r="M8" i="153"/>
  <c r="M9" i="153" s="1"/>
  <c r="U29" i="123"/>
  <c r="T52" i="153"/>
  <c r="U16" i="123"/>
  <c r="T17" i="153"/>
  <c r="U28" i="123"/>
  <c r="T51" i="153"/>
  <c r="U41" i="123"/>
  <c r="T41" i="153"/>
  <c r="T42" i="153" s="1"/>
  <c r="U43" i="123"/>
  <c r="T27" i="153"/>
  <c r="X20" i="97"/>
  <c r="T35" i="123"/>
  <c r="M54" i="153"/>
  <c r="O35" i="123"/>
  <c r="O54" i="153" s="1"/>
  <c r="U26" i="123"/>
  <c r="T46" i="153"/>
  <c r="O11" i="123"/>
  <c r="O36" i="153" s="1"/>
  <c r="M36" i="153"/>
  <c r="M40" i="153" s="1"/>
  <c r="O26" i="123"/>
  <c r="O46" i="153" s="1"/>
  <c r="M46" i="153"/>
  <c r="T18" i="123"/>
  <c r="M45" i="153"/>
  <c r="O18" i="123"/>
  <c r="O45" i="153" s="1"/>
  <c r="T17" i="123"/>
  <c r="M18" i="153"/>
  <c r="O17" i="123"/>
  <c r="O18" i="153" s="1"/>
  <c r="O25" i="123"/>
  <c r="O22" i="153" s="1"/>
  <c r="M22" i="153"/>
  <c r="T25" i="123"/>
  <c r="T13" i="123"/>
  <c r="M48" i="153"/>
  <c r="K17" i="97" s="1"/>
  <c r="O13" i="123"/>
  <c r="O48" i="153" s="1"/>
  <c r="M17" i="97" s="1"/>
  <c r="T10" i="123"/>
  <c r="M14" i="153"/>
  <c r="O10" i="123"/>
  <c r="O14" i="153" s="1"/>
  <c r="T32" i="123"/>
  <c r="D20" i="97"/>
  <c r="I20" i="97"/>
  <c r="B20" i="97"/>
  <c r="U7" i="121"/>
  <c r="T10" i="155"/>
  <c r="T13" i="121"/>
  <c r="M15" i="155"/>
  <c r="O13" i="121"/>
  <c r="O15" i="155" s="1"/>
  <c r="O16" i="121"/>
  <c r="O17" i="155" s="1"/>
  <c r="M17" i="155"/>
  <c r="T16" i="121"/>
  <c r="T24" i="121"/>
  <c r="M25" i="155"/>
  <c r="O24" i="121"/>
  <c r="O25" i="155" s="1"/>
  <c r="U20" i="121"/>
  <c r="T21" i="155"/>
  <c r="T15" i="121"/>
  <c r="M8" i="155"/>
  <c r="O15" i="121"/>
  <c r="O8" i="155" s="1"/>
  <c r="U10" i="121"/>
  <c r="T12" i="155"/>
  <c r="O20" i="121"/>
  <c r="O21" i="155" s="1"/>
  <c r="M21" i="155"/>
  <c r="U19" i="121"/>
  <c r="T20" i="155"/>
  <c r="T21" i="121"/>
  <c r="M22" i="155"/>
  <c r="O21" i="121"/>
  <c r="O22" i="155" s="1"/>
  <c r="T17" i="121"/>
  <c r="M18" i="155"/>
  <c r="O17" i="121"/>
  <c r="O18" i="155" s="1"/>
  <c r="P30" i="155"/>
  <c r="P31" i="155" s="1"/>
  <c r="M29" i="121"/>
  <c r="K11" i="12" s="1"/>
  <c r="U8" i="121"/>
  <c r="T6" i="155"/>
  <c r="T7" i="155" s="1"/>
  <c r="T9" i="121"/>
  <c r="M11" i="155"/>
  <c r="O9" i="121"/>
  <c r="O11" i="155" s="1"/>
  <c r="M9" i="155"/>
  <c r="O6" i="121"/>
  <c r="T14" i="121"/>
  <c r="M16" i="155"/>
  <c r="O14" i="121"/>
  <c r="O16" i="155" s="1"/>
  <c r="U12" i="121"/>
  <c r="T14" i="155"/>
  <c r="T22" i="121"/>
  <c r="M23" i="155"/>
  <c r="O22" i="121"/>
  <c r="O23" i="155" s="1"/>
  <c r="U23" i="121"/>
  <c r="T24" i="155"/>
  <c r="U18" i="121"/>
  <c r="T19" i="155"/>
  <c r="T11" i="121"/>
  <c r="M13" i="155"/>
  <c r="O11" i="121"/>
  <c r="O13" i="155" s="1"/>
  <c r="O19" i="121"/>
  <c r="O20" i="155" s="1"/>
  <c r="M20" i="155"/>
  <c r="O12" i="121"/>
  <c r="O14" i="155" s="1"/>
  <c r="M14" i="155"/>
  <c r="T6" i="121"/>
  <c r="T13" i="117"/>
  <c r="T19" i="167" s="1"/>
  <c r="T51" i="117"/>
  <c r="T10" i="117"/>
  <c r="T8" i="167" s="1"/>
  <c r="T31" i="117"/>
  <c r="T55" i="117"/>
  <c r="N7" i="97"/>
  <c r="P117" i="167"/>
  <c r="N14" i="97" s="1"/>
  <c r="T15" i="167"/>
  <c r="O44" i="117"/>
  <c r="O94" i="167" s="1"/>
  <c r="M19" i="167"/>
  <c r="P117" i="117"/>
  <c r="N8" i="12" s="1"/>
  <c r="M9" i="167"/>
  <c r="M66" i="167"/>
  <c r="M37" i="167"/>
  <c r="M40" i="167"/>
  <c r="T50" i="117"/>
  <c r="T66" i="167" s="1"/>
  <c r="M93" i="117"/>
  <c r="T11" i="117"/>
  <c r="O60" i="117"/>
  <c r="O40" i="167" s="1"/>
  <c r="D19" i="12"/>
  <c r="P87" i="167"/>
  <c r="N11" i="97" s="1"/>
  <c r="P122" i="167"/>
  <c r="N18" i="97" s="1"/>
  <c r="P56" i="167"/>
  <c r="N8" i="97" s="1"/>
  <c r="U23" i="117"/>
  <c r="T24" i="167"/>
  <c r="U66" i="117"/>
  <c r="T43" i="167"/>
  <c r="U38" i="117"/>
  <c r="T33" i="167"/>
  <c r="U75" i="117"/>
  <c r="T72" i="167"/>
  <c r="U9" i="117"/>
  <c r="T61" i="167"/>
  <c r="T62" i="167" s="1"/>
  <c r="U97" i="117"/>
  <c r="T52" i="167"/>
  <c r="U19" i="117"/>
  <c r="T59" i="167"/>
  <c r="T60" i="167" s="1"/>
  <c r="U98" i="117"/>
  <c r="T53" i="167"/>
  <c r="U63" i="117"/>
  <c r="T51" i="167"/>
  <c r="U104" i="117"/>
  <c r="T81" i="167"/>
  <c r="U77" i="117"/>
  <c r="T74" i="167"/>
  <c r="T107" i="117"/>
  <c r="M83" i="167"/>
  <c r="O107" i="117"/>
  <c r="O83" i="167" s="1"/>
  <c r="O105" i="117"/>
  <c r="O82" i="167" s="1"/>
  <c r="M82" i="167"/>
  <c r="T105" i="117"/>
  <c r="O53" i="117"/>
  <c r="O102" i="167" s="1"/>
  <c r="M102" i="167"/>
  <c r="T53" i="117"/>
  <c r="U99" i="117"/>
  <c r="T77" i="167"/>
  <c r="T70" i="117"/>
  <c r="M44" i="167"/>
  <c r="O70" i="117"/>
  <c r="O44" i="167" s="1"/>
  <c r="O79" i="117"/>
  <c r="O98" i="167" s="1"/>
  <c r="M98" i="167"/>
  <c r="U59" i="117"/>
  <c r="T39" i="167"/>
  <c r="O72" i="117"/>
  <c r="O115" i="167" s="1"/>
  <c r="M115" i="167"/>
  <c r="O21" i="117"/>
  <c r="O22" i="167" s="1"/>
  <c r="M22" i="167"/>
  <c r="T21" i="117"/>
  <c r="M48" i="167"/>
  <c r="O111" i="117"/>
  <c r="O48" i="167" s="1"/>
  <c r="P108" i="167"/>
  <c r="N12" i="97" s="1"/>
  <c r="O34" i="117"/>
  <c r="O31" i="167" s="1"/>
  <c r="M31" i="167"/>
  <c r="O20" i="117"/>
  <c r="O21" i="167" s="1"/>
  <c r="M21" i="167"/>
  <c r="T20" i="117"/>
  <c r="O100" i="117"/>
  <c r="O78" i="167" s="1"/>
  <c r="M78" i="167"/>
  <c r="T12" i="117"/>
  <c r="M18" i="167"/>
  <c r="O12" i="117"/>
  <c r="O18" i="167" s="1"/>
  <c r="U26" i="117"/>
  <c r="T27" i="167"/>
  <c r="U67" i="117"/>
  <c r="T69" i="167"/>
  <c r="U31" i="117"/>
  <c r="T9" i="167"/>
  <c r="U113" i="117"/>
  <c r="U50" i="167" s="1"/>
  <c r="T50" i="167"/>
  <c r="U18" i="117"/>
  <c r="T96" i="167"/>
  <c r="U58" i="117"/>
  <c r="T13" i="167"/>
  <c r="U114" i="117"/>
  <c r="T86" i="167"/>
  <c r="U103" i="117"/>
  <c r="T91" i="167"/>
  <c r="U51" i="117"/>
  <c r="T37" i="167"/>
  <c r="U60" i="117"/>
  <c r="T40" i="167"/>
  <c r="U74" i="117"/>
  <c r="T71" i="167"/>
  <c r="U83" i="117"/>
  <c r="T107" i="167"/>
  <c r="O68" i="117"/>
  <c r="O70" i="167" s="1"/>
  <c r="M70" i="167"/>
  <c r="T56" i="117"/>
  <c r="M103" i="167"/>
  <c r="O56" i="117"/>
  <c r="O103" i="167" s="1"/>
  <c r="T16" i="117"/>
  <c r="M54" i="167"/>
  <c r="O16" i="117"/>
  <c r="O54" i="167" s="1"/>
  <c r="T27" i="117"/>
  <c r="M99" i="167"/>
  <c r="O27" i="117"/>
  <c r="O99" i="167" s="1"/>
  <c r="O28" i="117"/>
  <c r="O28" i="167" s="1"/>
  <c r="M28" i="167"/>
  <c r="T28" i="117"/>
  <c r="O29" i="117"/>
  <c r="O29" i="167" s="1"/>
  <c r="M29" i="167"/>
  <c r="T29" i="117"/>
  <c r="O110" i="117"/>
  <c r="O85" i="167" s="1"/>
  <c r="M85" i="167"/>
  <c r="T110" i="117"/>
  <c r="O17" i="117"/>
  <c r="O6" i="167" s="1"/>
  <c r="O7" i="167" s="1"/>
  <c r="M6" i="167"/>
  <c r="M7" i="167" s="1"/>
  <c r="T17" i="117"/>
  <c r="U15" i="167"/>
  <c r="E14" i="99"/>
  <c r="O65" i="117"/>
  <c r="O42" i="167" s="1"/>
  <c r="M42" i="167"/>
  <c r="T42" i="117"/>
  <c r="M101" i="167"/>
  <c r="O42" i="117"/>
  <c r="O101" i="167" s="1"/>
  <c r="O99" i="117"/>
  <c r="O77" i="167" s="1"/>
  <c r="M77" i="167"/>
  <c r="U96" i="117"/>
  <c r="T46" i="167"/>
  <c r="O54" i="117"/>
  <c r="O120" i="167" s="1"/>
  <c r="M120" i="167"/>
  <c r="T36" i="117"/>
  <c r="M100" i="167"/>
  <c r="O36" i="117"/>
  <c r="O100" i="167" s="1"/>
  <c r="O59" i="117"/>
  <c r="O39" i="167" s="1"/>
  <c r="M39" i="167"/>
  <c r="O49" i="117"/>
  <c r="O65" i="167" s="1"/>
  <c r="M65" i="167"/>
  <c r="T49" i="117"/>
  <c r="U11" i="117"/>
  <c r="T17" i="167"/>
  <c r="T40" i="117"/>
  <c r="M35" i="167"/>
  <c r="O40" i="117"/>
  <c r="O35" i="167" s="1"/>
  <c r="U112" i="117"/>
  <c r="T49" i="167"/>
  <c r="U50" i="117"/>
  <c r="U61" i="117"/>
  <c r="T41" i="167"/>
  <c r="O109" i="117"/>
  <c r="O84" i="167" s="1"/>
  <c r="M84" i="167"/>
  <c r="U102" i="117"/>
  <c r="T80" i="167"/>
  <c r="U37" i="117"/>
  <c r="T10" i="167"/>
  <c r="U43" i="117"/>
  <c r="T93" i="167"/>
  <c r="U55" i="117"/>
  <c r="T38" i="167"/>
  <c r="U22" i="117"/>
  <c r="T23" i="167"/>
  <c r="U81" i="117"/>
  <c r="T105" i="167"/>
  <c r="U47" i="117"/>
  <c r="T36" i="167"/>
  <c r="P118" i="117"/>
  <c r="T15" i="117"/>
  <c r="M118" i="167"/>
  <c r="O15" i="117"/>
  <c r="O118" i="167" s="1"/>
  <c r="T76" i="117"/>
  <c r="M73" i="167"/>
  <c r="O76" i="117"/>
  <c r="O73" i="167" s="1"/>
  <c r="O108" i="117"/>
  <c r="O47" i="167" s="1"/>
  <c r="M47" i="167"/>
  <c r="T108" i="117"/>
  <c r="T68" i="117"/>
  <c r="U106" i="117"/>
  <c r="T92" i="167"/>
  <c r="T72" i="117"/>
  <c r="O23" i="117"/>
  <c r="O24" i="167" s="1"/>
  <c r="M24" i="167"/>
  <c r="O98" i="117"/>
  <c r="O53" i="167" s="1"/>
  <c r="M53" i="167"/>
  <c r="T84" i="117"/>
  <c r="M116" i="167"/>
  <c r="O84" i="117"/>
  <c r="O116" i="167" s="1"/>
  <c r="O83" i="117"/>
  <c r="O107" i="167" s="1"/>
  <c r="M107" i="167"/>
  <c r="T34" i="117"/>
  <c r="O85" i="117"/>
  <c r="O109" i="167" s="1"/>
  <c r="O111" i="167" s="1"/>
  <c r="M13" i="97" s="1"/>
  <c r="M109" i="167"/>
  <c r="M111" i="167" s="1"/>
  <c r="U64" i="117"/>
  <c r="T90" i="167"/>
  <c r="M17" i="167"/>
  <c r="O11" i="117"/>
  <c r="O17" i="167" s="1"/>
  <c r="T111" i="117"/>
  <c r="O112" i="117"/>
  <c r="O49" i="167" s="1"/>
  <c r="M49" i="167"/>
  <c r="T39" i="117"/>
  <c r="M34" i="167"/>
  <c r="O39" i="117"/>
  <c r="O34" i="167" s="1"/>
  <c r="T32" i="117"/>
  <c r="M55" i="167"/>
  <c r="O32" i="117"/>
  <c r="O55" i="167" s="1"/>
  <c r="L123" i="167"/>
  <c r="P124" i="167" s="1"/>
  <c r="T85" i="117"/>
  <c r="U14" i="117"/>
  <c r="T20" i="167"/>
  <c r="U24" i="117"/>
  <c r="T25" i="167"/>
  <c r="U52" i="117"/>
  <c r="T67" i="167"/>
  <c r="T54" i="117"/>
  <c r="T79" i="117"/>
  <c r="U46" i="117"/>
  <c r="T114" i="167"/>
  <c r="U57" i="117"/>
  <c r="T12" i="167"/>
  <c r="U44" i="117"/>
  <c r="T94" i="167"/>
  <c r="U78" i="117"/>
  <c r="T97" i="167"/>
  <c r="U33" i="117"/>
  <c r="T63" i="167"/>
  <c r="U62" i="117"/>
  <c r="T68" i="167"/>
  <c r="U82" i="117"/>
  <c r="T106" i="167"/>
  <c r="U25" i="117"/>
  <c r="T26" i="167"/>
  <c r="T100" i="117"/>
  <c r="O75" i="117"/>
  <c r="O72" i="167" s="1"/>
  <c r="M72" i="167"/>
  <c r="O102" i="117"/>
  <c r="O80" i="167" s="1"/>
  <c r="M80" i="167"/>
  <c r="O106" i="117"/>
  <c r="O92" i="167" s="1"/>
  <c r="M92" i="167"/>
  <c r="T41" i="117"/>
  <c r="M64" i="167"/>
  <c r="O41" i="117"/>
  <c r="O64" i="167" s="1"/>
  <c r="O45" i="117"/>
  <c r="O119" i="167" s="1"/>
  <c r="M119" i="167"/>
  <c r="T45" i="117"/>
  <c r="O8" i="117"/>
  <c r="M16" i="167"/>
  <c r="T8" i="117"/>
  <c r="T69" i="117"/>
  <c r="M95" i="167"/>
  <c r="O69" i="117"/>
  <c r="O95" i="167" s="1"/>
  <c r="T30" i="117"/>
  <c r="M30" i="167"/>
  <c r="O30" i="117"/>
  <c r="O30" i="167" s="1"/>
  <c r="O80" i="117"/>
  <c r="O121" i="167" s="1"/>
  <c r="M121" i="167"/>
  <c r="T80" i="117"/>
  <c r="T65" i="117"/>
  <c r="O58" i="117"/>
  <c r="O13" i="167" s="1"/>
  <c r="O14" i="167" s="1"/>
  <c r="M13" i="167"/>
  <c r="M14" i="167" s="1"/>
  <c r="O114" i="117"/>
  <c r="O86" i="167" s="1"/>
  <c r="M86" i="167"/>
  <c r="U35" i="117"/>
  <c r="T32" i="167"/>
  <c r="T73" i="117"/>
  <c r="M104" i="167"/>
  <c r="O73" i="117"/>
  <c r="O104" i="167" s="1"/>
  <c r="T71" i="117"/>
  <c r="M45" i="167"/>
  <c r="O71" i="117"/>
  <c r="O45" i="167" s="1"/>
  <c r="O35" i="117"/>
  <c r="O32" i="167" s="1"/>
  <c r="M32" i="167"/>
  <c r="O64" i="117"/>
  <c r="O90" i="167" s="1"/>
  <c r="M90" i="167"/>
  <c r="V48" i="117"/>
  <c r="V11" i="167" s="1"/>
  <c r="U11" i="167"/>
  <c r="AN12" i="139"/>
  <c r="AZ12" i="139" s="1"/>
  <c r="W61" i="139"/>
  <c r="AN71" i="139"/>
  <c r="AZ71" i="139" s="1"/>
  <c r="I23" i="40"/>
  <c r="I24" i="40" s="1"/>
  <c r="AF117" i="145"/>
  <c r="AM117" i="145"/>
  <c r="AN65" i="140"/>
  <c r="AY65" i="140" s="1"/>
  <c r="AN96" i="140"/>
  <c r="BB96" i="140" s="1"/>
  <c r="AN61" i="140"/>
  <c r="AY61" i="140" s="1"/>
  <c r="V77" i="140"/>
  <c r="V66" i="140"/>
  <c r="V41" i="141"/>
  <c r="O102" i="141"/>
  <c r="V102" i="140"/>
  <c r="AN20" i="140"/>
  <c r="AY20" i="140" s="1"/>
  <c r="V20" i="140"/>
  <c r="AN45" i="140"/>
  <c r="AY45" i="140" s="1"/>
  <c r="V27" i="140"/>
  <c r="V48" i="140"/>
  <c r="AN100" i="140"/>
  <c r="BB100" i="140" s="1"/>
  <c r="AN53" i="140"/>
  <c r="AY53" i="140" s="1"/>
  <c r="AN38" i="140"/>
  <c r="AY38" i="140" s="1"/>
  <c r="V43" i="140"/>
  <c r="AN36" i="141"/>
  <c r="AY36" i="141" s="1"/>
  <c r="AN91" i="141"/>
  <c r="AY91" i="141" s="1"/>
  <c r="M102" i="141"/>
  <c r="AN96" i="141"/>
  <c r="AY96" i="141" s="1"/>
  <c r="V96" i="141"/>
  <c r="J27" i="97"/>
  <c r="J22" i="97"/>
  <c r="K108" i="162"/>
  <c r="L109" i="162" s="1"/>
  <c r="P107" i="162"/>
  <c r="P20" i="151"/>
  <c r="P21" i="151" s="1"/>
  <c r="P50" i="162"/>
  <c r="P109" i="162"/>
  <c r="W56" i="157"/>
  <c r="U80" i="116"/>
  <c r="T41" i="162"/>
  <c r="U41" i="116"/>
  <c r="T18" i="162"/>
  <c r="U7" i="116"/>
  <c r="T97" i="162"/>
  <c r="U72" i="116"/>
  <c r="T39" i="162"/>
  <c r="U19" i="116"/>
  <c r="T58" i="162"/>
  <c r="U21" i="116"/>
  <c r="T59" i="162"/>
  <c r="J7" i="12"/>
  <c r="J19" i="12" s="1"/>
  <c r="P105" i="116"/>
  <c r="O35" i="116"/>
  <c r="O16" i="162" s="1"/>
  <c r="M16" i="162"/>
  <c r="T49" i="116"/>
  <c r="M69" i="162"/>
  <c r="O49" i="116"/>
  <c r="O69" i="162" s="1"/>
  <c r="O63" i="116"/>
  <c r="O74" i="162" s="1"/>
  <c r="M74" i="162"/>
  <c r="T63" i="116"/>
  <c r="T57" i="116"/>
  <c r="M29" i="162"/>
  <c r="O57" i="116"/>
  <c r="O29" i="162" s="1"/>
  <c r="O56" i="116"/>
  <c r="O28" i="162" s="1"/>
  <c r="M28" i="162"/>
  <c r="T56" i="116"/>
  <c r="U27" i="116"/>
  <c r="T11" i="162"/>
  <c r="T45" i="116"/>
  <c r="M21" i="162"/>
  <c r="O45" i="116"/>
  <c r="O21" i="162" s="1"/>
  <c r="O27" i="116"/>
  <c r="O11" i="162" s="1"/>
  <c r="M11" i="162"/>
  <c r="T61" i="116"/>
  <c r="M33" i="162"/>
  <c r="O61" i="116"/>
  <c r="O33" i="162" s="1"/>
  <c r="T60" i="116"/>
  <c r="M32" i="162"/>
  <c r="O60" i="116"/>
  <c r="O32" i="162" s="1"/>
  <c r="T69" i="116"/>
  <c r="M76" i="162"/>
  <c r="O69" i="116"/>
  <c r="O76" i="162" s="1"/>
  <c r="T51" i="116"/>
  <c r="M71" i="162"/>
  <c r="O51" i="116"/>
  <c r="O71" i="162" s="1"/>
  <c r="U52" i="116"/>
  <c r="T72" i="162"/>
  <c r="O52" i="116"/>
  <c r="O72" i="162" s="1"/>
  <c r="M72" i="162"/>
  <c r="U65" i="116"/>
  <c r="T75" i="162"/>
  <c r="U82" i="116"/>
  <c r="T82" i="162"/>
  <c r="O44" i="116"/>
  <c r="O68" i="162" s="1"/>
  <c r="M68" i="162"/>
  <c r="U55" i="116"/>
  <c r="T27" i="162"/>
  <c r="U11" i="116"/>
  <c r="T96" i="162"/>
  <c r="O30" i="116"/>
  <c r="O63" i="162" s="1"/>
  <c r="M63" i="162"/>
  <c r="T30" i="116"/>
  <c r="O9" i="116"/>
  <c r="O52" i="162" s="1"/>
  <c r="M52" i="162"/>
  <c r="T9" i="116"/>
  <c r="T42" i="116"/>
  <c r="M19" i="162"/>
  <c r="O42" i="116"/>
  <c r="O19" i="162" s="1"/>
  <c r="U58" i="116"/>
  <c r="T30" i="162"/>
  <c r="U13" i="116"/>
  <c r="T54" i="162"/>
  <c r="U10" i="116"/>
  <c r="T53" i="162"/>
  <c r="U54" i="116"/>
  <c r="T26" i="162"/>
  <c r="U15" i="116"/>
  <c r="T56" i="162"/>
  <c r="U64" i="116"/>
  <c r="T34" i="162"/>
  <c r="U33" i="116"/>
  <c r="T15" i="162"/>
  <c r="U18" i="116"/>
  <c r="T9" i="162"/>
  <c r="U78" i="116"/>
  <c r="T80" i="162"/>
  <c r="U71" i="116"/>
  <c r="T95" i="162"/>
  <c r="U37" i="116"/>
  <c r="T17" i="162"/>
  <c r="U12" i="116"/>
  <c r="T7" i="162"/>
  <c r="U36" i="116"/>
  <c r="T99" i="162"/>
  <c r="U62" i="116"/>
  <c r="T73" i="162"/>
  <c r="U50" i="116"/>
  <c r="T70" i="162"/>
  <c r="T79" i="116"/>
  <c r="M81" i="162"/>
  <c r="O79" i="116"/>
  <c r="O81" i="162" s="1"/>
  <c r="O74" i="116"/>
  <c r="O106" i="162" s="1"/>
  <c r="M106" i="162"/>
  <c r="T74" i="116"/>
  <c r="O14" i="116"/>
  <c r="O55" i="162" s="1"/>
  <c r="M55" i="162"/>
  <c r="T14" i="116"/>
  <c r="O70" i="116"/>
  <c r="O38" i="162" s="1"/>
  <c r="M38" i="162"/>
  <c r="O25" i="116"/>
  <c r="O62" i="162" s="1"/>
  <c r="M62" i="162"/>
  <c r="T25" i="116"/>
  <c r="O26" i="116"/>
  <c r="O10" i="162" s="1"/>
  <c r="M10" i="162"/>
  <c r="U47" i="116"/>
  <c r="T23" i="162"/>
  <c r="U68" i="116"/>
  <c r="T37" i="162"/>
  <c r="T48" i="116"/>
  <c r="M24" i="162"/>
  <c r="O48" i="116"/>
  <c r="O24" i="162" s="1"/>
  <c r="O66" i="116"/>
  <c r="O35" i="162" s="1"/>
  <c r="M35" i="162"/>
  <c r="T66" i="116"/>
  <c r="T38" i="116"/>
  <c r="M65" i="162"/>
  <c r="O38" i="116"/>
  <c r="O65" i="162" s="1"/>
  <c r="U20" i="116"/>
  <c r="T98" i="162"/>
  <c r="U73" i="116"/>
  <c r="T40" i="162"/>
  <c r="T35" i="116"/>
  <c r="T43" i="116"/>
  <c r="M20" i="162"/>
  <c r="O43" i="116"/>
  <c r="O20" i="162" s="1"/>
  <c r="U70" i="116"/>
  <c r="T38" i="162"/>
  <c r="O17" i="116"/>
  <c r="O57" i="162" s="1"/>
  <c r="M57" i="162"/>
  <c r="T17" i="116"/>
  <c r="O59" i="116"/>
  <c r="O31" i="162" s="1"/>
  <c r="M31" i="162"/>
  <c r="T59" i="116"/>
  <c r="U31" i="116"/>
  <c r="T14" i="162"/>
  <c r="O80" i="116"/>
  <c r="O41" i="162" s="1"/>
  <c r="M41" i="162"/>
  <c r="U26" i="116"/>
  <c r="T10" i="162"/>
  <c r="U32" i="116"/>
  <c r="T64" i="162"/>
  <c r="V29" i="116"/>
  <c r="V13" i="162" s="1"/>
  <c r="U13" i="162"/>
  <c r="V34" i="116"/>
  <c r="V103" i="162" s="1"/>
  <c r="V104" i="162" s="1"/>
  <c r="U103" i="162"/>
  <c r="U104" i="162" s="1"/>
  <c r="O46" i="116"/>
  <c r="O22" i="162" s="1"/>
  <c r="M22" i="162"/>
  <c r="T46" i="116"/>
  <c r="O67" i="116"/>
  <c r="O36" i="162" s="1"/>
  <c r="M36" i="162"/>
  <c r="T67" i="116"/>
  <c r="O81" i="116"/>
  <c r="O42" i="162" s="1"/>
  <c r="M42" i="162"/>
  <c r="T81" i="116"/>
  <c r="O53" i="116"/>
  <c r="O25" i="162" s="1"/>
  <c r="M25" i="162"/>
  <c r="T53" i="116"/>
  <c r="O24" i="116"/>
  <c r="O61" i="162" s="1"/>
  <c r="M61" i="162"/>
  <c r="T24" i="116"/>
  <c r="T8" i="116"/>
  <c r="M51" i="162"/>
  <c r="O8" i="116"/>
  <c r="O51" i="162" s="1"/>
  <c r="P77" i="162"/>
  <c r="M75" i="116"/>
  <c r="O39" i="116"/>
  <c r="O66" i="162" s="1"/>
  <c r="M66" i="162"/>
  <c r="T39" i="116"/>
  <c r="U77" i="116"/>
  <c r="T79" i="162"/>
  <c r="O54" i="116"/>
  <c r="O26" i="162" s="1"/>
  <c r="M26" i="162"/>
  <c r="U23" i="116"/>
  <c r="T105" i="162"/>
  <c r="P104" i="116"/>
  <c r="N7" i="12" s="1"/>
  <c r="O6" i="116"/>
  <c r="O6" i="162" s="1"/>
  <c r="M6" i="162"/>
  <c r="T6" i="116"/>
  <c r="O58" i="116"/>
  <c r="O30" i="162" s="1"/>
  <c r="M30" i="162"/>
  <c r="T76" i="116"/>
  <c r="M78" i="162"/>
  <c r="O76" i="116"/>
  <c r="O78" i="162" s="1"/>
  <c r="O13" i="116"/>
  <c r="O54" i="162" s="1"/>
  <c r="M54" i="162"/>
  <c r="O77" i="116"/>
  <c r="O79" i="162" s="1"/>
  <c r="M79" i="162"/>
  <c r="T16" i="116"/>
  <c r="M8" i="162"/>
  <c r="O16" i="116"/>
  <c r="O8" i="162" s="1"/>
  <c r="O23" i="116"/>
  <c r="O105" i="162" s="1"/>
  <c r="M105" i="162"/>
  <c r="M107" i="162" s="1"/>
  <c r="O65" i="116"/>
  <c r="O75" i="162" s="1"/>
  <c r="M75" i="162"/>
  <c r="T22" i="116"/>
  <c r="M60" i="162"/>
  <c r="O22" i="116"/>
  <c r="O60" i="162" s="1"/>
  <c r="O31" i="116"/>
  <c r="O14" i="162" s="1"/>
  <c r="M14" i="162"/>
  <c r="V40" i="116"/>
  <c r="V67" i="162" s="1"/>
  <c r="U67" i="162"/>
  <c r="O10" i="129"/>
  <c r="O12" i="129" s="1"/>
  <c r="M12" i="129"/>
  <c r="U10" i="129"/>
  <c r="T12" i="129"/>
  <c r="AM9" i="129"/>
  <c r="AN13" i="130"/>
  <c r="AY13" i="130" s="1"/>
  <c r="V13" i="130"/>
  <c r="M26" i="130"/>
  <c r="O9" i="130"/>
  <c r="O26" i="130" s="1"/>
  <c r="V19" i="130"/>
  <c r="AN19" i="130"/>
  <c r="AY19" i="130" s="1"/>
  <c r="AN24" i="130"/>
  <c r="AY24" i="130" s="1"/>
  <c r="V24" i="130"/>
  <c r="T9" i="130"/>
  <c r="AN20" i="130"/>
  <c r="AY20" i="130" s="1"/>
  <c r="V20" i="130"/>
  <c r="V12" i="130"/>
  <c r="AN12" i="130"/>
  <c r="AY12" i="130" s="1"/>
  <c r="AN16" i="130"/>
  <c r="AY16" i="130" s="1"/>
  <c r="V16" i="130"/>
  <c r="V23" i="130"/>
  <c r="AN23" i="130"/>
  <c r="AY23" i="130" s="1"/>
  <c r="AN13" i="131"/>
  <c r="AZ13" i="131" s="1"/>
  <c r="V13" i="131"/>
  <c r="T17" i="131"/>
  <c r="U9" i="131"/>
  <c r="AN11" i="131"/>
  <c r="AZ11" i="131" s="1"/>
  <c r="V11" i="131"/>
  <c r="M22" i="132"/>
  <c r="O9" i="132"/>
  <c r="O22" i="132" s="1"/>
  <c r="AY20" i="132"/>
  <c r="AY22" i="132" s="1"/>
  <c r="AN22" i="132"/>
  <c r="T22" i="132"/>
  <c r="M21" i="133"/>
  <c r="W19" i="133"/>
  <c r="AN19" i="133"/>
  <c r="AZ19" i="133" s="1"/>
  <c r="W17" i="133"/>
  <c r="AN17" i="133"/>
  <c r="AZ17" i="133" s="1"/>
  <c r="U21" i="133"/>
  <c r="AK23" i="133" s="1"/>
  <c r="W9" i="133"/>
  <c r="AN9" i="133"/>
  <c r="W15" i="133"/>
  <c r="AN15" i="133"/>
  <c r="AZ15" i="133" s="1"/>
  <c r="T16" i="133"/>
  <c r="U16" i="133" s="1"/>
  <c r="W26" i="134"/>
  <c r="AN26" i="134"/>
  <c r="AZ26" i="134" s="1"/>
  <c r="W15" i="134"/>
  <c r="AN15" i="134"/>
  <c r="AZ15" i="134" s="1"/>
  <c r="AN12" i="134"/>
  <c r="AZ12" i="134" s="1"/>
  <c r="W12" i="134"/>
  <c r="W11" i="134"/>
  <c r="AN11" i="134"/>
  <c r="AZ11" i="134" s="1"/>
  <c r="AN9" i="134"/>
  <c r="U42" i="134"/>
  <c r="W9" i="134"/>
  <c r="AN35" i="134"/>
  <c r="AZ35" i="134" s="1"/>
  <c r="Z35" i="134"/>
  <c r="Z39" i="134"/>
  <c r="AN39" i="134"/>
  <c r="AZ39" i="134" s="1"/>
  <c r="AN17" i="134"/>
  <c r="AZ17" i="134" s="1"/>
  <c r="W17" i="134"/>
  <c r="T42" i="134"/>
  <c r="W16" i="134"/>
  <c r="AN16" i="134"/>
  <c r="AZ16" i="134" s="1"/>
  <c r="AN33" i="134"/>
  <c r="AZ33" i="134" s="1"/>
  <c r="W33" i="134"/>
  <c r="W18" i="134"/>
  <c r="AN18" i="134"/>
  <c r="AZ18" i="134" s="1"/>
  <c r="M39" i="135"/>
  <c r="O9" i="135"/>
  <c r="O39" i="135" s="1"/>
  <c r="AN10" i="135"/>
  <c r="AY10" i="135" s="1"/>
  <c r="V10" i="135"/>
  <c r="T9" i="135"/>
  <c r="AN18" i="136"/>
  <c r="AZ17" i="136" s="1"/>
  <c r="W18" i="136"/>
  <c r="O21" i="136"/>
  <c r="AN14" i="136"/>
  <c r="AZ13" i="136" s="1"/>
  <c r="W14" i="136"/>
  <c r="W13" i="136"/>
  <c r="AN13" i="136"/>
  <c r="AZ12" i="136" s="1"/>
  <c r="W9" i="136"/>
  <c r="T11" i="136"/>
  <c r="M21" i="136"/>
  <c r="AN12" i="137"/>
  <c r="AZ12" i="137" s="1"/>
  <c r="W12" i="137"/>
  <c r="M28" i="137"/>
  <c r="O9" i="137"/>
  <c r="O28" i="137" s="1"/>
  <c r="W22" i="137"/>
  <c r="AN22" i="137"/>
  <c r="AZ22" i="137" s="1"/>
  <c r="T9" i="137"/>
  <c r="AN23" i="137"/>
  <c r="AZ23" i="137" s="1"/>
  <c r="W23" i="137"/>
  <c r="W21" i="139"/>
  <c r="AN21" i="139"/>
  <c r="AZ21" i="139" s="1"/>
  <c r="W30" i="139"/>
  <c r="AN30" i="139"/>
  <c r="AZ30" i="139" s="1"/>
  <c r="W48" i="139"/>
  <c r="AN48" i="139"/>
  <c r="AZ48" i="139" s="1"/>
  <c r="W40" i="139"/>
  <c r="AN40" i="139"/>
  <c r="AZ40" i="139" s="1"/>
  <c r="AN15" i="139"/>
  <c r="AZ15" i="139" s="1"/>
  <c r="W15" i="139"/>
  <c r="W13" i="139"/>
  <c r="AN13" i="139"/>
  <c r="AZ13" i="139" s="1"/>
  <c r="AN26" i="139"/>
  <c r="AZ26" i="139" s="1"/>
  <c r="W26" i="139"/>
  <c r="W36" i="139"/>
  <c r="AN36" i="139"/>
  <c r="AZ36" i="139" s="1"/>
  <c r="AN45" i="139"/>
  <c r="AZ45" i="139" s="1"/>
  <c r="W45" i="139"/>
  <c r="W53" i="139"/>
  <c r="AB53" i="139" s="1"/>
  <c r="W18" i="139"/>
  <c r="AN18" i="139"/>
  <c r="AZ18" i="139" s="1"/>
  <c r="AZ7" i="139"/>
  <c r="AN19" i="139"/>
  <c r="AZ19" i="139" s="1"/>
  <c r="W19" i="139"/>
  <c r="AN31" i="139"/>
  <c r="AZ31" i="139" s="1"/>
  <c r="W31" i="139"/>
  <c r="U8" i="139"/>
  <c r="T78" i="139"/>
  <c r="AN56" i="139"/>
  <c r="AZ56" i="139" s="1"/>
  <c r="W56" i="139"/>
  <c r="V62" i="140"/>
  <c r="AN62" i="140"/>
  <c r="AY62" i="140" s="1"/>
  <c r="V31" i="140"/>
  <c r="AN31" i="140"/>
  <c r="AY31" i="140" s="1"/>
  <c r="P116" i="140"/>
  <c r="V113" i="140"/>
  <c r="AN113" i="140"/>
  <c r="BB113" i="140" s="1"/>
  <c r="AN71" i="140"/>
  <c r="AY71" i="140" s="1"/>
  <c r="V71" i="140"/>
  <c r="V106" i="140"/>
  <c r="AN106" i="140"/>
  <c r="BB106" i="140" s="1"/>
  <c r="AN8" i="140"/>
  <c r="AY8" i="140" s="1"/>
  <c r="V8" i="140"/>
  <c r="V99" i="140"/>
  <c r="AN99" i="140"/>
  <c r="BB99" i="140" s="1"/>
  <c r="V112" i="140"/>
  <c r="AN112" i="140"/>
  <c r="BB112" i="140" s="1"/>
  <c r="V111" i="140"/>
  <c r="AN111" i="140"/>
  <c r="BB111" i="140" s="1"/>
  <c r="M93" i="140"/>
  <c r="O5" i="140"/>
  <c r="O93" i="140" s="1"/>
  <c r="M115" i="140"/>
  <c r="O95" i="140"/>
  <c r="O115" i="140" s="1"/>
  <c r="AN63" i="140"/>
  <c r="AY63" i="140" s="1"/>
  <c r="V63" i="140"/>
  <c r="AN104" i="140"/>
  <c r="BB104" i="140" s="1"/>
  <c r="V104" i="140"/>
  <c r="V80" i="140"/>
  <c r="AN80" i="140"/>
  <c r="AY80" i="140" s="1"/>
  <c r="AN105" i="140"/>
  <c r="BB105" i="140" s="1"/>
  <c r="V105" i="140"/>
  <c r="V108" i="140"/>
  <c r="AN108" i="140"/>
  <c r="BB108" i="140" s="1"/>
  <c r="V34" i="140"/>
  <c r="AN34" i="140"/>
  <c r="AY34" i="140" s="1"/>
  <c r="T93" i="140"/>
  <c r="U5" i="140"/>
  <c r="AN36" i="140"/>
  <c r="AY36" i="140" s="1"/>
  <c r="V36" i="140"/>
  <c r="V44" i="140"/>
  <c r="AN44" i="140"/>
  <c r="AY44" i="140" s="1"/>
  <c r="V70" i="140"/>
  <c r="AN70" i="140"/>
  <c r="AY70" i="140" s="1"/>
  <c r="T115" i="140"/>
  <c r="U95" i="140"/>
  <c r="V25" i="140"/>
  <c r="AN25" i="140"/>
  <c r="AY25" i="140" s="1"/>
  <c r="V15" i="140"/>
  <c r="AN15" i="140"/>
  <c r="AY15" i="140" s="1"/>
  <c r="V74" i="140"/>
  <c r="AN74" i="140"/>
  <c r="AY74" i="140" s="1"/>
  <c r="V24" i="140"/>
  <c r="AN24" i="140"/>
  <c r="AY24" i="140" s="1"/>
  <c r="V68" i="141"/>
  <c r="AN68" i="141"/>
  <c r="AY68" i="141" s="1"/>
  <c r="V83" i="141"/>
  <c r="AN83" i="141"/>
  <c r="AY83" i="141" s="1"/>
  <c r="V76" i="141"/>
  <c r="AN76" i="141"/>
  <c r="AY76" i="141" s="1"/>
  <c r="V94" i="141"/>
  <c r="AN94" i="141"/>
  <c r="AY94" i="141" s="1"/>
  <c r="AN82" i="141"/>
  <c r="AY82" i="141" s="1"/>
  <c r="V82" i="141"/>
  <c r="U12" i="141"/>
  <c r="T60" i="141"/>
  <c r="V98" i="141"/>
  <c r="AN98" i="141"/>
  <c r="AY98" i="141" s="1"/>
  <c r="U84" i="141"/>
  <c r="V62" i="141"/>
  <c r="AN62" i="141"/>
  <c r="T101" i="141"/>
  <c r="U86" i="141"/>
  <c r="T84" i="141"/>
  <c r="V92" i="141"/>
  <c r="AN92" i="141"/>
  <c r="AY92" i="141" s="1"/>
  <c r="V33" i="141"/>
  <c r="AN33" i="141"/>
  <c r="AY33" i="141" s="1"/>
  <c r="AN19" i="141"/>
  <c r="AY19" i="141" s="1"/>
  <c r="V19" i="141"/>
  <c r="AN15" i="141"/>
  <c r="AY15" i="141" s="1"/>
  <c r="V15" i="141"/>
  <c r="V95" i="141"/>
  <c r="AN95" i="141"/>
  <c r="AY95" i="141" s="1"/>
  <c r="AN13" i="128"/>
  <c r="AY13" i="128" s="1"/>
  <c r="V13" i="128"/>
  <c r="O15" i="128"/>
  <c r="T8" i="128"/>
  <c r="M15" i="128"/>
  <c r="AN7" i="128"/>
  <c r="V7" i="128"/>
  <c r="U7" i="127"/>
  <c r="T8" i="148"/>
  <c r="U10" i="127"/>
  <c r="T15" i="148"/>
  <c r="O11" i="127"/>
  <c r="O6" i="148" s="1"/>
  <c r="O7" i="148" s="1"/>
  <c r="M6" i="148"/>
  <c r="M7" i="148" s="1"/>
  <c r="U9" i="127"/>
  <c r="T14" i="148"/>
  <c r="T11" i="127"/>
  <c r="T8" i="127"/>
  <c r="M9" i="148"/>
  <c r="O8" i="127"/>
  <c r="O9" i="148" s="1"/>
  <c r="M16" i="127"/>
  <c r="K18" i="12" s="1"/>
  <c r="O12" i="127"/>
  <c r="O19" i="148" s="1"/>
  <c r="O20" i="148" s="1"/>
  <c r="M19" i="97" s="1"/>
  <c r="M19" i="148"/>
  <c r="M20" i="148" s="1"/>
  <c r="K19" i="97" s="1"/>
  <c r="T12" i="127"/>
  <c r="O13" i="127"/>
  <c r="O10" i="148" s="1"/>
  <c r="M10" i="148"/>
  <c r="T13" i="127"/>
  <c r="O7" i="127"/>
  <c r="O8" i="148" s="1"/>
  <c r="M8" i="148"/>
  <c r="U7" i="126"/>
  <c r="T7" i="149"/>
  <c r="U8" i="126"/>
  <c r="T8" i="149"/>
  <c r="U17" i="126"/>
  <c r="T17" i="149"/>
  <c r="T13" i="126"/>
  <c r="M13" i="149"/>
  <c r="O13" i="126"/>
  <c r="O13" i="149" s="1"/>
  <c r="O11" i="126"/>
  <c r="O11" i="149" s="1"/>
  <c r="M11" i="149"/>
  <c r="V15" i="126"/>
  <c r="V15" i="149" s="1"/>
  <c r="U15" i="149"/>
  <c r="U21" i="126"/>
  <c r="T21" i="149"/>
  <c r="M22" i="149"/>
  <c r="O22" i="126"/>
  <c r="O22" i="149" s="1"/>
  <c r="M16" i="149"/>
  <c r="O16" i="126"/>
  <c r="O7" i="126"/>
  <c r="O7" i="149" s="1"/>
  <c r="M7" i="149"/>
  <c r="U11" i="126"/>
  <c r="T11" i="149"/>
  <c r="V10" i="126"/>
  <c r="V10" i="149" s="1"/>
  <c r="U10" i="149"/>
  <c r="U6" i="126"/>
  <c r="T6" i="149"/>
  <c r="T22" i="126"/>
  <c r="M12" i="149"/>
  <c r="O12" i="126"/>
  <c r="O12" i="149" s="1"/>
  <c r="U20" i="126"/>
  <c r="T20" i="149"/>
  <c r="M8" i="149"/>
  <c r="M23" i="149" s="1"/>
  <c r="O8" i="126"/>
  <c r="O8" i="149" s="1"/>
  <c r="U18" i="126"/>
  <c r="T18" i="149"/>
  <c r="M23" i="126"/>
  <c r="K17" i="12" s="1"/>
  <c r="U9" i="126"/>
  <c r="T9" i="149"/>
  <c r="V19" i="126"/>
  <c r="V19" i="149" s="1"/>
  <c r="U19" i="149"/>
  <c r="T12" i="126"/>
  <c r="T16" i="126"/>
  <c r="P23" i="149"/>
  <c r="U14" i="126"/>
  <c r="T14" i="149"/>
  <c r="O14" i="125"/>
  <c r="M16" i="12" s="1"/>
  <c r="O10" i="150"/>
  <c r="O14" i="150" s="1"/>
  <c r="O18" i="150" s="1"/>
  <c r="U9" i="125"/>
  <c r="T11" i="150"/>
  <c r="T14" i="150" s="1"/>
  <c r="T6" i="150"/>
  <c r="T7" i="150" s="1"/>
  <c r="U7" i="125"/>
  <c r="U8" i="125"/>
  <c r="T15" i="150"/>
  <c r="T17" i="150" s="1"/>
  <c r="U6" i="125"/>
  <c r="U10" i="150" s="1"/>
  <c r="P18" i="150"/>
  <c r="U12" i="146"/>
  <c r="T8" i="151"/>
  <c r="U16" i="146"/>
  <c r="T18" i="151"/>
  <c r="O9" i="146"/>
  <c r="O14" i="151" s="1"/>
  <c r="M14" i="151"/>
  <c r="U17" i="146"/>
  <c r="T19" i="151"/>
  <c r="T9" i="146"/>
  <c r="M7" i="151"/>
  <c r="T7" i="146"/>
  <c r="O7" i="146"/>
  <c r="O7" i="151" s="1"/>
  <c r="T10" i="146"/>
  <c r="M16" i="151"/>
  <c r="O10" i="146"/>
  <c r="O16" i="151" s="1"/>
  <c r="U15" i="146"/>
  <c r="T11" i="151"/>
  <c r="V18" i="146"/>
  <c r="V17" i="151" s="1"/>
  <c r="U17" i="151"/>
  <c r="M19" i="146"/>
  <c r="K15" i="12" s="1"/>
  <c r="O15" i="146"/>
  <c r="O11" i="151" s="1"/>
  <c r="M11" i="151"/>
  <c r="V13" i="146"/>
  <c r="V9" i="151" s="1"/>
  <c r="U9" i="151"/>
  <c r="U14" i="146"/>
  <c r="T10" i="151"/>
  <c r="U11" i="146"/>
  <c r="T15" i="151"/>
  <c r="O8" i="146"/>
  <c r="O13" i="151" s="1"/>
  <c r="O20" i="151" s="1"/>
  <c r="M13" i="151"/>
  <c r="M20" i="151" s="1"/>
  <c r="T8" i="146"/>
  <c r="O6" i="146"/>
  <c r="M6" i="151"/>
  <c r="T6" i="146"/>
  <c r="O16" i="127"/>
  <c r="M18" i="12" s="1"/>
  <c r="O17" i="148"/>
  <c r="T11" i="120"/>
  <c r="N10" i="12"/>
  <c r="O7" i="120"/>
  <c r="O7" i="156" s="1"/>
  <c r="M7" i="156"/>
  <c r="M11" i="156" s="1"/>
  <c r="O11" i="120"/>
  <c r="M10" i="12" s="1"/>
  <c r="O6" i="156"/>
  <c r="U7" i="120"/>
  <c r="T7" i="156"/>
  <c r="T11" i="156" s="1"/>
  <c r="Y7" i="12"/>
  <c r="Y19" i="12" s="1"/>
  <c r="T19" i="146"/>
  <c r="T16" i="127"/>
  <c r="U6" i="127"/>
  <c r="U17" i="148" s="1"/>
  <c r="W6" i="125"/>
  <c r="W10" i="150" s="1"/>
  <c r="W14" i="150" s="1"/>
  <c r="U14" i="125"/>
  <c r="T14" i="125"/>
  <c r="O6" i="124"/>
  <c r="M25" i="124"/>
  <c r="K14" i="12" s="1"/>
  <c r="N14" i="12"/>
  <c r="T6" i="124"/>
  <c r="X24" i="97"/>
  <c r="S24" i="97" s="1"/>
  <c r="M16" i="122"/>
  <c r="K12" i="12" s="1"/>
  <c r="O6" i="122"/>
  <c r="T6" i="122"/>
  <c r="U11" i="120"/>
  <c r="S10" i="12" s="1"/>
  <c r="W6" i="120"/>
  <c r="V70" i="119"/>
  <c r="E12" i="69" s="1"/>
  <c r="M115" i="117"/>
  <c r="T44" i="116"/>
  <c r="M104" i="116"/>
  <c r="K7" i="12" s="1"/>
  <c r="T70" i="119"/>
  <c r="U29" i="119"/>
  <c r="U30" i="123"/>
  <c r="U53" i="153" s="1"/>
  <c r="U28" i="116"/>
  <c r="U12" i="162" s="1"/>
  <c r="K13" i="12"/>
  <c r="N9" i="12"/>
  <c r="M70" i="119"/>
  <c r="O29" i="119"/>
  <c r="O70" i="119" s="1"/>
  <c r="U101" i="117"/>
  <c r="U79" i="167" s="1"/>
  <c r="T109" i="117"/>
  <c r="F13" i="100"/>
  <c r="J12" i="100" s="1"/>
  <c r="U13" i="117"/>
  <c r="U19" i="167" s="1"/>
  <c r="Y113" i="117"/>
  <c r="S24" i="12"/>
  <c r="X25" i="12"/>
  <c r="U32" i="123" l="1"/>
  <c r="T10" i="153"/>
  <c r="U35" i="123"/>
  <c r="T54" i="153"/>
  <c r="U8" i="123"/>
  <c r="T12" i="153"/>
  <c r="M31" i="153"/>
  <c r="U9" i="123"/>
  <c r="T13" i="153"/>
  <c r="O56" i="153"/>
  <c r="W26" i="123"/>
  <c r="W46" i="153" s="1"/>
  <c r="U46" i="153"/>
  <c r="O31" i="153"/>
  <c r="U44" i="123"/>
  <c r="T28" i="153"/>
  <c r="U38" i="123"/>
  <c r="T55" i="153"/>
  <c r="V14" i="123"/>
  <c r="V15" i="153" s="1"/>
  <c r="U15" i="153"/>
  <c r="W7" i="123"/>
  <c r="W32" i="153" s="1"/>
  <c r="W33" i="153" s="1"/>
  <c r="U9" i="97" s="1"/>
  <c r="U32" i="153"/>
  <c r="U33" i="153" s="1"/>
  <c r="S9" i="97" s="1"/>
  <c r="F14" i="61" s="1"/>
  <c r="O49" i="123"/>
  <c r="M13" i="12" s="1"/>
  <c r="W33" i="123"/>
  <c r="W24" i="153" s="1"/>
  <c r="U24" i="153"/>
  <c r="M10" i="97"/>
  <c r="U13" i="123"/>
  <c r="U48" i="153" s="1"/>
  <c r="S17" i="97" s="1"/>
  <c r="F13" i="61" s="1"/>
  <c r="T48" i="153"/>
  <c r="R17" i="97" s="1"/>
  <c r="M56" i="153"/>
  <c r="U12" i="123"/>
  <c r="T47" i="153"/>
  <c r="W24" i="123"/>
  <c r="W21" i="153" s="1"/>
  <c r="U21" i="153"/>
  <c r="N15" i="97"/>
  <c r="P57" i="153"/>
  <c r="U17" i="123"/>
  <c r="T18" i="153"/>
  <c r="U23" i="123"/>
  <c r="T50" i="153"/>
  <c r="W19" i="123"/>
  <c r="W43" i="153" s="1"/>
  <c r="W44" i="153" s="1"/>
  <c r="U16" i="97" s="1"/>
  <c r="U43" i="153"/>
  <c r="U44" i="153" s="1"/>
  <c r="S16" i="97" s="1"/>
  <c r="F19" i="61" s="1"/>
  <c r="W11" i="123"/>
  <c r="W36" i="153" s="1"/>
  <c r="U36" i="153"/>
  <c r="U31" i="123"/>
  <c r="T23" i="153"/>
  <c r="K10" i="97"/>
  <c r="W41" i="123"/>
  <c r="W41" i="153" s="1"/>
  <c r="W42" i="153" s="1"/>
  <c r="U12" i="97" s="1"/>
  <c r="U41" i="153"/>
  <c r="U42" i="153" s="1"/>
  <c r="V16" i="123"/>
  <c r="V17" i="153" s="1"/>
  <c r="U17" i="153"/>
  <c r="U20" i="123"/>
  <c r="T19" i="153"/>
  <c r="W22" i="123"/>
  <c r="W49" i="153" s="1"/>
  <c r="U49" i="153"/>
  <c r="W27" i="123"/>
  <c r="W6" i="153" s="1"/>
  <c r="W7" i="153" s="1"/>
  <c r="U6" i="153"/>
  <c r="U7" i="153" s="1"/>
  <c r="T49" i="123"/>
  <c r="U10" i="123"/>
  <c r="T14" i="153"/>
  <c r="U25" i="123"/>
  <c r="T22" i="153"/>
  <c r="U18" i="123"/>
  <c r="T45" i="153"/>
  <c r="V43" i="123"/>
  <c r="V27" i="153" s="1"/>
  <c r="U27" i="153"/>
  <c r="W28" i="123"/>
  <c r="W51" i="153" s="1"/>
  <c r="U51" i="153"/>
  <c r="W29" i="123"/>
  <c r="W52" i="153" s="1"/>
  <c r="U52" i="153"/>
  <c r="U36" i="123"/>
  <c r="T26" i="153"/>
  <c r="U40" i="123"/>
  <c r="T34" i="153"/>
  <c r="T35" i="153" s="1"/>
  <c r="U42" i="123"/>
  <c r="T39" i="153"/>
  <c r="T40" i="153" s="1"/>
  <c r="V34" i="123"/>
  <c r="V25" i="153" s="1"/>
  <c r="U25" i="153"/>
  <c r="W15" i="123"/>
  <c r="W16" i="153" s="1"/>
  <c r="U16" i="153"/>
  <c r="V21" i="123"/>
  <c r="V20" i="153" s="1"/>
  <c r="U20" i="153"/>
  <c r="V37" i="123"/>
  <c r="V37" i="153" s="1"/>
  <c r="V40" i="153" s="1"/>
  <c r="U37" i="153"/>
  <c r="W45" i="123"/>
  <c r="W8" i="153" s="1"/>
  <c r="W9" i="153" s="1"/>
  <c r="U7" i="97" s="1"/>
  <c r="U8" i="153"/>
  <c r="U9" i="153" s="1"/>
  <c r="W18" i="121"/>
  <c r="W19" i="155" s="1"/>
  <c r="U19" i="155"/>
  <c r="W20" i="121"/>
  <c r="W21" i="155" s="1"/>
  <c r="U21" i="155"/>
  <c r="U16" i="121"/>
  <c r="T17" i="155"/>
  <c r="T23" i="155"/>
  <c r="U22" i="121"/>
  <c r="W8" i="121"/>
  <c r="W6" i="155" s="1"/>
  <c r="W7" i="155" s="1"/>
  <c r="U6" i="155"/>
  <c r="U7" i="155" s="1"/>
  <c r="U21" i="121"/>
  <c r="T22" i="155"/>
  <c r="M30" i="155"/>
  <c r="M31" i="155" s="1"/>
  <c r="U13" i="121"/>
  <c r="T15" i="155"/>
  <c r="U11" i="121"/>
  <c r="T13" i="155"/>
  <c r="W23" i="121"/>
  <c r="W24" i="155" s="1"/>
  <c r="U24" i="155"/>
  <c r="U14" i="121"/>
  <c r="T16" i="155"/>
  <c r="U17" i="121"/>
  <c r="T18" i="155"/>
  <c r="U15" i="121"/>
  <c r="T8" i="155"/>
  <c r="T29" i="121"/>
  <c r="T9" i="155"/>
  <c r="U6" i="121"/>
  <c r="W12" i="121"/>
  <c r="W14" i="155" s="1"/>
  <c r="U14" i="155"/>
  <c r="O9" i="155"/>
  <c r="O30" i="155" s="1"/>
  <c r="O31" i="155" s="1"/>
  <c r="O29" i="121"/>
  <c r="M11" i="12" s="1"/>
  <c r="U9" i="121"/>
  <c r="T11" i="155"/>
  <c r="W19" i="121"/>
  <c r="W20" i="155" s="1"/>
  <c r="U20" i="155"/>
  <c r="W10" i="121"/>
  <c r="W12" i="155" s="1"/>
  <c r="U12" i="155"/>
  <c r="U24" i="121"/>
  <c r="T25" i="155"/>
  <c r="W7" i="121"/>
  <c r="W10" i="155" s="1"/>
  <c r="U10" i="155"/>
  <c r="N22" i="97"/>
  <c r="M87" i="167"/>
  <c r="K11" i="97" s="1"/>
  <c r="U10" i="117"/>
  <c r="V10" i="117" s="1"/>
  <c r="V8" i="167" s="1"/>
  <c r="T93" i="117"/>
  <c r="M117" i="117"/>
  <c r="K8" i="12" s="1"/>
  <c r="N20" i="97"/>
  <c r="P123" i="167"/>
  <c r="O117" i="167"/>
  <c r="M14" i="97" s="1"/>
  <c r="M117" i="167"/>
  <c r="K14" i="97" s="1"/>
  <c r="K7" i="97"/>
  <c r="U73" i="117"/>
  <c r="T104" i="167"/>
  <c r="U80" i="117"/>
  <c r="T121" i="167"/>
  <c r="U69" i="117"/>
  <c r="T95" i="167"/>
  <c r="U45" i="117"/>
  <c r="T119" i="167"/>
  <c r="U100" i="117"/>
  <c r="T78" i="167"/>
  <c r="V82" i="117"/>
  <c r="V106" i="167" s="1"/>
  <c r="U106" i="167"/>
  <c r="V33" i="117"/>
  <c r="V63" i="167" s="1"/>
  <c r="U63" i="167"/>
  <c r="V44" i="117"/>
  <c r="V94" i="167" s="1"/>
  <c r="U94" i="167"/>
  <c r="V46" i="117"/>
  <c r="V114" i="167" s="1"/>
  <c r="U114" i="167"/>
  <c r="V52" i="117"/>
  <c r="V67" i="167" s="1"/>
  <c r="U67" i="167"/>
  <c r="V14" i="117"/>
  <c r="V20" i="167" s="1"/>
  <c r="U20" i="167"/>
  <c r="U111" i="117"/>
  <c r="T48" i="167"/>
  <c r="V64" i="117"/>
  <c r="V90" i="167" s="1"/>
  <c r="U90" i="167"/>
  <c r="U84" i="117"/>
  <c r="T116" i="167"/>
  <c r="U92" i="167"/>
  <c r="Y106" i="117"/>
  <c r="U49" i="117"/>
  <c r="T65" i="167"/>
  <c r="U42" i="117"/>
  <c r="T101" i="167"/>
  <c r="U29" i="117"/>
  <c r="T29" i="167"/>
  <c r="U27" i="117"/>
  <c r="T99" i="167"/>
  <c r="O108" i="167"/>
  <c r="M12" i="97" s="1"/>
  <c r="V74" i="117"/>
  <c r="V71" i="167" s="1"/>
  <c r="U71" i="167"/>
  <c r="V51" i="117"/>
  <c r="V37" i="167" s="1"/>
  <c r="U37" i="167"/>
  <c r="Y114" i="117"/>
  <c r="U86" i="167"/>
  <c r="V18" i="117"/>
  <c r="V96" i="167" s="1"/>
  <c r="U96" i="167"/>
  <c r="V31" i="117"/>
  <c r="V9" i="167" s="1"/>
  <c r="U9" i="167"/>
  <c r="V26" i="117"/>
  <c r="V27" i="167" s="1"/>
  <c r="U27" i="167"/>
  <c r="E19" i="99"/>
  <c r="V59" i="117"/>
  <c r="V39" i="167" s="1"/>
  <c r="U39" i="167"/>
  <c r="V66" i="117"/>
  <c r="V43" i="167" s="1"/>
  <c r="U43" i="167"/>
  <c r="M7" i="97"/>
  <c r="U71" i="117"/>
  <c r="T45" i="167"/>
  <c r="U30" i="117"/>
  <c r="T30" i="167"/>
  <c r="U8" i="117"/>
  <c r="T16" i="167"/>
  <c r="U41" i="117"/>
  <c r="T64" i="167"/>
  <c r="U79" i="117"/>
  <c r="T98" i="167"/>
  <c r="U85" i="117"/>
  <c r="T109" i="167"/>
  <c r="T111" i="167" s="1"/>
  <c r="U39" i="117"/>
  <c r="T34" i="167"/>
  <c r="K13" i="97"/>
  <c r="U68" i="117"/>
  <c r="T70" i="167"/>
  <c r="M122" i="167"/>
  <c r="K18" i="97" s="1"/>
  <c r="V81" i="117"/>
  <c r="V105" i="167" s="1"/>
  <c r="U105" i="167"/>
  <c r="V22" i="117"/>
  <c r="V23" i="167" s="1"/>
  <c r="U23" i="167"/>
  <c r="V43" i="117"/>
  <c r="V93" i="167" s="1"/>
  <c r="U93" i="167"/>
  <c r="E11" i="99"/>
  <c r="Y102" i="117"/>
  <c r="Y80" i="167" s="1"/>
  <c r="U80" i="167"/>
  <c r="V61" i="117"/>
  <c r="V41" i="167" s="1"/>
  <c r="U41" i="167"/>
  <c r="U40" i="117"/>
  <c r="T35" i="167"/>
  <c r="U110" i="117"/>
  <c r="T85" i="167"/>
  <c r="V77" i="117"/>
  <c r="V74" i="167" s="1"/>
  <c r="U74" i="167"/>
  <c r="V63" i="117"/>
  <c r="V51" i="167" s="1"/>
  <c r="U51" i="167"/>
  <c r="V19" i="117"/>
  <c r="V59" i="167" s="1"/>
  <c r="V60" i="167" s="1"/>
  <c r="U59" i="167"/>
  <c r="U60" i="167" s="1"/>
  <c r="V9" i="117"/>
  <c r="V61" i="167" s="1"/>
  <c r="V62" i="167" s="1"/>
  <c r="U61" i="167"/>
  <c r="U62" i="167" s="1"/>
  <c r="V38" i="117"/>
  <c r="V33" i="167" s="1"/>
  <c r="U33" i="167"/>
  <c r="V113" i="117"/>
  <c r="V50" i="167" s="1"/>
  <c r="Y50" i="167"/>
  <c r="V35" i="117"/>
  <c r="V32" i="167" s="1"/>
  <c r="U32" i="167"/>
  <c r="M56" i="167"/>
  <c r="O122" i="167"/>
  <c r="V25" i="117"/>
  <c r="V26" i="167" s="1"/>
  <c r="U26" i="167"/>
  <c r="V62" i="117"/>
  <c r="V68" i="167" s="1"/>
  <c r="U68" i="167"/>
  <c r="E15" i="99"/>
  <c r="V78" i="117"/>
  <c r="V97" i="167" s="1"/>
  <c r="U97" i="167"/>
  <c r="V57" i="117"/>
  <c r="V12" i="167" s="1"/>
  <c r="U12" i="167"/>
  <c r="U54" i="117"/>
  <c r="T120" i="167"/>
  <c r="V24" i="117"/>
  <c r="V25" i="167" s="1"/>
  <c r="U25" i="167"/>
  <c r="E12" i="99"/>
  <c r="U32" i="117"/>
  <c r="T55" i="167"/>
  <c r="U72" i="117"/>
  <c r="T115" i="167"/>
  <c r="U108" i="117"/>
  <c r="T47" i="167"/>
  <c r="U15" i="117"/>
  <c r="T118" i="167"/>
  <c r="T14" i="167"/>
  <c r="U49" i="167"/>
  <c r="Y112" i="117"/>
  <c r="U17" i="117"/>
  <c r="T6" i="167"/>
  <c r="T7" i="167" s="1"/>
  <c r="U56" i="117"/>
  <c r="T103" i="167"/>
  <c r="V83" i="117"/>
  <c r="V107" i="167" s="1"/>
  <c r="U107" i="167"/>
  <c r="V60" i="117"/>
  <c r="V40" i="167" s="1"/>
  <c r="U40" i="167"/>
  <c r="Y103" i="117"/>
  <c r="U91" i="167"/>
  <c r="V58" i="117"/>
  <c r="V13" i="167" s="1"/>
  <c r="U13" i="167"/>
  <c r="V67" i="117"/>
  <c r="V69" i="167" s="1"/>
  <c r="U69" i="167"/>
  <c r="U20" i="117"/>
  <c r="T21" i="167"/>
  <c r="U21" i="117"/>
  <c r="T22" i="167"/>
  <c r="Y99" i="117"/>
  <c r="Y77" i="167" s="1"/>
  <c r="U77" i="167"/>
  <c r="U105" i="117"/>
  <c r="T82" i="167"/>
  <c r="V23" i="117"/>
  <c r="V24" i="167" s="1"/>
  <c r="U24" i="167"/>
  <c r="O115" i="117"/>
  <c r="U109" i="117"/>
  <c r="U84" i="167" s="1"/>
  <c r="T84" i="167"/>
  <c r="M108" i="167"/>
  <c r="K12" i="97" s="1"/>
  <c r="U65" i="117"/>
  <c r="T42" i="167"/>
  <c r="O16" i="167"/>
  <c r="O56" i="167" s="1"/>
  <c r="O93" i="117"/>
  <c r="U34" i="117"/>
  <c r="T31" i="167"/>
  <c r="U76" i="117"/>
  <c r="T73" i="167"/>
  <c r="V47" i="117"/>
  <c r="V36" i="167" s="1"/>
  <c r="U36" i="167"/>
  <c r="U8" i="167"/>
  <c r="V55" i="117"/>
  <c r="V38" i="167" s="1"/>
  <c r="U38" i="167"/>
  <c r="V37" i="117"/>
  <c r="V10" i="167" s="1"/>
  <c r="U10" i="167"/>
  <c r="O87" i="167"/>
  <c r="V50" i="117"/>
  <c r="V66" i="167" s="1"/>
  <c r="U66" i="167"/>
  <c r="V11" i="117"/>
  <c r="V17" i="167" s="1"/>
  <c r="U17" i="167"/>
  <c r="U36" i="117"/>
  <c r="T100" i="167"/>
  <c r="Y96" i="117"/>
  <c r="Y46" i="167" s="1"/>
  <c r="U46" i="167"/>
  <c r="U28" i="117"/>
  <c r="T28" i="167"/>
  <c r="U16" i="117"/>
  <c r="T54" i="167"/>
  <c r="U12" i="117"/>
  <c r="T18" i="167"/>
  <c r="U70" i="117"/>
  <c r="T44" i="167"/>
  <c r="U53" i="117"/>
  <c r="T102" i="167"/>
  <c r="U107" i="117"/>
  <c r="T83" i="167"/>
  <c r="Y104" i="117"/>
  <c r="U81" i="167"/>
  <c r="Y98" i="117"/>
  <c r="Y53" i="167" s="1"/>
  <c r="U53" i="167"/>
  <c r="Y97" i="117"/>
  <c r="Y52" i="167" s="1"/>
  <c r="U52" i="167"/>
  <c r="V75" i="117"/>
  <c r="V72" i="167" s="1"/>
  <c r="U72" i="167"/>
  <c r="O116" i="140"/>
  <c r="O25" i="124"/>
  <c r="M14" i="12" s="1"/>
  <c r="O6" i="152"/>
  <c r="O25" i="152" s="1"/>
  <c r="M9" i="97" s="1"/>
  <c r="O16" i="122"/>
  <c r="M12" i="12" s="1"/>
  <c r="O16" i="154"/>
  <c r="O17" i="154" s="1"/>
  <c r="O107" i="162"/>
  <c r="M108" i="162"/>
  <c r="M21" i="151"/>
  <c r="M12" i="151"/>
  <c r="O50" i="162"/>
  <c r="P102" i="162"/>
  <c r="P108" i="162" s="1"/>
  <c r="M50" i="162"/>
  <c r="U81" i="116"/>
  <c r="T42" i="162"/>
  <c r="V26" i="116"/>
  <c r="V10" i="162" s="1"/>
  <c r="U10" i="162"/>
  <c r="U17" i="116"/>
  <c r="T57" i="162"/>
  <c r="V70" i="116"/>
  <c r="V38" i="162" s="1"/>
  <c r="U38" i="162"/>
  <c r="V20" i="116"/>
  <c r="V98" i="162" s="1"/>
  <c r="U98" i="162"/>
  <c r="U66" i="116"/>
  <c r="T35" i="162"/>
  <c r="V50" i="116"/>
  <c r="V70" i="162" s="1"/>
  <c r="U70" i="162"/>
  <c r="V36" i="116"/>
  <c r="V99" i="162" s="1"/>
  <c r="U99" i="162"/>
  <c r="V78" i="116"/>
  <c r="V80" i="162" s="1"/>
  <c r="U80" i="162"/>
  <c r="V33" i="116"/>
  <c r="V15" i="162" s="1"/>
  <c r="U15" i="162"/>
  <c r="V10" i="116"/>
  <c r="V53" i="162" s="1"/>
  <c r="U53" i="162"/>
  <c r="U9" i="116"/>
  <c r="T52" i="162"/>
  <c r="U60" i="116"/>
  <c r="T32" i="162"/>
  <c r="U45" i="116"/>
  <c r="T21" i="162"/>
  <c r="U57" i="116"/>
  <c r="T29" i="162"/>
  <c r="V72" i="116"/>
  <c r="V39" i="162" s="1"/>
  <c r="U39" i="162"/>
  <c r="U76" i="116"/>
  <c r="T78" i="162"/>
  <c r="V23" i="116"/>
  <c r="V105" i="162" s="1"/>
  <c r="U105" i="162"/>
  <c r="V77" i="116"/>
  <c r="V79" i="162" s="1"/>
  <c r="U79" i="162"/>
  <c r="U8" i="116"/>
  <c r="T51" i="162"/>
  <c r="U48" i="116"/>
  <c r="T24" i="162"/>
  <c r="V47" i="116"/>
  <c r="V23" i="162" s="1"/>
  <c r="U23" i="162"/>
  <c r="U25" i="116"/>
  <c r="T62" i="162"/>
  <c r="U74" i="116"/>
  <c r="T106" i="162"/>
  <c r="T107" i="162" s="1"/>
  <c r="U63" i="116"/>
  <c r="T74" i="162"/>
  <c r="U16" i="116"/>
  <c r="T8" i="162"/>
  <c r="U44" i="116"/>
  <c r="T68" i="162"/>
  <c r="U22" i="116"/>
  <c r="T60" i="162"/>
  <c r="U67" i="116"/>
  <c r="T36" i="162"/>
  <c r="U43" i="116"/>
  <c r="T20" i="162"/>
  <c r="U38" i="116"/>
  <c r="T65" i="162"/>
  <c r="V68" i="116"/>
  <c r="V37" i="162" s="1"/>
  <c r="U37" i="162"/>
  <c r="U42" i="116"/>
  <c r="T19" i="162"/>
  <c r="U30" i="116"/>
  <c r="T63" i="162"/>
  <c r="V11" i="116"/>
  <c r="V96" i="162" s="1"/>
  <c r="U96" i="162"/>
  <c r="V65" i="116"/>
  <c r="V75" i="162" s="1"/>
  <c r="U75" i="162"/>
  <c r="V52" i="116"/>
  <c r="V72" i="162" s="1"/>
  <c r="U72" i="162"/>
  <c r="U61" i="116"/>
  <c r="T33" i="162"/>
  <c r="U56" i="116"/>
  <c r="T28" i="162"/>
  <c r="U6" i="116"/>
  <c r="T6" i="162"/>
  <c r="V31" i="116"/>
  <c r="V14" i="162" s="1"/>
  <c r="U14" i="162"/>
  <c r="U35" i="116"/>
  <c r="T16" i="162"/>
  <c r="V37" i="116"/>
  <c r="V17" i="162" s="1"/>
  <c r="U17" i="162"/>
  <c r="V15" i="116"/>
  <c r="V56" i="162" s="1"/>
  <c r="U56" i="162"/>
  <c r="V58" i="116"/>
  <c r="V30" i="162" s="1"/>
  <c r="U30" i="162"/>
  <c r="V21" i="116"/>
  <c r="V59" i="162" s="1"/>
  <c r="U59" i="162"/>
  <c r="V41" i="116"/>
  <c r="V18" i="162" s="1"/>
  <c r="U18" i="162"/>
  <c r="O75" i="116"/>
  <c r="O77" i="162" s="1"/>
  <c r="M77" i="162"/>
  <c r="M102" i="162" s="1"/>
  <c r="T75" i="116"/>
  <c r="U53" i="116"/>
  <c r="T25" i="162"/>
  <c r="U59" i="116"/>
  <c r="T31" i="162"/>
  <c r="V55" i="116"/>
  <c r="V27" i="162" s="1"/>
  <c r="U27" i="162"/>
  <c r="V82" i="116"/>
  <c r="V82" i="162" s="1"/>
  <c r="U82" i="162"/>
  <c r="U69" i="116"/>
  <c r="T76" i="162"/>
  <c r="U39" i="116"/>
  <c r="T66" i="162"/>
  <c r="U24" i="116"/>
  <c r="T61" i="162"/>
  <c r="U46" i="116"/>
  <c r="T22" i="162"/>
  <c r="V32" i="116"/>
  <c r="V64" i="162" s="1"/>
  <c r="U64" i="162"/>
  <c r="V73" i="116"/>
  <c r="V40" i="162" s="1"/>
  <c r="U40" i="162"/>
  <c r="U14" i="116"/>
  <c r="T55" i="162"/>
  <c r="U79" i="116"/>
  <c r="T81" i="162"/>
  <c r="V62" i="116"/>
  <c r="V73" i="162" s="1"/>
  <c r="U73" i="162"/>
  <c r="V12" i="116"/>
  <c r="V7" i="162" s="1"/>
  <c r="U7" i="162"/>
  <c r="V71" i="116"/>
  <c r="V95" i="162" s="1"/>
  <c r="U95" i="162"/>
  <c r="V18" i="116"/>
  <c r="V9" i="162" s="1"/>
  <c r="U9" i="162"/>
  <c r="V64" i="116"/>
  <c r="V34" i="162" s="1"/>
  <c r="U34" i="162"/>
  <c r="V54" i="116"/>
  <c r="V26" i="162" s="1"/>
  <c r="U26" i="162"/>
  <c r="V13" i="116"/>
  <c r="V54" i="162" s="1"/>
  <c r="U54" i="162"/>
  <c r="U51" i="116"/>
  <c r="T71" i="162"/>
  <c r="V27" i="116"/>
  <c r="V11" i="162" s="1"/>
  <c r="U11" i="162"/>
  <c r="U49" i="116"/>
  <c r="T69" i="162"/>
  <c r="V19" i="116"/>
  <c r="V58" i="162" s="1"/>
  <c r="U58" i="162"/>
  <c r="V7" i="116"/>
  <c r="V97" i="162" s="1"/>
  <c r="U97" i="162"/>
  <c r="V80" i="116"/>
  <c r="V41" i="162" s="1"/>
  <c r="U41" i="162"/>
  <c r="V10" i="129"/>
  <c r="V12" i="129" s="1"/>
  <c r="AL10" i="129"/>
  <c r="U12" i="129"/>
  <c r="AO9" i="129"/>
  <c r="AO12" i="129" s="1"/>
  <c r="AN9" i="129"/>
  <c r="U9" i="130"/>
  <c r="T26" i="130"/>
  <c r="U17" i="131"/>
  <c r="V9" i="131"/>
  <c r="V17" i="131" s="1"/>
  <c r="AN9" i="131"/>
  <c r="T21" i="133"/>
  <c r="AN21" i="133"/>
  <c r="AZ9" i="133"/>
  <c r="AZ21" i="133" s="1"/>
  <c r="AN16" i="133"/>
  <c r="AZ16" i="133" s="1"/>
  <c r="W16" i="133"/>
  <c r="W21" i="133"/>
  <c r="W42" i="134"/>
  <c r="Z42" i="134"/>
  <c r="AZ9" i="134"/>
  <c r="AZ42" i="134" s="1"/>
  <c r="AN42" i="134"/>
  <c r="T39" i="135"/>
  <c r="U9" i="135"/>
  <c r="U11" i="136"/>
  <c r="T21" i="136"/>
  <c r="T28" i="137"/>
  <c r="U9" i="137"/>
  <c r="AK53" i="139"/>
  <c r="AB78" i="139"/>
  <c r="AN8" i="139"/>
  <c r="W8" i="139"/>
  <c r="W78" i="139" s="1"/>
  <c r="U78" i="139"/>
  <c r="V95" i="140"/>
  <c r="V115" i="140" s="1"/>
  <c r="U115" i="140"/>
  <c r="AN95" i="140"/>
  <c r="T116" i="140"/>
  <c r="M116" i="140"/>
  <c r="U93" i="140"/>
  <c r="AN5" i="140"/>
  <c r="V5" i="140"/>
  <c r="V93" i="140" s="1"/>
  <c r="AN84" i="141"/>
  <c r="AY62" i="141"/>
  <c r="AY84" i="141" s="1"/>
  <c r="U101" i="141"/>
  <c r="V86" i="141"/>
  <c r="V101" i="141" s="1"/>
  <c r="AN86" i="141"/>
  <c r="V12" i="141"/>
  <c r="V60" i="141" s="1"/>
  <c r="AN12" i="141"/>
  <c r="U60" i="141"/>
  <c r="V84" i="141"/>
  <c r="T102" i="141"/>
  <c r="U8" i="128"/>
  <c r="T15" i="128"/>
  <c r="AY7" i="128"/>
  <c r="U8" i="127"/>
  <c r="T9" i="148"/>
  <c r="U11" i="127"/>
  <c r="T6" i="148"/>
  <c r="T7" i="148" s="1"/>
  <c r="O13" i="148"/>
  <c r="O21" i="148" s="1"/>
  <c r="U12" i="127"/>
  <c r="T19" i="148"/>
  <c r="T20" i="148" s="1"/>
  <c r="R19" i="97" s="1"/>
  <c r="M13" i="148"/>
  <c r="M21" i="148" s="1"/>
  <c r="V10" i="127"/>
  <c r="V15" i="148" s="1"/>
  <c r="U15" i="148"/>
  <c r="U13" i="127"/>
  <c r="T10" i="148"/>
  <c r="T13" i="148" s="1"/>
  <c r="T21" i="148" s="1"/>
  <c r="V9" i="127"/>
  <c r="V14" i="148" s="1"/>
  <c r="U14" i="148"/>
  <c r="V7" i="127"/>
  <c r="V8" i="148" s="1"/>
  <c r="U8" i="148"/>
  <c r="U12" i="126"/>
  <c r="T12" i="149"/>
  <c r="V20" i="126"/>
  <c r="V20" i="149" s="1"/>
  <c r="U20" i="149"/>
  <c r="O23" i="126"/>
  <c r="M17" i="12" s="1"/>
  <c r="O16" i="149"/>
  <c r="O23" i="149" s="1"/>
  <c r="V14" i="126"/>
  <c r="V14" i="149" s="1"/>
  <c r="U14" i="149"/>
  <c r="V6" i="126"/>
  <c r="V6" i="149" s="1"/>
  <c r="U6" i="149"/>
  <c r="U13" i="126"/>
  <c r="T13" i="149"/>
  <c r="V9" i="126"/>
  <c r="V9" i="149" s="1"/>
  <c r="U9" i="149"/>
  <c r="V11" i="126"/>
  <c r="V11" i="149" s="1"/>
  <c r="U11" i="149"/>
  <c r="V21" i="126"/>
  <c r="V21" i="149" s="1"/>
  <c r="U21" i="149"/>
  <c r="V8" i="126"/>
  <c r="V8" i="149" s="1"/>
  <c r="U8" i="149"/>
  <c r="T23" i="126"/>
  <c r="T16" i="149"/>
  <c r="U16" i="126"/>
  <c r="V18" i="126"/>
  <c r="V18" i="149" s="1"/>
  <c r="U18" i="149"/>
  <c r="U22" i="126"/>
  <c r="T22" i="149"/>
  <c r="V17" i="126"/>
  <c r="V17" i="149" s="1"/>
  <c r="U17" i="149"/>
  <c r="V7" i="126"/>
  <c r="V7" i="149" s="1"/>
  <c r="U7" i="149"/>
  <c r="S16" i="12"/>
  <c r="F7" i="78"/>
  <c r="T18" i="150"/>
  <c r="U19" i="150" s="1"/>
  <c r="R16" i="12"/>
  <c r="U15" i="125"/>
  <c r="M15" i="125"/>
  <c r="W7" i="125"/>
  <c r="W6" i="150" s="1"/>
  <c r="W7" i="150" s="1"/>
  <c r="U6" i="150"/>
  <c r="U7" i="150" s="1"/>
  <c r="M19" i="150"/>
  <c r="U15" i="150"/>
  <c r="U17" i="150" s="1"/>
  <c r="V8" i="125"/>
  <c r="W8" i="125" s="1"/>
  <c r="V9" i="125"/>
  <c r="V11" i="150" s="1"/>
  <c r="V14" i="150" s="1"/>
  <c r="U11" i="150"/>
  <c r="U14" i="150" s="1"/>
  <c r="M20" i="146"/>
  <c r="U20" i="146"/>
  <c r="U8" i="146"/>
  <c r="T13" i="151"/>
  <c r="T20" i="151" s="1"/>
  <c r="T21" i="151" s="1"/>
  <c r="V11" i="146"/>
  <c r="V15" i="151" s="1"/>
  <c r="U15" i="151"/>
  <c r="T7" i="151"/>
  <c r="U7" i="146"/>
  <c r="V17" i="146"/>
  <c r="V19" i="151" s="1"/>
  <c r="U19" i="151"/>
  <c r="V16" i="146"/>
  <c r="V18" i="151" s="1"/>
  <c r="U18" i="151"/>
  <c r="R15" i="12"/>
  <c r="U6" i="146"/>
  <c r="T6" i="151"/>
  <c r="T12" i="151" s="1"/>
  <c r="V14" i="146"/>
  <c r="V10" i="151" s="1"/>
  <c r="U10" i="151"/>
  <c r="U10" i="146"/>
  <c r="T16" i="151"/>
  <c r="U9" i="146"/>
  <c r="T14" i="151"/>
  <c r="V12" i="146"/>
  <c r="V8" i="151" s="1"/>
  <c r="U8" i="151"/>
  <c r="O6" i="151"/>
  <c r="O12" i="151" s="1"/>
  <c r="O21" i="151" s="1"/>
  <c r="O19" i="146"/>
  <c r="M15" i="12" s="1"/>
  <c r="V15" i="146"/>
  <c r="V11" i="151" s="1"/>
  <c r="U11" i="151"/>
  <c r="F18" i="42"/>
  <c r="F11" i="42"/>
  <c r="N19" i="12"/>
  <c r="O11" i="156"/>
  <c r="U12" i="156"/>
  <c r="M12" i="156"/>
  <c r="R10" i="12"/>
  <c r="U12" i="120"/>
  <c r="W7" i="120"/>
  <c r="W7" i="156" s="1"/>
  <c r="U7" i="156"/>
  <c r="U11" i="156" s="1"/>
  <c r="W11" i="120"/>
  <c r="U10" i="12" s="1"/>
  <c r="W6" i="156"/>
  <c r="W11" i="156" s="1"/>
  <c r="M12" i="120"/>
  <c r="R18" i="12"/>
  <c r="U17" i="127"/>
  <c r="M17" i="127"/>
  <c r="W14" i="123"/>
  <c r="W15" i="153" s="1"/>
  <c r="V6" i="127"/>
  <c r="U16" i="127"/>
  <c r="M24" i="126"/>
  <c r="T25" i="124"/>
  <c r="R14" i="12" s="1"/>
  <c r="U6" i="124"/>
  <c r="X25" i="97"/>
  <c r="U6" i="122"/>
  <c r="T16" i="122"/>
  <c r="R12" i="12" s="1"/>
  <c r="T9" i="12"/>
  <c r="T104" i="116"/>
  <c r="N20" i="12"/>
  <c r="R13" i="12"/>
  <c r="M9" i="12"/>
  <c r="V28" i="116"/>
  <c r="W29" i="119"/>
  <c r="W70" i="119" s="1"/>
  <c r="E13" i="69" s="1"/>
  <c r="E15" i="69" s="1"/>
  <c r="F14" i="69" s="1"/>
  <c r="U70" i="119"/>
  <c r="K9" i="12"/>
  <c r="W30" i="123"/>
  <c r="R9" i="12"/>
  <c r="Y101" i="117"/>
  <c r="Y79" i="167" s="1"/>
  <c r="J8" i="100"/>
  <c r="J10" i="100"/>
  <c r="J9" i="100"/>
  <c r="J11" i="100"/>
  <c r="Y109" i="117"/>
  <c r="V13" i="117"/>
  <c r="J20" i="12"/>
  <c r="T115" i="117"/>
  <c r="T117" i="117" s="1"/>
  <c r="U50" i="123" l="1"/>
  <c r="M50" i="123"/>
  <c r="V38" i="123"/>
  <c r="V55" i="153" s="1"/>
  <c r="U55" i="153"/>
  <c r="W53" i="153"/>
  <c r="W25" i="123"/>
  <c r="W22" i="153" s="1"/>
  <c r="U22" i="153"/>
  <c r="V17" i="123"/>
  <c r="V18" i="153" s="1"/>
  <c r="U18" i="153"/>
  <c r="U10" i="97"/>
  <c r="W42" i="123"/>
  <c r="W39" i="153" s="1"/>
  <c r="W40" i="153" s="1"/>
  <c r="U39" i="153"/>
  <c r="T56" i="153"/>
  <c r="W20" i="123"/>
  <c r="W19" i="153" s="1"/>
  <c r="U19" i="153"/>
  <c r="U40" i="153"/>
  <c r="V44" i="123"/>
  <c r="V28" i="153" s="1"/>
  <c r="U28" i="153"/>
  <c r="M15" i="97"/>
  <c r="O57" i="153"/>
  <c r="T31" i="153"/>
  <c r="M57" i="153"/>
  <c r="K15" i="97"/>
  <c r="W9" i="123"/>
  <c r="W13" i="153" s="1"/>
  <c r="U13" i="153"/>
  <c r="W31" i="153"/>
  <c r="U8" i="97" s="1"/>
  <c r="W40" i="123"/>
  <c r="W34" i="153" s="1"/>
  <c r="W35" i="153" s="1"/>
  <c r="U34" i="153"/>
  <c r="U35" i="153" s="1"/>
  <c r="W31" i="123"/>
  <c r="W23" i="153" s="1"/>
  <c r="U23" i="153"/>
  <c r="W35" i="123"/>
  <c r="W54" i="153" s="1"/>
  <c r="U54" i="153"/>
  <c r="U49" i="123"/>
  <c r="F7" i="73" s="1"/>
  <c r="R10" i="97"/>
  <c r="W36" i="123"/>
  <c r="W26" i="153" s="1"/>
  <c r="U26" i="153"/>
  <c r="W18" i="123"/>
  <c r="W45" i="153" s="1"/>
  <c r="U45" i="153"/>
  <c r="U56" i="153" s="1"/>
  <c r="W10" i="123"/>
  <c r="W14" i="153" s="1"/>
  <c r="U14" i="153"/>
  <c r="W23" i="123"/>
  <c r="W50" i="153" s="1"/>
  <c r="U50" i="153"/>
  <c r="V12" i="123"/>
  <c r="V47" i="153" s="1"/>
  <c r="U47" i="153"/>
  <c r="V8" i="123"/>
  <c r="U12" i="153"/>
  <c r="W32" i="123"/>
  <c r="W10" i="153" s="1"/>
  <c r="U10" i="153"/>
  <c r="W17" i="121"/>
  <c r="W18" i="155" s="1"/>
  <c r="U18" i="155"/>
  <c r="W13" i="121"/>
  <c r="W15" i="155" s="1"/>
  <c r="U15" i="155"/>
  <c r="U11" i="155"/>
  <c r="W9" i="121"/>
  <c r="W11" i="155" s="1"/>
  <c r="T30" i="155"/>
  <c r="T31" i="155" s="1"/>
  <c r="W16" i="121"/>
  <c r="W17" i="155" s="1"/>
  <c r="U17" i="155"/>
  <c r="W21" i="121"/>
  <c r="W22" i="155" s="1"/>
  <c r="U22" i="155"/>
  <c r="R11" i="12"/>
  <c r="M30" i="121"/>
  <c r="U30" i="121"/>
  <c r="M11" i="97"/>
  <c r="W24" i="121"/>
  <c r="W25" i="155" s="1"/>
  <c r="U25" i="155"/>
  <c r="U9" i="155"/>
  <c r="W6" i="121"/>
  <c r="U29" i="121"/>
  <c r="W15" i="121"/>
  <c r="W8" i="155" s="1"/>
  <c r="U8" i="155"/>
  <c r="W14" i="121"/>
  <c r="W16" i="155" s="1"/>
  <c r="U16" i="155"/>
  <c r="W11" i="121"/>
  <c r="W13" i="155" s="1"/>
  <c r="U13" i="155"/>
  <c r="W22" i="121"/>
  <c r="W23" i="155" s="1"/>
  <c r="U23" i="155"/>
  <c r="T108" i="167"/>
  <c r="R12" i="97" s="1"/>
  <c r="T117" i="167"/>
  <c r="R14" i="97" s="1"/>
  <c r="K19" i="12"/>
  <c r="T87" i="167"/>
  <c r="R11" i="97" s="1"/>
  <c r="O117" i="117"/>
  <c r="M8" i="12" s="1"/>
  <c r="V109" i="117"/>
  <c r="Y84" i="167"/>
  <c r="U83" i="167"/>
  <c r="Y107" i="117"/>
  <c r="V70" i="117"/>
  <c r="V44" i="167" s="1"/>
  <c r="U44" i="167"/>
  <c r="V16" i="117"/>
  <c r="V54" i="167" s="1"/>
  <c r="U54" i="167"/>
  <c r="U14" i="167"/>
  <c r="V20" i="117"/>
  <c r="V21" i="167" s="1"/>
  <c r="U21" i="167"/>
  <c r="E21" i="99"/>
  <c r="V56" i="117"/>
  <c r="V103" i="167" s="1"/>
  <c r="U103" i="167"/>
  <c r="O123" i="167"/>
  <c r="R13" i="97"/>
  <c r="V106" i="117"/>
  <c r="V92" i="167" s="1"/>
  <c r="Y92" i="167"/>
  <c r="U115" i="117"/>
  <c r="E8" i="99" s="1"/>
  <c r="V14" i="167"/>
  <c r="V76" i="117"/>
  <c r="V73" i="167" s="1"/>
  <c r="U73" i="167"/>
  <c r="U47" i="167"/>
  <c r="Y108" i="117"/>
  <c r="Y47" i="167" s="1"/>
  <c r="V32" i="117"/>
  <c r="V55" i="167" s="1"/>
  <c r="U55" i="167"/>
  <c r="V40" i="117"/>
  <c r="V35" i="167" s="1"/>
  <c r="U35" i="167"/>
  <c r="E20" i="99"/>
  <c r="M123" i="167"/>
  <c r="V85" i="117"/>
  <c r="V109" i="167" s="1"/>
  <c r="V111" i="167" s="1"/>
  <c r="T13" i="97" s="1"/>
  <c r="U109" i="167"/>
  <c r="U111" i="167" s="1"/>
  <c r="V41" i="117"/>
  <c r="V64" i="167" s="1"/>
  <c r="U64" i="167"/>
  <c r="V30" i="117"/>
  <c r="V30" i="167" s="1"/>
  <c r="U30" i="167"/>
  <c r="V27" i="117"/>
  <c r="V99" i="167" s="1"/>
  <c r="U99" i="167"/>
  <c r="V42" i="117"/>
  <c r="V101" i="167" s="1"/>
  <c r="U101" i="167"/>
  <c r="E16" i="99"/>
  <c r="Y100" i="117"/>
  <c r="Y78" i="167" s="1"/>
  <c r="U78" i="167"/>
  <c r="V69" i="117"/>
  <c r="V95" i="167" s="1"/>
  <c r="U95" i="167"/>
  <c r="V73" i="117"/>
  <c r="V104" i="167" s="1"/>
  <c r="U104" i="167"/>
  <c r="U93" i="117"/>
  <c r="E9" i="99" s="1"/>
  <c r="M8" i="97"/>
  <c r="V104" i="117"/>
  <c r="V81" i="167" s="1"/>
  <c r="Y81" i="167"/>
  <c r="V53" i="117"/>
  <c r="V102" i="167" s="1"/>
  <c r="U102" i="167"/>
  <c r="E18" i="99"/>
  <c r="V12" i="117"/>
  <c r="V18" i="167" s="1"/>
  <c r="U18" i="167"/>
  <c r="V28" i="117"/>
  <c r="V28" i="167" s="1"/>
  <c r="U28" i="167"/>
  <c r="V36" i="117"/>
  <c r="V100" i="167" s="1"/>
  <c r="U100" i="167"/>
  <c r="V65" i="117"/>
  <c r="V42" i="167" s="1"/>
  <c r="U42" i="167"/>
  <c r="Y105" i="117"/>
  <c r="U82" i="167"/>
  <c r="V21" i="117"/>
  <c r="V22" i="167" s="1"/>
  <c r="U22" i="167"/>
  <c r="V103" i="117"/>
  <c r="V91" i="167" s="1"/>
  <c r="Y91" i="167"/>
  <c r="V17" i="117"/>
  <c r="V6" i="167" s="1"/>
  <c r="V7" i="167" s="1"/>
  <c r="T10" i="97" s="1"/>
  <c r="U6" i="167"/>
  <c r="U7" i="167" s="1"/>
  <c r="S10" i="97" s="1"/>
  <c r="F17" i="61" s="1"/>
  <c r="V54" i="117"/>
  <c r="V120" i="167" s="1"/>
  <c r="U120" i="167"/>
  <c r="Y110" i="117"/>
  <c r="U85" i="167"/>
  <c r="T56" i="167"/>
  <c r="V114" i="117"/>
  <c r="V86" i="167" s="1"/>
  <c r="Y86" i="167"/>
  <c r="T122" i="167"/>
  <c r="R18" i="97" s="1"/>
  <c r="V19" i="167"/>
  <c r="R7" i="97"/>
  <c r="V34" i="117"/>
  <c r="V31" i="167" s="1"/>
  <c r="U31" i="167"/>
  <c r="V112" i="117"/>
  <c r="V49" i="167" s="1"/>
  <c r="Y49" i="167"/>
  <c r="V15" i="117"/>
  <c r="V118" i="167" s="1"/>
  <c r="U118" i="167"/>
  <c r="V72" i="117"/>
  <c r="V115" i="167" s="1"/>
  <c r="U115" i="167"/>
  <c r="V68" i="117"/>
  <c r="V70" i="167" s="1"/>
  <c r="U70" i="167"/>
  <c r="V39" i="117"/>
  <c r="V34" i="167" s="1"/>
  <c r="U34" i="167"/>
  <c r="V79" i="117"/>
  <c r="V98" i="167" s="1"/>
  <c r="U98" i="167"/>
  <c r="V8" i="117"/>
  <c r="V16" i="167" s="1"/>
  <c r="U16" i="167"/>
  <c r="V71" i="117"/>
  <c r="V45" i="167" s="1"/>
  <c r="U45" i="167"/>
  <c r="V29" i="117"/>
  <c r="V29" i="167" s="1"/>
  <c r="U29" i="167"/>
  <c r="V49" i="117"/>
  <c r="V65" i="167" s="1"/>
  <c r="U65" i="167"/>
  <c r="V84" i="117"/>
  <c r="V116" i="167" s="1"/>
  <c r="U116" i="167"/>
  <c r="U48" i="167"/>
  <c r="Y111" i="117"/>
  <c r="V45" i="117"/>
  <c r="V119" i="167" s="1"/>
  <c r="U119" i="167"/>
  <c r="V80" i="117"/>
  <c r="V121" i="167" s="1"/>
  <c r="U121" i="167"/>
  <c r="V116" i="140"/>
  <c r="V102" i="141"/>
  <c r="M18" i="97"/>
  <c r="O18" i="154"/>
  <c r="K8" i="97"/>
  <c r="K20" i="97" s="1"/>
  <c r="O108" i="162"/>
  <c r="T23" i="149"/>
  <c r="U24" i="149" s="1"/>
  <c r="O102" i="162"/>
  <c r="T102" i="162"/>
  <c r="T108" i="162" s="1"/>
  <c r="T50" i="162"/>
  <c r="F13" i="69"/>
  <c r="F12" i="69"/>
  <c r="V59" i="116"/>
  <c r="V31" i="162" s="1"/>
  <c r="U31" i="162"/>
  <c r="V56" i="116"/>
  <c r="V28" i="162" s="1"/>
  <c r="U28" i="162"/>
  <c r="V42" i="116"/>
  <c r="V19" i="162" s="1"/>
  <c r="U19" i="162"/>
  <c r="V38" i="116"/>
  <c r="V65" i="162" s="1"/>
  <c r="U65" i="162"/>
  <c r="V44" i="116"/>
  <c r="V68" i="162" s="1"/>
  <c r="U68" i="162"/>
  <c r="V24" i="116"/>
  <c r="V61" i="162" s="1"/>
  <c r="U61" i="162"/>
  <c r="V25" i="116"/>
  <c r="V62" i="162" s="1"/>
  <c r="U62" i="162"/>
  <c r="V76" i="116"/>
  <c r="V78" i="162" s="1"/>
  <c r="U78" i="162"/>
  <c r="V57" i="116"/>
  <c r="V29" i="162" s="1"/>
  <c r="U29" i="162"/>
  <c r="V60" i="116"/>
  <c r="V32" i="162" s="1"/>
  <c r="U32" i="162"/>
  <c r="V81" i="116"/>
  <c r="V42" i="162" s="1"/>
  <c r="U42" i="162"/>
  <c r="V12" i="162"/>
  <c r="V49" i="116"/>
  <c r="V69" i="162" s="1"/>
  <c r="U69" i="162"/>
  <c r="V51" i="116"/>
  <c r="V71" i="162" s="1"/>
  <c r="U71" i="162"/>
  <c r="V79" i="116"/>
  <c r="V81" i="162" s="1"/>
  <c r="U81" i="162"/>
  <c r="V46" i="116"/>
  <c r="V22" i="162" s="1"/>
  <c r="U22" i="162"/>
  <c r="V39" i="116"/>
  <c r="V66" i="162" s="1"/>
  <c r="U66" i="162"/>
  <c r="U75" i="116"/>
  <c r="T77" i="162"/>
  <c r="O104" i="116"/>
  <c r="M7" i="12" s="1"/>
  <c r="V74" i="116"/>
  <c r="V106" i="162" s="1"/>
  <c r="V107" i="162" s="1"/>
  <c r="U106" i="162"/>
  <c r="U107" i="162" s="1"/>
  <c r="V8" i="116"/>
  <c r="V51" i="162" s="1"/>
  <c r="U51" i="162"/>
  <c r="V45" i="116"/>
  <c r="V21" i="162" s="1"/>
  <c r="U21" i="162"/>
  <c r="V9" i="116"/>
  <c r="V52" i="162" s="1"/>
  <c r="U52" i="162"/>
  <c r="V66" i="116"/>
  <c r="V35" i="162" s="1"/>
  <c r="U35" i="162"/>
  <c r="V67" i="116"/>
  <c r="V36" i="162" s="1"/>
  <c r="U36" i="162"/>
  <c r="V14" i="116"/>
  <c r="V55" i="162" s="1"/>
  <c r="U55" i="162"/>
  <c r="V63" i="116"/>
  <c r="V74" i="162" s="1"/>
  <c r="U74" i="162"/>
  <c r="V48" i="116"/>
  <c r="V24" i="162" s="1"/>
  <c r="U24" i="162"/>
  <c r="V17" i="116"/>
  <c r="V57" i="162" s="1"/>
  <c r="U57" i="162"/>
  <c r="V69" i="116"/>
  <c r="V76" i="162" s="1"/>
  <c r="U76" i="162"/>
  <c r="V53" i="116"/>
  <c r="V25" i="162" s="1"/>
  <c r="U25" i="162"/>
  <c r="V35" i="116"/>
  <c r="V16" i="162" s="1"/>
  <c r="U16" i="162"/>
  <c r="V6" i="116"/>
  <c r="V6" i="162" s="1"/>
  <c r="U6" i="162"/>
  <c r="V61" i="116"/>
  <c r="V33" i="162" s="1"/>
  <c r="U33" i="162"/>
  <c r="V30" i="116"/>
  <c r="V63" i="162" s="1"/>
  <c r="U63" i="162"/>
  <c r="V43" i="116"/>
  <c r="V20" i="162" s="1"/>
  <c r="U20" i="162"/>
  <c r="V22" i="116"/>
  <c r="V60" i="162" s="1"/>
  <c r="U60" i="162"/>
  <c r="V16" i="116"/>
  <c r="V8" i="162" s="1"/>
  <c r="U8" i="162"/>
  <c r="AM10" i="129"/>
  <c r="AL12" i="129"/>
  <c r="AN9" i="130"/>
  <c r="U26" i="130"/>
  <c r="V9" i="130"/>
  <c r="V26" i="130" s="1"/>
  <c r="AZ9" i="131"/>
  <c r="AZ17" i="131" s="1"/>
  <c r="AN17" i="131"/>
  <c r="U39" i="135"/>
  <c r="V9" i="135"/>
  <c r="V39" i="135" s="1"/>
  <c r="W9" i="135"/>
  <c r="W39" i="135" s="1"/>
  <c r="AN9" i="135"/>
  <c r="W11" i="136"/>
  <c r="W21" i="136" s="1"/>
  <c r="AN11" i="136"/>
  <c r="U21" i="136"/>
  <c r="AN9" i="137"/>
  <c r="U28" i="137"/>
  <c r="W9" i="137"/>
  <c r="W28" i="137" s="1"/>
  <c r="AZ8" i="139"/>
  <c r="AM53" i="139"/>
  <c r="AK78" i="139"/>
  <c r="AN93" i="140"/>
  <c r="AY5" i="140"/>
  <c r="AY93" i="140" s="1"/>
  <c r="AY116" i="140" s="1"/>
  <c r="U116" i="140"/>
  <c r="BB95" i="140"/>
  <c r="BB115" i="140" s="1"/>
  <c r="BB116" i="140" s="1"/>
  <c r="AN115" i="140"/>
  <c r="AY12" i="141"/>
  <c r="AY60" i="141" s="1"/>
  <c r="AN60" i="141"/>
  <c r="U102" i="141"/>
  <c r="AY86" i="141"/>
  <c r="AY101" i="141" s="1"/>
  <c r="AN101" i="141"/>
  <c r="V8" i="128"/>
  <c r="V15" i="128" s="1"/>
  <c r="AN8" i="128"/>
  <c r="U15" i="128"/>
  <c r="V12" i="127"/>
  <c r="V19" i="148" s="1"/>
  <c r="V20" i="148" s="1"/>
  <c r="T19" i="97" s="1"/>
  <c r="U19" i="148"/>
  <c r="U20" i="148" s="1"/>
  <c r="S19" i="97" s="1"/>
  <c r="V13" i="127"/>
  <c r="V10" i="148" s="1"/>
  <c r="U10" i="148"/>
  <c r="V11" i="127"/>
  <c r="V6" i="148" s="1"/>
  <c r="V7" i="148" s="1"/>
  <c r="U6" i="148"/>
  <c r="U7" i="148" s="1"/>
  <c r="V8" i="127"/>
  <c r="V9" i="148" s="1"/>
  <c r="V13" i="148" s="1"/>
  <c r="V21" i="148" s="1"/>
  <c r="U9" i="148"/>
  <c r="U13" i="148" s="1"/>
  <c r="U21" i="148" s="1"/>
  <c r="M24" i="149"/>
  <c r="V12" i="126"/>
  <c r="V12" i="149" s="1"/>
  <c r="U12" i="149"/>
  <c r="V22" i="126"/>
  <c r="V22" i="149" s="1"/>
  <c r="U22" i="149"/>
  <c r="U23" i="126"/>
  <c r="U16" i="149"/>
  <c r="V16" i="126"/>
  <c r="R17" i="12"/>
  <c r="U24" i="126"/>
  <c r="V13" i="126"/>
  <c r="V13" i="149" s="1"/>
  <c r="U13" i="149"/>
  <c r="W15" i="150"/>
  <c r="W17" i="150" s="1"/>
  <c r="W18" i="150" s="1"/>
  <c r="W14" i="125"/>
  <c r="U18" i="150"/>
  <c r="V15" i="150"/>
  <c r="V17" i="150" s="1"/>
  <c r="V18" i="150" s="1"/>
  <c r="V14" i="125"/>
  <c r="U7" i="151"/>
  <c r="V7" i="146"/>
  <c r="V10" i="146"/>
  <c r="V16" i="151" s="1"/>
  <c r="U16" i="151"/>
  <c r="V8" i="146"/>
  <c r="V13" i="151" s="1"/>
  <c r="V20" i="151" s="1"/>
  <c r="U13" i="151"/>
  <c r="V6" i="146"/>
  <c r="V6" i="151" s="1"/>
  <c r="U6" i="151"/>
  <c r="U19" i="146"/>
  <c r="V9" i="146"/>
  <c r="V14" i="151" s="1"/>
  <c r="U14" i="151"/>
  <c r="U16" i="12"/>
  <c r="E16" i="78"/>
  <c r="R8" i="12"/>
  <c r="U118" i="117"/>
  <c r="M118" i="117"/>
  <c r="V17" i="148"/>
  <c r="S18" i="12"/>
  <c r="F5" i="81"/>
  <c r="R7" i="12"/>
  <c r="U105" i="116"/>
  <c r="M105" i="116"/>
  <c r="W6" i="124"/>
  <c r="W25" i="124" s="1"/>
  <c r="U25" i="124"/>
  <c r="U16" i="122"/>
  <c r="S12" i="12" s="1"/>
  <c r="W6" i="122"/>
  <c r="W16" i="122" s="1"/>
  <c r="S13" i="12"/>
  <c r="S9" i="12"/>
  <c r="U9" i="12"/>
  <c r="J13" i="100"/>
  <c r="U30" i="155" l="1"/>
  <c r="U31" i="155" s="1"/>
  <c r="V12" i="153"/>
  <c r="V31" i="153" s="1"/>
  <c r="V57" i="153" s="1"/>
  <c r="V49" i="123"/>
  <c r="S15" i="97"/>
  <c r="F20" i="61" s="1"/>
  <c r="U31" i="153"/>
  <c r="U57" i="153" s="1"/>
  <c r="V56" i="153"/>
  <c r="T15" i="97" s="1"/>
  <c r="R15" i="97"/>
  <c r="T57" i="153"/>
  <c r="R8" i="97"/>
  <c r="W56" i="153"/>
  <c r="W49" i="123"/>
  <c r="W29" i="121"/>
  <c r="W9" i="155"/>
  <c r="W30" i="155" s="1"/>
  <c r="U32" i="155"/>
  <c r="M32" i="155"/>
  <c r="M20" i="97"/>
  <c r="F5" i="72"/>
  <c r="S11" i="12"/>
  <c r="F12" i="42" s="1"/>
  <c r="S7" i="97"/>
  <c r="F15" i="61" s="1"/>
  <c r="M19" i="12"/>
  <c r="V108" i="117"/>
  <c r="V47" i="167" s="1"/>
  <c r="V56" i="167" s="1"/>
  <c r="T8" i="97" s="1"/>
  <c r="U87" i="167"/>
  <c r="S11" i="97" s="1"/>
  <c r="F9" i="61" s="1"/>
  <c r="V117" i="167"/>
  <c r="T14" i="97" s="1"/>
  <c r="U117" i="167"/>
  <c r="S14" i="97" s="1"/>
  <c r="F18" i="61" s="1"/>
  <c r="R20" i="97"/>
  <c r="K27" i="97" s="1"/>
  <c r="U108" i="167"/>
  <c r="S12" i="97" s="1"/>
  <c r="F10" i="61" s="1"/>
  <c r="V108" i="167"/>
  <c r="T12" i="97" s="1"/>
  <c r="V111" i="117"/>
  <c r="V48" i="167" s="1"/>
  <c r="Y48" i="167"/>
  <c r="Y56" i="167" s="1"/>
  <c r="W8" i="97" s="1"/>
  <c r="U122" i="167"/>
  <c r="S18" i="97" s="1"/>
  <c r="F12" i="61" s="1"/>
  <c r="Y108" i="167"/>
  <c r="U56" i="167"/>
  <c r="V107" i="117"/>
  <c r="V83" i="167" s="1"/>
  <c r="Y83" i="167"/>
  <c r="U117" i="117"/>
  <c r="V110" i="117"/>
  <c r="V85" i="167" s="1"/>
  <c r="Y85" i="167"/>
  <c r="S13" i="97"/>
  <c r="F11" i="61" s="1"/>
  <c r="Y115" i="117"/>
  <c r="Y117" i="117" s="1"/>
  <c r="W8" i="12" s="1"/>
  <c r="W19" i="12" s="1"/>
  <c r="W25" i="12" s="1"/>
  <c r="V122" i="167"/>
  <c r="T18" i="97" s="1"/>
  <c r="V93" i="117"/>
  <c r="V105" i="117"/>
  <c r="V82" i="167" s="1"/>
  <c r="Y82" i="167"/>
  <c r="T123" i="167"/>
  <c r="V84" i="167"/>
  <c r="AN102" i="141"/>
  <c r="AY102" i="141"/>
  <c r="U12" i="151"/>
  <c r="U20" i="151"/>
  <c r="U21" i="151" s="1"/>
  <c r="U23" i="149"/>
  <c r="V50" i="162"/>
  <c r="T7" i="97" s="1"/>
  <c r="U109" i="162"/>
  <c r="U50" i="162"/>
  <c r="U12" i="12"/>
  <c r="E13" i="74"/>
  <c r="F15" i="69"/>
  <c r="V75" i="116"/>
  <c r="V77" i="162" s="1"/>
  <c r="V102" i="162" s="1"/>
  <c r="V108" i="162" s="1"/>
  <c r="U77" i="162"/>
  <c r="V104" i="116"/>
  <c r="U104" i="116"/>
  <c r="AN10" i="129"/>
  <c r="AN12" i="129" s="1"/>
  <c r="AM12" i="129"/>
  <c r="AY9" i="130"/>
  <c r="AY26" i="130" s="1"/>
  <c r="AN26" i="130"/>
  <c r="AN39" i="135"/>
  <c r="AY9" i="135"/>
  <c r="AY39" i="135" s="1"/>
  <c r="AZ10" i="136"/>
  <c r="AN21" i="136"/>
  <c r="AZ20" i="136" s="1"/>
  <c r="AN28" i="137"/>
  <c r="AZ9" i="137"/>
  <c r="AZ28" i="137" s="1"/>
  <c r="AP53" i="139"/>
  <c r="AP78" i="139" s="1"/>
  <c r="AM78" i="139"/>
  <c r="AN53" i="139"/>
  <c r="AN116" i="140"/>
  <c r="AY8" i="128"/>
  <c r="AY15" i="128" s="1"/>
  <c r="AN15" i="128"/>
  <c r="S8" i="12"/>
  <c r="F9" i="42" s="1"/>
  <c r="F5" i="68"/>
  <c r="U22" i="148"/>
  <c r="M22" i="148"/>
  <c r="V16" i="127"/>
  <c r="E10" i="81" s="1"/>
  <c r="V23" i="126"/>
  <c r="T17" i="12" s="1"/>
  <c r="V16" i="149"/>
  <c r="V23" i="149" s="1"/>
  <c r="S17" i="12"/>
  <c r="F19" i="42" s="1"/>
  <c r="F6" i="158"/>
  <c r="T16" i="12"/>
  <c r="E15" i="78"/>
  <c r="S15" i="12"/>
  <c r="F17" i="42" s="1"/>
  <c r="F7" i="77"/>
  <c r="V19" i="146"/>
  <c r="V7" i="151"/>
  <c r="V12" i="151" s="1"/>
  <c r="V21" i="151" s="1"/>
  <c r="U22" i="151"/>
  <c r="M22" i="151"/>
  <c r="F13" i="42"/>
  <c r="F14" i="42"/>
  <c r="F10" i="42"/>
  <c r="F21" i="42"/>
  <c r="R19" i="12"/>
  <c r="S14" i="12"/>
  <c r="U14" i="12"/>
  <c r="R20" i="12"/>
  <c r="S8" i="97" l="1"/>
  <c r="F8" i="61" s="1"/>
  <c r="F21" i="61" s="1"/>
  <c r="I10" i="61" s="1"/>
  <c r="U58" i="153"/>
  <c r="M58" i="153"/>
  <c r="E16" i="73"/>
  <c r="U13" i="12"/>
  <c r="U15" i="97"/>
  <c r="W57" i="153"/>
  <c r="E15" i="73"/>
  <c r="T13" i="12"/>
  <c r="W31" i="155"/>
  <c r="U11" i="97"/>
  <c r="U20" i="97" s="1"/>
  <c r="U25" i="97" s="1"/>
  <c r="U11" i="12"/>
  <c r="E12" i="72"/>
  <c r="Y87" i="167"/>
  <c r="W11" i="97" s="1"/>
  <c r="E14" i="68"/>
  <c r="S22" i="97"/>
  <c r="V87" i="167"/>
  <c r="T11" i="97" s="1"/>
  <c r="T20" i="97" s="1"/>
  <c r="T25" i="97" s="1"/>
  <c r="K22" i="97"/>
  <c r="S27" i="97"/>
  <c r="S20" i="97"/>
  <c r="S25" i="97" s="1"/>
  <c r="V115" i="117"/>
  <c r="V117" i="117" s="1"/>
  <c r="U124" i="167"/>
  <c r="M124" i="167"/>
  <c r="U123" i="167"/>
  <c r="W12" i="97"/>
  <c r="W20" i="97" s="1"/>
  <c r="W25" i="97" s="1"/>
  <c r="Y123" i="167"/>
  <c r="M109" i="162"/>
  <c r="U102" i="162"/>
  <c r="U108" i="162" s="1"/>
  <c r="E14" i="74"/>
  <c r="F12" i="74" s="1"/>
  <c r="T18" i="12"/>
  <c r="H5" i="67"/>
  <c r="S7" i="12"/>
  <c r="F8" i="42" s="1"/>
  <c r="E12" i="67"/>
  <c r="E14" i="67" s="1"/>
  <c r="T7" i="12"/>
  <c r="AZ21" i="136"/>
  <c r="AZ53" i="139"/>
  <c r="AZ78" i="139" s="1"/>
  <c r="AN78" i="139"/>
  <c r="E18" i="78"/>
  <c r="F15" i="78" s="1"/>
  <c r="E15" i="77"/>
  <c r="T15" i="12"/>
  <c r="F15" i="42"/>
  <c r="E12" i="81"/>
  <c r="F11" i="81" s="1"/>
  <c r="U19" i="12" l="1"/>
  <c r="U25" i="12" s="1"/>
  <c r="E18" i="73"/>
  <c r="F17" i="73" s="1"/>
  <c r="F16" i="73"/>
  <c r="I20" i="61"/>
  <c r="E14" i="72"/>
  <c r="F13" i="72" s="1"/>
  <c r="I15" i="61"/>
  <c r="I12" i="61"/>
  <c r="I17" i="61"/>
  <c r="I19" i="61"/>
  <c r="I16" i="61"/>
  <c r="I8" i="61"/>
  <c r="I14" i="61"/>
  <c r="I9" i="61"/>
  <c r="V123" i="167"/>
  <c r="I13" i="61"/>
  <c r="I18" i="61"/>
  <c r="I11" i="61"/>
  <c r="T8" i="12"/>
  <c r="T19" i="12" s="1"/>
  <c r="T25" i="12" s="1"/>
  <c r="E12" i="68"/>
  <c r="S19" i="12"/>
  <c r="E26" i="39" s="1"/>
  <c r="G7" i="41" s="1"/>
  <c r="F13" i="74"/>
  <c r="F14" i="74" s="1"/>
  <c r="H12" i="67"/>
  <c r="H14" i="67"/>
  <c r="H13" i="67"/>
  <c r="F17" i="78"/>
  <c r="F16" i="78"/>
  <c r="E17" i="77"/>
  <c r="F16" i="77" s="1"/>
  <c r="F10" i="81"/>
  <c r="F12" i="81" s="1"/>
  <c r="S20" i="12"/>
  <c r="K20" i="12"/>
  <c r="F22" i="42"/>
  <c r="F15" i="73" l="1"/>
  <c r="F18" i="73" s="1"/>
  <c r="F12" i="72"/>
  <c r="F14" i="72" s="1"/>
  <c r="I21" i="61"/>
  <c r="E16" i="68"/>
  <c r="F12" i="68" s="1"/>
  <c r="S25" i="12"/>
  <c r="F18" i="78"/>
  <c r="F15" i="77"/>
  <c r="F17" i="77" s="1"/>
  <c r="J9" i="42"/>
  <c r="J11" i="42"/>
  <c r="J14" i="42"/>
  <c r="J21" i="42"/>
  <c r="J20" i="42"/>
  <c r="J19" i="42"/>
  <c r="J12" i="42"/>
  <c r="J10" i="42"/>
  <c r="J18" i="42"/>
  <c r="J17" i="42"/>
  <c r="J8" i="42"/>
  <c r="J13" i="42"/>
  <c r="J16" i="42"/>
  <c r="J15" i="42"/>
  <c r="F13" i="68" l="1"/>
  <c r="F14" i="68"/>
  <c r="F15" i="68"/>
  <c r="J22" i="42"/>
  <c r="A6" i="148"/>
  <c r="A8" i="148"/>
  <c r="A9" i="148"/>
  <c r="A10" i="148" s="1"/>
  <c r="A11" i="148" s="1"/>
  <c r="A12" i="148" s="1"/>
  <c r="A14" i="148" s="1"/>
  <c r="A17" i="148" s="1"/>
  <c r="A19" i="148" s="1"/>
  <c r="A21" i="148" s="1"/>
  <c r="A8" i="150"/>
  <c r="A10" i="150" s="1"/>
  <c r="A11" i="150" s="1"/>
  <c r="A12" i="150" s="1"/>
  <c r="A13" i="150" s="1"/>
  <c r="A15" i="150" s="1"/>
  <c r="A16" i="150" s="1"/>
  <c r="A18" i="150" s="1"/>
  <c r="A6" i="153"/>
  <c r="A8" i="153" s="1"/>
  <c r="A10" i="153" s="1"/>
  <c r="A11" i="153" s="1"/>
  <c r="A12" i="153" s="1"/>
  <c r="A13" i="153" s="1"/>
  <c r="A14" i="153" s="1"/>
  <c r="A15" i="153" s="1"/>
  <c r="A16" i="153" s="1"/>
  <c r="A17" i="153" s="1"/>
  <c r="A18" i="153" s="1"/>
  <c r="A19" i="153" s="1"/>
  <c r="A20" i="153" s="1"/>
  <c r="A21" i="153" s="1"/>
  <c r="A22" i="153" s="1"/>
  <c r="A23" i="153" s="1"/>
  <c r="A24" i="153" s="1"/>
  <c r="A25" i="153" s="1"/>
  <c r="A26" i="153" s="1"/>
  <c r="A27" i="153" s="1"/>
  <c r="A28" i="153" s="1"/>
  <c r="A29" i="153" s="1"/>
  <c r="A30" i="153" s="1"/>
  <c r="A34" i="153"/>
  <c r="A36" i="153" s="1"/>
  <c r="A37" i="153" s="1"/>
  <c r="A38" i="153" s="1"/>
  <c r="A39" i="153" s="1"/>
  <c r="A41" i="153" s="1"/>
  <c r="A43" i="153" s="1"/>
  <c r="A45" i="153" s="1"/>
  <c r="A46" i="153" s="1"/>
  <c r="A47" i="153" s="1"/>
  <c r="A48" i="153" s="1"/>
  <c r="A49" i="153" s="1"/>
  <c r="A50" i="153" s="1"/>
  <c r="A51" i="153" s="1"/>
  <c r="A52" i="153" s="1"/>
  <c r="A53" i="153" s="1"/>
  <c r="A54" i="153" s="1"/>
  <c r="A55" i="153" s="1"/>
  <c r="A57" i="153" s="1"/>
  <c r="A6" i="154"/>
  <c r="A7" i="154"/>
  <c r="A8" i="154"/>
  <c r="A9" i="154"/>
  <c r="A10" i="154"/>
  <c r="A11" i="154"/>
  <c r="A12" i="154"/>
  <c r="A13" i="154"/>
  <c r="A14" i="154"/>
  <c r="A16" i="154"/>
  <c r="A18" i="154"/>
  <c r="A6" i="155"/>
  <c r="A8" i="155"/>
  <c r="A9" i="155"/>
  <c r="A10" i="155" s="1"/>
  <c r="A11" i="155" s="1"/>
  <c r="A12" i="155" s="1"/>
  <c r="A13" i="155" s="1"/>
  <c r="A14" i="155" s="1"/>
  <c r="A15" i="155" s="1"/>
  <c r="A16" i="155" s="1"/>
  <c r="A17" i="155" s="1"/>
  <c r="A18" i="155" s="1"/>
  <c r="A19" i="155" s="1"/>
  <c r="A20" i="155" s="1"/>
  <c r="A21" i="155" s="1"/>
  <c r="A22" i="155" s="1"/>
  <c r="A23" i="155" s="1"/>
  <c r="A24" i="155" s="1"/>
  <c r="A25" i="155" s="1"/>
  <c r="A26" i="155" s="1"/>
  <c r="A27" i="155" s="1"/>
  <c r="A28" i="155" s="1"/>
  <c r="A29" i="155" s="1"/>
  <c r="A31" i="155" s="1"/>
  <c r="A12" i="157"/>
  <c r="A13" i="157"/>
  <c r="A14" i="157" s="1"/>
  <c r="A15" i="157" s="1"/>
  <c r="A16" i="157" s="1"/>
  <c r="A17" i="157" s="1"/>
  <c r="A18" i="157" s="1"/>
  <c r="A19" i="157" s="1"/>
  <c r="A21" i="157" s="1"/>
  <c r="A22" i="157" s="1"/>
  <c r="A23" i="157" s="1"/>
  <c r="A24" i="157" s="1"/>
  <c r="A25" i="157" s="1"/>
  <c r="A26" i="157" s="1"/>
  <c r="A27" i="157" s="1"/>
  <c r="A28" i="157" s="1"/>
  <c r="A29" i="157" s="1"/>
  <c r="A30" i="157" s="1"/>
  <c r="A31" i="157" s="1"/>
  <c r="A32" i="157" s="1"/>
  <c r="A33" i="157" s="1"/>
  <c r="A34" i="157" s="1"/>
  <c r="A35" i="157" s="1"/>
  <c r="A36" i="157" s="1"/>
  <c r="A37" i="157" s="1"/>
  <c r="A38" i="157" s="1"/>
  <c r="A39" i="157" s="1"/>
  <c r="A40" i="157" s="1"/>
  <c r="A41" i="157" s="1"/>
  <c r="A42" i="157" s="1"/>
  <c r="A43" i="157" s="1"/>
  <c r="A44" i="157" s="1"/>
  <c r="A45" i="157" s="1"/>
  <c r="A46" i="157" s="1"/>
  <c r="A47" i="157" s="1"/>
  <c r="A48" i="157" s="1"/>
  <c r="A49" i="157" s="1"/>
  <c r="A50" i="157" s="1"/>
  <c r="A51" i="157" s="1"/>
  <c r="A52" i="157" s="1"/>
  <c r="A53" i="157" s="1"/>
  <c r="A54" i="157" s="1"/>
  <c r="A55" i="157" s="1"/>
  <c r="A57" i="157" s="1"/>
  <c r="A58" i="157" s="1"/>
  <c r="A59" i="157" s="1"/>
  <c r="A61" i="157" s="1"/>
  <c r="A63" i="157" s="1"/>
  <c r="A65" i="157" s="1"/>
  <c r="A66" i="157" s="1"/>
  <c r="A67" i="157" s="1"/>
  <c r="A68" i="157" s="1"/>
  <c r="A69" i="157" s="1"/>
  <c r="A71" i="157" s="1"/>
  <c r="A72" i="157" s="1"/>
  <c r="A74" i="157" s="1"/>
  <c r="A75" i="157" s="1"/>
  <c r="A76" i="157" s="1"/>
  <c r="A77" i="157" s="1"/>
  <c r="A78" i="157" s="1"/>
  <c r="A79" i="157" s="1"/>
  <c r="A81" i="157" s="1"/>
  <c r="A6" i="157"/>
  <c r="A8" i="157"/>
  <c r="F16" i="68" l="1"/>
  <c r="A7" i="162"/>
  <c r="A8" i="162"/>
  <c r="A9" i="162"/>
  <c r="A10" i="162" s="1"/>
  <c r="A11" i="162" s="1"/>
  <c r="A12" i="162" s="1"/>
  <c r="A13" i="162" s="1"/>
  <c r="A14" i="162" s="1"/>
  <c r="A15" i="162" s="1"/>
  <c r="A16" i="162" s="1"/>
  <c r="A17" i="162" s="1"/>
  <c r="A18" i="162" s="1"/>
  <c r="A19" i="162" s="1"/>
  <c r="A20" i="162" s="1"/>
  <c r="A21" i="162" s="1"/>
  <c r="A22" i="162" s="1"/>
  <c r="A23" i="162" s="1"/>
  <c r="A24" i="162" s="1"/>
  <c r="A25" i="162" s="1"/>
  <c r="A26" i="162" s="1"/>
  <c r="A27" i="162" s="1"/>
  <c r="A28" i="162" s="1"/>
  <c r="A29" i="162" s="1"/>
  <c r="A30" i="162" s="1"/>
  <c r="A31" i="162" s="1"/>
  <c r="A32" i="162" s="1"/>
  <c r="A33" i="162" s="1"/>
  <c r="A34" i="162" s="1"/>
  <c r="A35" i="162" s="1"/>
  <c r="A36" i="162" s="1"/>
  <c r="A37" i="162" s="1"/>
  <c r="A38" i="162" s="1"/>
  <c r="A39" i="162" s="1"/>
  <c r="A40" i="162" s="1"/>
  <c r="A41" i="162" s="1"/>
  <c r="A42" i="162" s="1"/>
  <c r="A43" i="162" s="1"/>
  <c r="A44" i="162" s="1"/>
  <c r="A45" i="162" s="1"/>
  <c r="A46" i="162" s="1"/>
  <c r="A47" i="162" s="1"/>
  <c r="A48" i="162" s="1"/>
  <c r="A49" i="162" s="1"/>
  <c r="A51" i="162" s="1"/>
  <c r="A52" i="162" s="1"/>
  <c r="A53" i="162" s="1"/>
  <c r="A54" i="162" s="1"/>
  <c r="A55" i="162" s="1"/>
  <c r="A56" i="162" s="1"/>
  <c r="A57" i="162" s="1"/>
  <c r="A58" i="162" s="1"/>
  <c r="A59" i="162" s="1"/>
  <c r="A60" i="162" s="1"/>
  <c r="A61" i="162" s="1"/>
  <c r="A62" i="162" s="1"/>
  <c r="A63" i="162" s="1"/>
  <c r="A64" i="162" s="1"/>
  <c r="A65" i="162" s="1"/>
  <c r="A66" i="162" s="1"/>
  <c r="A67" i="162" s="1"/>
  <c r="A68" i="162" s="1"/>
  <c r="A69" i="162" s="1"/>
  <c r="A70" i="162" s="1"/>
  <c r="A71" i="162" s="1"/>
  <c r="A72" i="162" s="1"/>
  <c r="A73" i="162" s="1"/>
  <c r="A74" i="162" s="1"/>
  <c r="A75" i="162" s="1"/>
  <c r="A76" i="162" s="1"/>
  <c r="A77" i="162" s="1"/>
  <c r="A78" i="162" s="1"/>
  <c r="A79" i="162" s="1"/>
  <c r="A80" i="162" s="1"/>
  <c r="A81" i="162" s="1"/>
  <c r="A8" i="151"/>
  <c r="A9" i="151" s="1"/>
  <c r="A10" i="151" s="1"/>
  <c r="A11" i="151" s="1"/>
  <c r="A13" i="151" s="1"/>
  <c r="A14" i="151" s="1"/>
  <c r="A15" i="151" s="1"/>
  <c r="A16" i="151" s="1"/>
  <c r="A17" i="151" s="1"/>
  <c r="A18" i="151" s="1"/>
  <c r="A19" i="151" s="1"/>
  <c r="A21" i="151" s="1"/>
  <c r="A6" i="167"/>
  <c r="A8" i="167"/>
  <c r="A9" i="167"/>
  <c r="A10" i="167"/>
  <c r="A11" i="167" s="1"/>
  <c r="A12" i="167" s="1"/>
  <c r="A13" i="167" s="1"/>
  <c r="A15" i="167" s="1"/>
  <c r="A16" i="167" s="1"/>
  <c r="A17" i="167" s="1"/>
  <c r="A18" i="167" s="1"/>
  <c r="A19" i="167" s="1"/>
  <c r="A20" i="167" s="1"/>
  <c r="A21" i="167" s="1"/>
  <c r="A22" i="167" s="1"/>
  <c r="A23" i="167" s="1"/>
  <c r="A24" i="167" s="1"/>
  <c r="A25" i="167" s="1"/>
  <c r="A26" i="167" s="1"/>
  <c r="A27" i="167" s="1"/>
  <c r="A28" i="167" s="1"/>
  <c r="A29" i="167" s="1"/>
  <c r="A30" i="167" s="1"/>
  <c r="A31" i="167" s="1"/>
  <c r="A32" i="167" s="1"/>
  <c r="A33" i="167" s="1"/>
  <c r="A34" i="167" s="1"/>
  <c r="A35" i="167" s="1"/>
  <c r="A36" i="167" s="1"/>
  <c r="A37" i="167" s="1"/>
  <c r="A38" i="167" s="1"/>
  <c r="A39" i="167" s="1"/>
  <c r="A40" i="167" s="1"/>
  <c r="A41" i="167" s="1"/>
  <c r="A42" i="167" s="1"/>
  <c r="A43" i="167" s="1"/>
  <c r="A44" i="167" s="1"/>
  <c r="A45" i="167" s="1"/>
  <c r="A46" i="167" s="1"/>
  <c r="A47" i="167" s="1"/>
  <c r="A48" i="167" s="1"/>
  <c r="A49" i="167" s="1"/>
  <c r="A50" i="167" s="1"/>
  <c r="A51" i="167" s="1"/>
  <c r="A52" i="167" s="1"/>
  <c r="A53" i="167" s="1"/>
  <c r="A54" i="167" s="1"/>
  <c r="A55" i="167" s="1"/>
  <c r="A57" i="167" s="1"/>
  <c r="A59" i="167" s="1"/>
  <c r="A61" i="167" s="1"/>
  <c r="A63" i="167" s="1"/>
  <c r="A64" i="167" s="1"/>
  <c r="A65" i="167" s="1"/>
  <c r="A66" i="167" s="1"/>
  <c r="A67" i="167" s="1"/>
  <c r="A68" i="167" s="1"/>
  <c r="A69" i="167" s="1"/>
  <c r="A70" i="167" s="1"/>
  <c r="A71" i="167" s="1"/>
  <c r="A72" i="167" s="1"/>
  <c r="A73" i="167" s="1"/>
  <c r="A74" i="167" s="1"/>
  <c r="A75" i="167" s="1"/>
  <c r="A76" i="167" s="1"/>
  <c r="A77" i="167" s="1"/>
  <c r="A78" i="167" s="1"/>
  <c r="A79" i="167" s="1"/>
  <c r="A80" i="167" s="1"/>
  <c r="A81" i="167" s="1"/>
  <c r="A82" i="167" s="1"/>
  <c r="A83" i="167" s="1"/>
  <c r="A84" i="167" s="1"/>
  <c r="A85" i="167" s="1"/>
  <c r="A86" i="167" s="1"/>
  <c r="A88" i="167" s="1"/>
  <c r="A89" i="167" s="1"/>
  <c r="A90" i="167" s="1"/>
  <c r="A91" i="167" s="1"/>
  <c r="A92" i="167" s="1"/>
  <c r="A93" i="167" s="1"/>
  <c r="A94" i="167" s="1"/>
  <c r="A95" i="167" s="1"/>
  <c r="A96" i="167" s="1"/>
  <c r="A97" i="167" s="1"/>
  <c r="A98" i="167" s="1"/>
  <c r="A99" i="167" s="1"/>
  <c r="A100" i="167" s="1"/>
  <c r="A101" i="167" s="1"/>
  <c r="A102" i="167" s="1"/>
  <c r="A103" i="167" s="1"/>
  <c r="A104" i="167" s="1"/>
  <c r="A105" i="167" s="1"/>
  <c r="A106" i="167" s="1"/>
  <c r="A107" i="167" s="1"/>
  <c r="A109" i="167" s="1"/>
  <c r="A110" i="167" s="1"/>
  <c r="A112" i="167" s="1"/>
  <c r="A114" i="167" s="1"/>
  <c r="A115" i="167" s="1"/>
  <c r="A116" i="167" s="1"/>
  <c r="A118" i="167" s="1"/>
  <c r="A119" i="167" s="1"/>
  <c r="A120" i="167" s="1"/>
  <c r="A121" i="167" s="1"/>
  <c r="A123" i="167" s="1"/>
  <c r="A83" i="162" l="1"/>
  <c r="A84" i="162" s="1"/>
  <c r="A85" i="162" s="1"/>
  <c r="A86" i="162" s="1"/>
  <c r="A87" i="162" s="1"/>
  <c r="A88" i="162" s="1"/>
  <c r="A89" i="162" s="1"/>
  <c r="A90" i="162" s="1"/>
  <c r="A91" i="162" s="1"/>
  <c r="A92" i="162" s="1"/>
  <c r="A93" i="162" s="1"/>
  <c r="A94" i="162" s="1"/>
  <c r="A95" i="162" s="1"/>
  <c r="A96" i="162" s="1"/>
  <c r="A97" i="162" s="1"/>
  <c r="A98" i="162" s="1"/>
  <c r="A99" i="162" s="1"/>
  <c r="A100" i="162" s="1"/>
  <c r="A101" i="162" s="1"/>
  <c r="A103" i="162" s="1"/>
  <c r="A105" i="162" s="1"/>
  <c r="A106" i="162" s="1"/>
  <c r="A108" i="162" s="1"/>
  <c r="A82" i="162"/>
</calcChain>
</file>

<file path=xl/comments1.xml><?xml version="1.0" encoding="utf-8"?>
<comments xmlns="http://schemas.openxmlformats.org/spreadsheetml/2006/main">
  <authors>
    <author>Gizbarut-Orna Goldfriend</author>
  </authors>
  <commentList>
    <comment ref="K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תאגיד המים
 ותרומה
ואפריקה ישראל
</t>
        </r>
      </text>
    </comment>
  </commentList>
</comments>
</file>

<file path=xl/comments2.xml><?xml version="1.0" encoding="utf-8"?>
<comments xmlns="http://schemas.openxmlformats.org/spreadsheetml/2006/main">
  <authors>
    <author>Gizbarut-Orna Goldfriend</author>
  </authors>
  <commentList>
    <comment ref="Z1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 שתי הרשאות מ. התחבורה</t>
        </r>
      </text>
    </comment>
    <comment ref="Q2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ממתין לטופס תב"ר</t>
        </r>
      </text>
    </comment>
    <comment ref="Q5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הוקטן ע"י הנדסה</t>
        </r>
      </text>
    </comment>
  </commentList>
</comments>
</file>

<file path=xl/comments3.xml><?xml version="1.0" encoding="utf-8"?>
<comments xmlns="http://schemas.openxmlformats.org/spreadsheetml/2006/main">
  <authors>
    <author>Gizbarut-Orna Goldfriend</author>
    <author>Eng-Sless Tova</author>
  </authors>
  <commentList>
    <comment ref="Z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 שתי הרשאות מ. התחבורה</t>
        </r>
      </text>
    </comment>
    <comment ref="Q1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ממתין לטופס תב"ר</t>
        </r>
      </text>
    </comment>
    <comment ref="Q3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הוקטן ע"י הנדסה</t>
        </r>
      </text>
    </comment>
    <comment ref="N85" authorId="1" shapeId="0">
      <text>
        <r>
          <rPr>
            <b/>
            <sz val="9"/>
            <color indexed="81"/>
            <rFont val="Tahoma"/>
            <family val="2"/>
          </rPr>
          <t>Eng-Sless Tova:</t>
        </r>
        <r>
          <rPr>
            <sz val="9"/>
            <color indexed="81"/>
            <rFont val="Tahoma"/>
            <family val="2"/>
          </rPr>
          <t xml:space="preserve">
עבור מדידות
כל מרכז העיר נדרש 
לתשתיות ורח'י  </t>
        </r>
      </text>
    </comment>
  </commentList>
</comments>
</file>

<file path=xl/comments4.xml><?xml version="1.0" encoding="utf-8"?>
<comments xmlns="http://schemas.openxmlformats.org/spreadsheetml/2006/main">
  <authors>
    <author>Gizbarut-Orna Goldfriend</author>
  </authors>
  <commentList>
    <comment ref="Z1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 שתי הרשאות מ. התחבורה</t>
        </r>
      </text>
    </comment>
    <comment ref="Q2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ממתין לטופס תב"ר</t>
        </r>
      </text>
    </comment>
    <comment ref="Q5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הוקטן ע"י הנדסה</t>
        </r>
      </text>
    </comment>
  </commentList>
</comments>
</file>

<file path=xl/comments5.xml><?xml version="1.0" encoding="utf-8"?>
<comments xmlns="http://schemas.openxmlformats.org/spreadsheetml/2006/main">
  <authors>
    <author>Gizbarut-Orna Goldfriend</author>
  </authors>
  <commentList>
    <comment ref="H1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18.11.18
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18.11.18
</t>
        </r>
      </text>
    </comment>
    <comment ref="H3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עודכנו נתוני הביצוע. בוטל השריון</t>
        </r>
      </text>
    </comment>
    <comment ref="Q3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הזרמות 11/2018</t>
        </r>
      </text>
    </comment>
    <comment ref="Q4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הזרמות 11/2018</t>
        </r>
      </text>
    </comment>
    <comment ref="Q4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הזרמת 11/2018</t>
        </r>
      </text>
    </comment>
    <comment ref="Q4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הזרמת 11/2018</t>
        </r>
      </text>
    </comment>
    <comment ref="I5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29061 ₪ שייך לחב. לפיתוח "אופק"
</t>
        </r>
      </text>
    </comment>
    <comment ref="Q5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הזרמת 11/2018</t>
        </r>
      </text>
    </comment>
    <comment ref="Q5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הזרמת 11/2018</t>
        </r>
      </text>
    </comment>
    <comment ref="Q6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500 אלשח 10/2018, 13.7 מליון ₪ ב - 11/2018</t>
        </r>
      </text>
    </comment>
    <comment ref="Q6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הזרמת 11/2018</t>
        </r>
      </text>
    </comment>
    <comment ref="Q6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הזרמת 11/2018</t>
        </r>
      </text>
    </comment>
    <comment ref="Q7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לודכן תקציב.</t>
        </r>
      </text>
    </comment>
    <comment ref="Q7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הזרמת תקציב 10/2018</t>
        </r>
      </text>
    </comment>
    <comment ref="N7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הוקטן מהנתון המקורי שהוגש ע"י עמי
</t>
        </r>
      </text>
    </comment>
    <comment ref="Q7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1.8 מלשח הזרמה 11/2018. לעדכן תקציב 200 אלשח</t>
        </r>
      </text>
    </comment>
    <comment ref="Q7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הזרמה 1182018</t>
        </r>
      </text>
    </comment>
    <comment ref="Q7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הזרמה 1182018</t>
        </r>
      </text>
    </comment>
    <comment ref="Q7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הזרמה 1182018</t>
        </r>
      </text>
    </comment>
    <comment ref="R8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הזרמת תקציב 11/2018
</t>
        </r>
      </text>
    </comment>
    <comment ref="I8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29061 ₪ שייך לחב. לפיתוח "אופק"
</t>
        </r>
      </text>
    </comment>
    <comment ref="N9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הוקטן מהנתון המקורי 
</t>
        </r>
      </text>
    </comment>
    <comment ref="Q9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7 מלשח  ב - 10/2018 ו - 2 מליון ₪ ב - 11/2018
</t>
        </r>
      </text>
    </comment>
    <comment ref="Z9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בתאום עם שרית 13.11.18</t>
        </r>
      </text>
    </comment>
    <comment ref="Q99" authorId="0" shapeId="0">
      <text>
        <r>
          <rPr>
            <b/>
            <sz val="9"/>
            <color indexed="81"/>
            <rFont val="Tahoma"/>
            <family val="2"/>
          </rPr>
          <t xml:space="preserve">Gizbarut-Orna Goldfriend:הוזרם. לעדכן
</t>
        </r>
      </text>
    </comment>
    <comment ref="Q100" authorId="0" shapeId="0">
      <text>
        <r>
          <rPr>
            <b/>
            <sz val="9"/>
            <color indexed="81"/>
            <rFont val="Tahoma"/>
            <family val="2"/>
          </rPr>
          <t xml:space="preserve">Gizbarut-Orna Goldfriend:הוזרם. עודכן
</t>
        </r>
      </text>
    </comment>
    <comment ref="H10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איחוד עם תב"ר 1959
</t>
        </r>
      </text>
    </comment>
    <comment ref="Q10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הזרמה 11/2018
</t>
        </r>
      </text>
    </comment>
    <comment ref="Q10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מתוך הרשאה מס' 4501454085 בסכום של 6,701,920 ₪ </t>
        </r>
      </text>
    </comment>
    <comment ref="H10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איחוד עם תב"ר 1909
</t>
        </r>
      </text>
    </comment>
    <comment ref="Q1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מימןן רמי טרם התקבל
לבדוק האם יש כפילות תבר 1547</t>
        </r>
      </text>
    </comment>
  </commentList>
</comments>
</file>

<file path=xl/comments6.xml><?xml version="1.0" encoding="utf-8"?>
<comments xmlns="http://schemas.openxmlformats.org/spreadsheetml/2006/main">
  <authors>
    <author>Gizbarut-Orna Goldfriend</author>
  </authors>
  <commentList>
    <comment ref="H2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18.11.18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18.11.18
</t>
        </r>
      </text>
    </comment>
    <comment ref="N2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הוקטן מהנתון שהוגש ע"י עמי
</t>
        </r>
      </text>
    </comment>
    <comment ref="Q3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הזרמות 11/2018</t>
        </r>
      </text>
    </comment>
    <comment ref="Q3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הזרמת 11/2018</t>
        </r>
      </text>
    </comment>
    <comment ref="Q4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לודכן תקציב.</t>
        </r>
      </text>
    </comment>
    <comment ref="Q4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הזרמת תקציב 10/2018</t>
        </r>
      </text>
    </comment>
    <comment ref="N4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הוקטן מהנתון המקורי 
</t>
        </r>
      </text>
    </comment>
    <comment ref="Q4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7 מלשח  ב - 10/2018 ו - 2 מליון ₪ ב - 11/2018
</t>
        </r>
      </text>
    </comment>
    <comment ref="Z4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בתאום עם שרית 13.11.18</t>
        </r>
      </text>
    </comment>
    <comment ref="Q4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מתוך הרשאה מס' 4501454085 בסכום של 6,701,920 ₪ </t>
        </r>
      </text>
    </comment>
    <comment ref="Q5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מימןן רמי טרם התקבל
לבדוק האם יש כפילות תבר 1547</t>
        </r>
      </text>
    </comment>
    <comment ref="H5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עודכנו נתוני הביצוע. בוטל השריון</t>
        </r>
      </text>
    </comment>
    <comment ref="Q6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הזרמות 11/2018</t>
        </r>
      </text>
    </comment>
    <comment ref="I6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29061 ₪ שייך לחב. לפיתוח "אופק"
</t>
        </r>
      </text>
    </comment>
    <comment ref="Q6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500 אלשח 10/2018, 13.7 מליון ₪ ב - 11/2018</t>
        </r>
      </text>
    </comment>
    <comment ref="Q6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הזרמת 11/2018</t>
        </r>
      </text>
    </comment>
    <comment ref="Q7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הזרמה 1182018</t>
        </r>
      </text>
    </comment>
    <comment ref="Q7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הזרמה 1182018</t>
        </r>
      </text>
    </comment>
    <comment ref="Q7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הזרמה 1182018</t>
        </r>
      </text>
    </comment>
    <comment ref="Q77" authorId="0" shapeId="0">
      <text>
        <r>
          <rPr>
            <b/>
            <sz val="9"/>
            <color indexed="81"/>
            <rFont val="Tahoma"/>
            <family val="2"/>
          </rPr>
          <t xml:space="preserve">Gizbarut-Orna Goldfriend:הוזרם. לעדכן
</t>
        </r>
      </text>
    </comment>
    <comment ref="Q78" authorId="0" shapeId="0">
      <text>
        <r>
          <rPr>
            <b/>
            <sz val="9"/>
            <color indexed="81"/>
            <rFont val="Tahoma"/>
            <family val="2"/>
          </rPr>
          <t xml:space="preserve">Gizbarut-Orna Goldfriend:הוזרם. עודכן
</t>
        </r>
      </text>
    </comment>
    <comment ref="H8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איחוד עם תב"ר 1959
</t>
        </r>
      </text>
    </comment>
    <comment ref="Q8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הזרמה 11/2018
</t>
        </r>
      </text>
    </comment>
    <comment ref="H8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איחוד עם תב"ר 1909
</t>
        </r>
      </text>
    </comment>
    <comment ref="Q9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הזרמת 11/2018</t>
        </r>
      </text>
    </comment>
    <comment ref="Q9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הזרמת 11/2018</t>
        </r>
      </text>
    </comment>
    <comment ref="Q9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הזרמת 11/2018</t>
        </r>
      </text>
    </comment>
    <comment ref="Q10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הזרמת 11/2018</t>
        </r>
      </text>
    </comment>
    <comment ref="N10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הוקטן מהנתון המקורי שהוגש ע"י עמי
</t>
        </r>
      </text>
    </comment>
    <comment ref="Q10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1.8 מלשח הזרמה 11/2018. לעדכן תקציב 200 אלשח</t>
        </r>
      </text>
    </comment>
    <comment ref="R10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הזרמת תקציב 11/2018
</t>
        </r>
      </text>
    </comment>
    <comment ref="I10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29061 ₪ שייך לחב. לפיתוח "אופק"
</t>
        </r>
      </text>
    </comment>
  </commentList>
</comments>
</file>

<file path=xl/comments7.xml><?xml version="1.0" encoding="utf-8"?>
<comments xmlns="http://schemas.openxmlformats.org/spreadsheetml/2006/main">
  <authors>
    <author>Gizbarut-Orna Goldfriend</author>
  </authors>
  <commentList>
    <comment ref="H1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18.11.18
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18.11.18
</t>
        </r>
      </text>
    </comment>
    <comment ref="H3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עודכנו נתוני הביצוע. בוטל השריון</t>
        </r>
      </text>
    </comment>
    <comment ref="Q3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הזרמות 11/2018</t>
        </r>
      </text>
    </comment>
    <comment ref="Q4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הזרמות 11/2018</t>
        </r>
      </text>
    </comment>
    <comment ref="Q4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הזרמת 11/2018</t>
        </r>
      </text>
    </comment>
    <comment ref="Q4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הזרמת 11/2018</t>
        </r>
      </text>
    </comment>
    <comment ref="I5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29061 ₪ שייך לחב. לפיתוח "אופק"
</t>
        </r>
      </text>
    </comment>
    <comment ref="Q5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הזרמת 11/2018</t>
        </r>
      </text>
    </comment>
    <comment ref="Q5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הזרמת 11/2018</t>
        </r>
      </text>
    </comment>
    <comment ref="Q6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500 אלשח 10/2018, 13.7 מליון ₪ ב - 11/2018</t>
        </r>
      </text>
    </comment>
    <comment ref="Q6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הזרמת 11/2018</t>
        </r>
      </text>
    </comment>
    <comment ref="Q6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הזרמת 11/2018</t>
        </r>
      </text>
    </comment>
    <comment ref="Q7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לודכן תקציב.</t>
        </r>
      </text>
    </comment>
    <comment ref="Q7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הזרמת תקציב 10/2018</t>
        </r>
      </text>
    </comment>
    <comment ref="N7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הוקטן מהנתון המקורי שהוגש ע"י עמי
</t>
        </r>
      </text>
    </comment>
    <comment ref="Q7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1.8 מלשח הזרמה 11/2018. לעדכן תקציב 200 אלשח</t>
        </r>
      </text>
    </comment>
    <comment ref="Q7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הזרמה 1182018</t>
        </r>
      </text>
    </comment>
    <comment ref="Q7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הזרמה 1182018</t>
        </r>
      </text>
    </comment>
    <comment ref="Q7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הזרמה 1182018</t>
        </r>
      </text>
    </comment>
    <comment ref="R8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הזרמת תקציב 11/2018
</t>
        </r>
      </text>
    </comment>
    <comment ref="I8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29061 ₪ שייך לחב. לפיתוח "אופק"
</t>
        </r>
      </text>
    </comment>
    <comment ref="N9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הוקטן מהנתון המקורי 
</t>
        </r>
      </text>
    </comment>
    <comment ref="Q9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7 מלשח  ב - 10/2018 ו - 2 מליון ₪ ב - 11/2018
</t>
        </r>
      </text>
    </comment>
    <comment ref="Z9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בתאום עם שרית 13.11.18</t>
        </r>
      </text>
    </comment>
    <comment ref="Q99" authorId="0" shapeId="0">
      <text>
        <r>
          <rPr>
            <b/>
            <sz val="9"/>
            <color indexed="81"/>
            <rFont val="Tahoma"/>
            <family val="2"/>
          </rPr>
          <t xml:space="preserve">Gizbarut-Orna Goldfriend:הוזרם. לעדכן
</t>
        </r>
      </text>
    </comment>
    <comment ref="Q100" authorId="0" shapeId="0">
      <text>
        <r>
          <rPr>
            <b/>
            <sz val="9"/>
            <color indexed="81"/>
            <rFont val="Tahoma"/>
            <family val="2"/>
          </rPr>
          <t xml:space="preserve">Gizbarut-Orna Goldfriend:הוזרם. עודכן
</t>
        </r>
      </text>
    </comment>
    <comment ref="H10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איחוד עם תב"ר 1959
</t>
        </r>
      </text>
    </comment>
    <comment ref="Q10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הזרמה 11/2018
</t>
        </r>
      </text>
    </comment>
    <comment ref="Q10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מתוך הרשאה מס' 4501454085 בסכום של 6,701,920 ₪ </t>
        </r>
      </text>
    </comment>
    <comment ref="H10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איחוד עם תב"ר 1909
</t>
        </r>
      </text>
    </comment>
    <comment ref="Q1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מימןן רמי טרם התקבל
לבדוק האם יש כפילות תבר 1547</t>
        </r>
      </text>
    </comment>
  </commentList>
</comments>
</file>

<file path=xl/comments8.xml><?xml version="1.0" encoding="utf-8"?>
<comments xmlns="http://schemas.openxmlformats.org/spreadsheetml/2006/main">
  <authors>
    <author>Gizbarut-Orna Goldfriend</author>
  </authors>
  <commentList>
    <comment ref="D1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</t>
        </r>
      </text>
    </comment>
    <comment ref="D2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אומדן שאושר בוע. 8.7.18
</t>
        </r>
      </text>
    </comment>
    <comment ref="D2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אומדן שאושר בוע.8.7.18</t>
        </r>
      </text>
    </comment>
    <comment ref="C3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וע. 8.7.18</t>
        </r>
      </text>
    </comment>
    <comment ref="D3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אומדן שאושר בוע.8.7.18</t>
        </r>
      </text>
    </comment>
    <comment ref="D3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אומדן שאושר בוע.8.7.18</t>
        </r>
      </text>
    </comment>
    <comment ref="D4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טלי 18.10.18</t>
        </r>
      </text>
    </comment>
    <comment ref="D5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אומדן שאושר בוע. 17.6.18</t>
        </r>
      </text>
    </comment>
    <comment ref="Z5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
</t>
        </r>
      </text>
    </comment>
  </commentList>
</comments>
</file>

<file path=xl/comments9.xml><?xml version="1.0" encoding="utf-8"?>
<comments xmlns="http://schemas.openxmlformats.org/spreadsheetml/2006/main">
  <authors>
    <author>Gizbarut-Orna Goldfriend</author>
  </authors>
  <commentList>
    <comment ref="D2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</t>
        </r>
      </text>
    </comment>
    <comment ref="D3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אומדן שאושר בוע. 8.7.18
</t>
        </r>
      </text>
    </comment>
    <comment ref="D3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אומדן שאושר בוע.8.7.18</t>
        </r>
      </text>
    </comment>
    <comment ref="C3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וע. 8.7.18</t>
        </r>
      </text>
    </comment>
    <comment ref="D3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אומדן שאושר בוע.8.7.18</t>
        </r>
      </text>
    </comment>
    <comment ref="Z4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
</t>
        </r>
      </text>
    </comment>
    <comment ref="D5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טלי 18.10.18</t>
        </r>
      </text>
    </comment>
    <comment ref="D6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אומדן שאושר בוע.8.7.18</t>
        </r>
      </text>
    </comment>
    <comment ref="D6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אומדן שאושר בוע. 17.6.18</t>
        </r>
      </text>
    </comment>
  </commentList>
</comments>
</file>

<file path=xl/comments10.xml><?xml version="1.0" encoding="utf-8"?>
<comments xmlns="http://schemas.openxmlformats.org/spreadsheetml/2006/main">
  <authors>
    <author>Gizbarut-Orna Goldfriend</author>
  </authors>
  <commentList>
    <comment ref="D1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</t>
        </r>
      </text>
    </comment>
    <comment ref="D2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אומדן שאושר בוע. 8.7.18
</t>
        </r>
      </text>
    </comment>
    <comment ref="D2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אומדן שאושר בוע.8.7.18</t>
        </r>
      </text>
    </comment>
    <comment ref="C3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וע. 8.7.18</t>
        </r>
      </text>
    </comment>
    <comment ref="D3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אומדן שאושר בוע.8.7.18</t>
        </r>
      </text>
    </comment>
    <comment ref="D3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אומדן שאושר בוע.8.7.18</t>
        </r>
      </text>
    </comment>
    <comment ref="D4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טלי 18.10.18</t>
        </r>
      </text>
    </comment>
    <comment ref="D5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אומדן שאושר בוע. 17.6.18</t>
        </r>
      </text>
    </comment>
    <comment ref="Z5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
</t>
        </r>
      </text>
    </comment>
  </commentList>
</comments>
</file>

<file path=xl/comments11.xml><?xml version="1.0" encoding="utf-8"?>
<comments xmlns="http://schemas.openxmlformats.org/spreadsheetml/2006/main">
  <authors>
    <author>Gizbarut-Orna Goldfriend</author>
  </authors>
  <commentList>
    <comment ref="G3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כולל הזרמה 15.7.18</t>
        </r>
      </text>
    </comment>
    <comment ref="R4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בכפוף לקבלת התחייבות</t>
        </r>
      </text>
    </comment>
  </commentList>
</comments>
</file>

<file path=xl/comments12.xml><?xml version="1.0" encoding="utf-8"?>
<comments xmlns="http://schemas.openxmlformats.org/spreadsheetml/2006/main">
  <authors>
    <author>Gizbarut-Orna Goldfriend</author>
  </authors>
  <commentList>
    <comment ref="R1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בכפוף לקבלת התחייבות</t>
        </r>
      </text>
    </comment>
    <comment ref="G3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כולל הזרמה 15.7.18</t>
        </r>
      </text>
    </comment>
  </commentList>
</comments>
</file>

<file path=xl/comments13.xml><?xml version="1.0" encoding="utf-8"?>
<comments xmlns="http://schemas.openxmlformats.org/spreadsheetml/2006/main">
  <authors>
    <author>Gizbarut-Orna Goldfriend</author>
  </authors>
  <commentList>
    <comment ref="G3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כולל הזרמה 15.7.18</t>
        </r>
      </text>
    </comment>
    <comment ref="R4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בכפוף לקבלת התחייבות</t>
        </r>
      </text>
    </comment>
  </commentList>
</comments>
</file>

<file path=xl/comments14.xml><?xml version="1.0" encoding="utf-8"?>
<comments xmlns="http://schemas.openxmlformats.org/spreadsheetml/2006/main">
  <authors>
    <author>Gizbarut-Orna Goldfriend</author>
  </authors>
  <commentList>
    <comment ref="G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עודן. בוטל העדכון. עודכן
 בהזרמות נוספות
</t>
        </r>
      </text>
    </comment>
    <comment ref="Q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הוזרם אוקטובר
</t>
        </r>
      </text>
    </comment>
  </commentList>
</comments>
</file>

<file path=xl/comments15.xml><?xml version="1.0" encoding="utf-8"?>
<comments xmlns="http://schemas.openxmlformats.org/spreadsheetml/2006/main">
  <authors>
    <author>Gizbarut-Orna Goldfriend</author>
  </authors>
  <commentList>
    <comment ref="G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עודן. בוטל העדכון. עודכן
 בהזרמות נוספות
</t>
        </r>
      </text>
    </comment>
    <comment ref="Q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הוזרם אוקטובר
</t>
        </r>
      </text>
    </comment>
  </commentList>
</comments>
</file>

<file path=xl/comments16.xml><?xml version="1.0" encoding="utf-8"?>
<comments xmlns="http://schemas.openxmlformats.org/spreadsheetml/2006/main">
  <authors>
    <author>Gizbarut-Orna Goldfriend</author>
  </authors>
  <commentList>
    <comment ref="N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ליטל
</t>
        </r>
      </text>
    </comment>
    <comment ref="N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ליטל</t>
        </r>
      </text>
    </comment>
    <comment ref="N1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ליטל</t>
        </r>
      </text>
    </comment>
    <comment ref="R1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לא אושר בדיון אצל המנכ"ל
</t>
        </r>
      </text>
    </comment>
    <comment ref="N1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 ליטל</t>
        </r>
      </text>
    </comment>
    <comment ref="N1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ליטל</t>
        </r>
      </text>
    </comment>
  </commentList>
</comments>
</file>

<file path=xl/comments17.xml><?xml version="1.0" encoding="utf-8"?>
<comments xmlns="http://schemas.openxmlformats.org/spreadsheetml/2006/main">
  <authors>
    <author>Gizbarut-Orna Goldfriend</author>
  </authors>
  <commentList>
    <comment ref="N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ליטל
</t>
        </r>
      </text>
    </comment>
    <comment ref="N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ליטל</t>
        </r>
      </text>
    </comment>
    <comment ref="R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לא אושר בדיון אצל המנכ"ל
</t>
        </r>
      </text>
    </comment>
    <comment ref="N1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ליטל</t>
        </r>
      </text>
    </comment>
    <comment ref="N1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 ליטל</t>
        </r>
      </text>
    </comment>
    <comment ref="N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ליטל</t>
        </r>
      </text>
    </comment>
  </commentList>
</comments>
</file>

<file path=xl/comments18.xml><?xml version="1.0" encoding="utf-8"?>
<comments xmlns="http://schemas.openxmlformats.org/spreadsheetml/2006/main">
  <authors>
    <author>Gizbarut-Orna Goldfriend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בוטל העדכון. צויין בהזרמות נוספות
</t>
        </r>
      </text>
    </comment>
    <comment ref="N1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</t>
        </r>
      </text>
    </comment>
    <comment ref="G2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</t>
        </r>
      </text>
    </comment>
    <comment ref="K2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</t>
        </r>
      </text>
    </comment>
  </commentList>
</comments>
</file>

<file path=xl/comments19.xml><?xml version="1.0" encoding="utf-8"?>
<comments xmlns="http://schemas.openxmlformats.org/spreadsheetml/2006/main">
  <authors>
    <author>Gizbarut-Orna Goldfriend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בוטל העדכון. צויין בהזרמות נוספות
</t>
        </r>
      </text>
    </comment>
    <comment ref="N1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</t>
        </r>
      </text>
    </comment>
    <comment ref="G2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</t>
        </r>
      </text>
    </comment>
    <comment ref="K2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</t>
        </r>
      </text>
    </comment>
  </commentList>
</comments>
</file>

<file path=xl/comments20.xml><?xml version="1.0" encoding="utf-8"?>
<comments xmlns="http://schemas.openxmlformats.org/spreadsheetml/2006/main">
  <authors>
    <author>Gizbarut-Orna Goldfriend</author>
  </authors>
  <commentList>
    <comment ref="D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עודכן. בת.ע. 2018 צ.ל. אומדן 600 אלפי ₪. בוצעה הזרמת תקציב ת.ע. 2017 שלא נלקחה בחשבון בת.ע. 2018 באומדן.
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עודכן. בת.ע. 2018 צ.ל. אומדן 600 אלפי ₪. בוצעה הזרמת תקציב ת.ע. 2017 שלא נלקחה בחשבון בת.ע. 2018 באומדן.
</t>
        </r>
      </text>
    </comment>
    <comment ref="G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</t>
        </r>
      </text>
    </comment>
    <comment ref="AB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שונה מסעיף 764
000
</t>
        </r>
      </text>
    </comment>
    <comment ref="G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</t>
        </r>
      </text>
    </comment>
    <comment ref="D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לאומדן שהוקטן בת.ע. 2018. לא הוקטן התקציב עפ"י התוכנית ב - 2018
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18.11.18
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18.11.18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18.11.18
</t>
        </r>
      </text>
    </comment>
  </commentList>
</comments>
</file>

<file path=xl/comments21.xml><?xml version="1.0" encoding="utf-8"?>
<comments xmlns="http://schemas.openxmlformats.org/spreadsheetml/2006/main">
  <authors>
    <author>Gizbarut-Orna Goldfriend</author>
  </authors>
  <commentList>
    <comment ref="G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</t>
        </r>
      </text>
    </comment>
    <comment ref="D1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לאומדן שהוקטן בת.ע. 2018. לא הוקטן התקציב עפ"י התוכנית ב - 2018
</t>
        </r>
      </text>
    </comment>
    <comment ref="H1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18.11.18
</t>
        </r>
      </text>
    </comment>
    <comment ref="I1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18.11.18</t>
        </r>
      </text>
    </comment>
    <comment ref="J1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18.11.18
</t>
        </r>
      </text>
    </comment>
    <comment ref="D1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עודכן. בת.ע. 2018 צ.ל. אומדן 600 אלפי ₪. בוצעה הזרמת תקציב ת.ע. 2017 שלא נלקחה בחשבון בת.ע. 2018 באומדן.
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עודכן. בת.ע. 2018 צ.ל. אומדן 600 אלפי ₪. בוצעה הזרמת תקציב ת.ע. 2017 שלא נלקחה בחשבון בת.ע. 2018 באומדן.
</t>
        </r>
      </text>
    </comment>
    <comment ref="G1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
</t>
        </r>
      </text>
    </comment>
  </commentList>
</comments>
</file>

<file path=xl/comments22.xml><?xml version="1.0" encoding="utf-8"?>
<comments xmlns="http://schemas.openxmlformats.org/spreadsheetml/2006/main">
  <authors>
    <author>Gizbarut-Orna Goldfriend</author>
    <author/>
  </authors>
  <commentList>
    <comment ref="AG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יש שריונים .טופל. הוזרם2017</t>
        </r>
      </text>
    </comment>
    <comment ref="AG1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שריונים 2017
עודכן שריון הוזרם</t>
        </r>
      </text>
    </comment>
    <comment ref="AG2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שריונים 2017</t>
        </r>
      </text>
    </comment>
    <comment ref="J2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28.9.17: עדכון נתונים
</t>
        </r>
      </text>
    </comment>
    <comment ref="AG2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הפרויקט עבר למינהל כללי</t>
        </r>
      </text>
    </comment>
    <comment ref="AI2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שריון 2017עודכן אין שריונים</t>
        </r>
      </text>
    </comment>
    <comment ref="AI3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ההערה בקובץ הבקשה  עבור 179 אינה מובנת</t>
        </r>
      </text>
    </comment>
    <comment ref="AF3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בוצע 7.5.18</t>
        </r>
      </text>
    </comment>
    <comment ref="I3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27.9.17: עדכון נתונים</t>
        </r>
      </text>
    </comment>
    <comment ref="AY3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שינוי מימון.
מומש ב - 2017</t>
        </r>
      </text>
    </comment>
    <comment ref="BC3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שינוי מימון. מומש ב - 2017
</t>
        </r>
      </text>
    </comment>
    <comment ref="J5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נתונים</t>
        </r>
      </text>
    </comment>
    <comment ref="J5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27.9.17 עדכון נתונים</t>
        </r>
      </text>
    </comment>
    <comment ref="N62" authorId="1" shapeId="0">
      <text>
        <r>
          <rPr>
            <sz val="11"/>
            <color rgb="FF000000"/>
            <rFont val="Nachlieli CLM"/>
            <family val="2"/>
            <charset val="1"/>
          </rPr>
          <t>מיקי 250K, קייזר 100K, PGL 117K, ביוב 108K, מים 90K. סהכ 665</t>
        </r>
      </text>
    </comment>
    <comment ref="D6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22.10.17 עודכן ההיקף בעקבות הגדלת ביצוע 2018 100 אלשח</t>
        </r>
      </text>
    </comment>
    <comment ref="N6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22.10.17 הסכום עודכן ב  -100 אלשח כנגד ביטול תב"ר חדש בסכום זהה  בדיקת תב"עות לשימור</t>
        </r>
      </text>
    </comment>
    <comment ref="AG6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חסר טופס תב"ר</t>
        </r>
      </text>
    </comment>
    <comment ref="AG6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שריונים 2017</t>
        </r>
      </text>
    </comment>
    <comment ref="AH6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שריונים 2017 סטטוס 105.
סודר והוזרם</t>
        </r>
      </text>
    </comment>
    <comment ref="AI6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ההערה בקובץ של הנדסה לא מובנת</t>
        </r>
      </text>
    </comment>
    <comment ref="AG6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100 אלשח ללא ניצול חסר טופס תב"ר ואומדן</t>
        </r>
      </text>
    </comment>
    <comment ref="AJ6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חסר טופס תבר</t>
        </r>
      </text>
    </comment>
    <comment ref="AF7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הוזרם  100,000 ₪ .יש יתרת תקציב 456 אלשח</t>
        </r>
      </text>
    </comment>
    <comment ref="AG7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חסר טופס תבר אומדן יתרת תקציב 260 אלשח</t>
        </r>
      </text>
    </comment>
    <comment ref="AG7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אין מסגרת תקציבית הבקשה אינה ברורה</t>
        </r>
      </text>
    </comment>
    <comment ref="AG8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לבקשת תמר מייל 16.5.18</t>
        </r>
      </text>
    </comment>
    <comment ref="N89" authorId="1" shapeId="0">
      <text>
        <r>
          <rPr>
            <sz val="9"/>
            <color rgb="FF000000"/>
            <rFont val="Nachlieli CLM"/>
            <family val="2"/>
            <charset val="1"/>
          </rPr>
          <t xml:space="preserve">שמאי </t>
        </r>
        <r>
          <rPr>
            <sz val="9"/>
            <color rgb="FF000000"/>
            <rFont val="Arial"/>
            <family val="2"/>
            <charset val="177"/>
          </rPr>
          <t xml:space="preserve">250K, </t>
        </r>
        <r>
          <rPr>
            <sz val="9"/>
            <color rgb="FF000000"/>
            <rFont val="Nachlieli CLM"/>
            <family val="2"/>
            <charset val="1"/>
          </rPr>
          <t xml:space="preserve">פרוגרמטור  </t>
        </r>
        <r>
          <rPr>
            <sz val="9"/>
            <color rgb="FF000000"/>
            <rFont val="Arial"/>
            <family val="2"/>
            <charset val="177"/>
          </rPr>
          <t xml:space="preserve">250K, </t>
        </r>
        <r>
          <rPr>
            <sz val="9"/>
            <color rgb="FF000000"/>
            <rFont val="Nachlieli CLM"/>
            <family val="2"/>
            <charset val="1"/>
          </rPr>
          <t xml:space="preserve">יועץ תנועה </t>
        </r>
        <r>
          <rPr>
            <sz val="9"/>
            <color rgb="FF000000"/>
            <rFont val="Arial"/>
            <family val="2"/>
            <charset val="177"/>
          </rPr>
          <t xml:space="preserve">200K, </t>
        </r>
        <r>
          <rPr>
            <sz val="9"/>
            <color rgb="FF000000"/>
            <rFont val="Nachlieli CLM"/>
            <family val="2"/>
            <charset val="1"/>
          </rPr>
          <t xml:space="preserve">יועצים שונים </t>
        </r>
        <r>
          <rPr>
            <sz val="9"/>
            <color rgb="FF000000"/>
            <rFont val="Arial"/>
            <family val="2"/>
            <charset val="177"/>
          </rPr>
          <t xml:space="preserve">100K, </t>
        </r>
        <r>
          <rPr>
            <sz val="9"/>
            <color rgb="FF000000"/>
            <rFont val="Nachlieli CLM"/>
            <family val="2"/>
            <charset val="1"/>
          </rPr>
          <t xml:space="preserve">יועץ חברתי </t>
        </r>
        <r>
          <rPr>
            <sz val="9"/>
            <color rgb="FF000000"/>
            <rFont val="Arial"/>
            <family val="2"/>
            <charset val="177"/>
          </rPr>
          <t>200K</t>
        </r>
      </text>
    </comment>
    <comment ref="AG9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שריון 2017</t>
        </r>
      </text>
    </comment>
    <comment ref="AE9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בוטל לבקשת הנדסה ראה תבר 1693</t>
        </r>
      </text>
    </comment>
    <comment ref="AE9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ראה תבר 1692 לבקשת הנדסה</t>
        </r>
      </text>
    </comment>
  </commentList>
</comments>
</file>

<file path=xl/comments23.xml><?xml version="1.0" encoding="utf-8"?>
<comments xmlns="http://schemas.openxmlformats.org/spreadsheetml/2006/main">
  <authors>
    <author>ami</author>
    <author>Gizbarut-Orna Goldfriend</author>
  </authors>
  <commentList>
    <comment ref="N5" authorId="0" shapeId="0">
      <text>
        <r>
          <rPr>
            <b/>
            <sz val="9"/>
            <color indexed="81"/>
            <rFont val="Tahoma"/>
            <family val="2"/>
          </rPr>
          <t>ami:</t>
        </r>
        <r>
          <rPr>
            <sz val="9"/>
            <color indexed="81"/>
            <rFont val="Tahoma"/>
            <family val="2"/>
          </rPr>
          <t xml:space="preserve">
אומדן מנטע
</t>
        </r>
      </text>
    </comment>
    <comment ref="Q9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מימון התאגיד
</t>
        </r>
      </text>
    </comment>
    <comment ref="R9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מימון התאגיד: 2.8 מלשח השלמה ל -4 </t>
        </r>
      </text>
    </comment>
    <comment ref="Z9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תאגיד הקבורה</t>
        </r>
      </text>
    </comment>
    <comment ref="Z20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מפעל הפייס
</t>
        </r>
      </text>
    </comment>
    <comment ref="AD20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לסעיף 750: 5,000,000 היתר ל - 950</t>
        </r>
      </text>
    </comment>
    <comment ref="AH20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יתרת מענק עד 12,299,800 ₪ מפעל הפייס</t>
        </r>
      </text>
    </comment>
    <comment ref="BC20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הפייס
</t>
        </r>
      </text>
    </comment>
    <comment ref="AF29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בוצע 15.5.18</t>
        </r>
      </text>
    </comment>
    <comment ref="Z39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
</t>
        </r>
      </text>
    </comment>
    <comment ref="AN46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נסגר</t>
        </r>
      </text>
    </comment>
    <comment ref="AD52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לסעיף 750
</t>
        </r>
      </text>
    </comment>
    <comment ref="Q54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התקבלו 200 אלשח</t>
        </r>
      </text>
    </comment>
    <comment ref="Z55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
</t>
        </r>
      </text>
    </comment>
    <comment ref="AG55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בוצע באופן חריג ב - 17.6.18</t>
        </r>
      </text>
    </comment>
    <comment ref="BC55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BC56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טוטו
</t>
        </r>
      </text>
    </comment>
    <comment ref="Q58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ספטמבר : 200 . היתר 2,800 אלשח
</t>
        </r>
      </text>
    </comment>
    <comment ref="I64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29061 ₪ שייך לחב. לפיתוח "אופק"
</t>
        </r>
      </text>
    </comment>
    <comment ref="Z68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תאגיד מים : הסכם פשרה המתגבש</t>
        </r>
      </text>
    </comment>
    <comment ref="BC68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תאגיד המים
</t>
        </r>
      </text>
    </comment>
    <comment ref="Z69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טוטו</t>
        </r>
      </text>
    </comment>
    <comment ref="AS69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יש התחיבות מהטוטו
</t>
        </r>
      </text>
    </comment>
    <comment ref="AX69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יש התחיבות מהטוטו
</t>
        </r>
      </text>
    </comment>
    <comment ref="BC69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יש התחיבות מהטוטו
</t>
        </r>
      </text>
    </comment>
    <comment ref="Z72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
</t>
        </r>
      </text>
    </comment>
    <comment ref="BC72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רמי
</t>
        </r>
      </text>
    </comment>
    <comment ref="AD82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לסעיף 950 340,000 ₪ היתר ל - 750</t>
        </r>
      </text>
    </comment>
    <comment ref="AK82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 5,120,867 ₪ להזרים מכסימום היתר. החינוך לאחר אישור מועצה של יוני 2018. שינוי המימון כבר תוקצב</t>
        </r>
      </text>
    </comment>
    <comment ref="AD85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לסעיף 950 50,000 ₪. היתר לביצוע</t>
        </r>
      </text>
    </comment>
    <comment ref="AN92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עדיין אין מיקום  ישיבת פרויקטים ראהע 12.2.18</t>
        </r>
      </text>
    </comment>
    <comment ref="Q95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בספטמבר  9.3 מלשח  ובהמשך 10 מלשח מקעפ
</t>
        </r>
      </text>
    </comment>
    <comment ref="Z95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מימון רמ"י</t>
        </r>
      </text>
    </comment>
    <comment ref="S97" authorId="0" shapeId="0">
      <text>
        <r>
          <rPr>
            <b/>
            <sz val="9"/>
            <color indexed="81"/>
            <rFont val="Tahoma"/>
            <family val="2"/>
          </rPr>
          <t>ami:</t>
        </r>
        <r>
          <rPr>
            <sz val="9"/>
            <color indexed="81"/>
            <rFont val="Tahoma"/>
            <family val="2"/>
          </rPr>
          <t xml:space="preserve">
תתקבל הרשאה 2017</t>
        </r>
      </text>
    </comment>
    <comment ref="Z97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26.9.17 : 70 מליון ₪ לחלק ל - 1.075 ובניכוי 30 מלשח שהתקבלו ב - 2017.
</t>
        </r>
      </text>
    </comment>
    <comment ref="Z99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
</t>
        </r>
      </text>
    </comment>
    <comment ref="AN99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התקבלה הרשאה מ. החינוך </t>
        </r>
      </text>
    </comment>
    <comment ref="AS99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
</t>
        </r>
      </text>
    </comment>
    <comment ref="Z100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N100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התקבלה הרשאה מ. החינוך</t>
        </r>
      </text>
    </comment>
    <comment ref="AS100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
</t>
        </r>
      </text>
    </comment>
    <comment ref="N102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27.9.17: עדכון עמי. נדחה ל -2018</t>
        </r>
      </text>
    </comment>
    <comment ref="R102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 קע"פ : 150 אלשח . היתר רמ"י
ללא רמי</t>
        </r>
      </text>
    </comment>
    <comment ref="Z102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Z104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: 1.625 בדומה ל -2017. רמ"י : עבר פרטני ב - 2017
</t>
        </r>
      </text>
    </comment>
    <comment ref="Q107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הזרמת ספטמבר
</t>
        </r>
      </text>
    </comment>
    <comment ref="Z107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Z108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
יש הרשאה נוספת  בגין הטיית הנחל של 6.7 מלשח שניתנה בהרשאה מס' 4501454085' </t>
        </r>
      </text>
    </comment>
    <comment ref="Q110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הזרמת ספטמבר</t>
        </r>
      </text>
    </comment>
    <comment ref="Z110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Q113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לא כולל מימון רמ"י
</t>
        </r>
      </text>
    </comment>
    <comment ref="Z113" authorId="1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
</t>
        </r>
      </text>
    </comment>
  </commentList>
</comments>
</file>

<file path=xl/comments24.xml><?xml version="1.0" encoding="utf-8"?>
<comments xmlns="http://schemas.openxmlformats.org/spreadsheetml/2006/main">
  <authors>
    <author>Gizbarut-Orna Goldfriend</author>
    <author>Logistic-Tali Sherpsky</author>
  </authors>
  <commentList>
    <comment ref="AE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בוטלה ההזרמה. יש שריון 2017</t>
        </r>
      </text>
    </comment>
    <comment ref="AF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שריון 2017</t>
        </r>
      </text>
    </comment>
    <comment ref="AG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יש שריון 2017. טופל. הוזרם</t>
        </r>
      </text>
    </comment>
    <comment ref="AC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 הזרמות
</t>
        </r>
      </text>
    </comment>
    <comment ref="V2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22.10.17 עודכן מיון סכום  קע"פ מול קרן עודפים</t>
        </r>
      </text>
    </comment>
    <comment ref="BC3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מייל טלי 3.6.18: לא נדרש</t>
        </r>
      </text>
    </comment>
    <comment ref="V3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22.10.17 עדכון מיון סכום קעפ מול ק. עודפים</t>
        </r>
      </text>
    </comment>
    <comment ref="H4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26.9.17: עדכון נתוני ביצוע</t>
        </r>
      </text>
    </comment>
    <comment ref="V4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22.10.17 מוין סכום קעפ מול ק. עודפים. עפ"י נתונים במערכת</t>
        </r>
      </text>
    </comment>
    <comment ref="V4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22.10.17 עודכן סכום מיון קע"פ מול ק. עודפים .ראה 2017</t>
        </r>
      </text>
    </comment>
    <comment ref="H4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25.9.17 : עדכון נתוני ביצוע
</t>
        </r>
      </text>
    </comment>
    <comment ref="V47" authorId="1" shapeId="0">
      <text>
        <r>
          <rPr>
            <b/>
            <sz val="9"/>
            <color indexed="81"/>
            <rFont val="Tahoma"/>
            <family val="2"/>
          </rPr>
          <t>Logistic-Tali Sherpsky:</t>
        </r>
        <r>
          <rPr>
            <sz val="9"/>
            <color indexed="81"/>
            <rFont val="Tahoma"/>
            <family val="2"/>
          </rPr>
          <t xml:space="preserve">
בניית אולם ספורט 650 מ"ר, תוספת בניה 
22.10.17 עודכן סכום מיון קע"פ מול ק. עודפים</t>
        </r>
      </text>
    </comment>
    <comment ref="AH4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כל הסכומים מהקרנות תוקצבו. אושר מעבר לתקציב שינוי מימון אין לתקצב יותר במסגרת התוכנית</t>
        </r>
      </text>
    </comment>
    <comment ref="AI4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כל הסכומים מהקרנות תוקצבו. אושר מעבר לתקציב שינוי מימון אין לתקצב יותר במסגרת התוכנית</t>
        </r>
      </text>
    </comment>
    <comment ref="AK4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כל הסכומים מהקרנות תוקצבו. אושר מעבר לתקציב שינוי מימון אין לתקצב יותר במסגרת התוכנית</t>
        </r>
      </text>
    </comment>
    <comment ref="AL4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כל הסכומים מהקרנות תוקצבו. אושר מעבר לתקציב שינוי מימון אין לתקצב יותר במסגרת התוכנית</t>
        </r>
      </text>
    </comment>
    <comment ref="AM4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כל הסכומים מהקרנות תוקצבו. אושר מעבר לתקציב שינוי מימון אין לתקצב יותר במסגרת התוכנית</t>
        </r>
      </text>
    </comment>
    <comment ref="AN4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כל הסכומים מהקרנות תוקצבו. אושר מעבר לתקציב שינוי מימון אין לתקצב יותר במסגרת התוכנית</t>
        </r>
      </text>
    </comment>
    <comment ref="R5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הזרמה ספטמבר  2 מלשח
הזרמה נובמבר 1.5 מלשח
</t>
        </r>
      </text>
    </comment>
    <comment ref="Z5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הסכום עוגל לפי סכום הזכיה
</t>
        </r>
      </text>
    </comment>
    <comment ref="V6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22.10.17 עודכן מיון סכום מול ק.
 עודפים
</t>
        </r>
      </text>
    </comment>
    <comment ref="V6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2.10.17 עודכן סכום מיון קעפ מול ק. עודפים ראה עפ"י מצב קיים</t>
        </r>
      </text>
    </comment>
    <comment ref="AF6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חסר אומדן
</t>
        </r>
      </text>
    </comment>
    <comment ref="AH6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חסר אומדן
</t>
        </r>
      </text>
    </comment>
    <comment ref="AI6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חסר אומדן
</t>
        </r>
      </text>
    </comment>
    <comment ref="R6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הזרמה ספטמבר  2 מלשח
הזרמה נובמבר 1.5 מלשח
</t>
        </r>
      </text>
    </comment>
    <comment ref="AI6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לא תוקצב .להעיר לטלי מתוכו 136 אלשח אחרים
לתקצב את שינוי המימון בפרטני</t>
        </r>
      </text>
    </comment>
    <comment ref="AF7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לפי פרוט בקובץ נפרד</t>
        </r>
      </text>
    </comment>
    <comment ref="V7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22.10.17 עדכון סכום מיון קע"פ מול ק. עודפים</t>
        </r>
      </text>
    </comment>
    <comment ref="V7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22.10.17 עודכן סכום מיון קעפ מול ק. עודפים לפי הפרוט שצורף רצפה, מלתחות ובצ"מ</t>
        </r>
      </text>
    </comment>
    <comment ref="AI7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בוצע 23.8.18</t>
        </r>
      </text>
    </comment>
  </commentList>
</comments>
</file>

<file path=xl/comments25.xml><?xml version="1.0" encoding="utf-8"?>
<comments xmlns="http://schemas.openxmlformats.org/spreadsheetml/2006/main">
  <authors>
    <author>Gizbarut-Orna Goldfriend</author>
  </authors>
  <commentList>
    <comment ref="Z1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המדע</t>
        </r>
      </text>
    </comment>
    <comment ref="AN1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לא לתקצב. וע.כספים 6.5.18 הקטנת תקציב ע"ח תב"רים ייעודיים שקיבלו בנוסף למימון העירוני מימון מ. החינוך</t>
        </r>
      </text>
    </comment>
    <comment ref="D2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 ככל שיידרש 65 אלשח  בשנת 2017 - מהרזרבה
מוצע
</t>
        </r>
      </text>
    </comment>
    <comment ref="AN2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לא לתקצב. ע"ח תב"ר 2034 שעבר  אישור פרטני</t>
        </r>
      </text>
    </comment>
  </commentList>
</comments>
</file>

<file path=xl/comments26.xml><?xml version="1.0" encoding="utf-8"?>
<comments xmlns="http://schemas.openxmlformats.org/spreadsheetml/2006/main">
  <authors>
    <author>Tanus-Yulia pesis</author>
  </authors>
  <commentList>
    <comment ref="Z15" authorId="0" shapeId="0">
      <text>
        <r>
          <rPr>
            <b/>
            <sz val="9"/>
            <color indexed="81"/>
            <rFont val="Tahoma"/>
            <family val="2"/>
          </rPr>
          <t>Tanus-Yulia pesis:</t>
        </r>
        <r>
          <rPr>
            <sz val="9"/>
            <color indexed="81"/>
            <rFont val="Tahoma"/>
            <family val="2"/>
          </rPr>
          <t xml:space="preserve">
טוטו</t>
        </r>
      </text>
    </comment>
  </commentList>
</comments>
</file>

<file path=xl/comments27.xml><?xml version="1.0" encoding="utf-8"?>
<comments xmlns="http://schemas.openxmlformats.org/spreadsheetml/2006/main">
  <authors>
    <author>Gizbarut-Orna Goldfriend</author>
  </authors>
  <commentList>
    <comment ref="AF1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בקשה נוספת מייל 3.5.18</t>
        </r>
      </text>
    </comment>
    <comment ref="AF1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הבהרה מדוע למרות שיש יתרת תקציב גבוהה.
התקבל הסבר</t>
        </r>
      </text>
    </comment>
    <comment ref="V1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22.10.17 עודכן סכום מיון קעפ מול ק. עודפים</t>
        </r>
      </text>
    </comment>
    <comment ref="AF1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הבהרה מדוע למרות שיש יתרת תקציב גבוהה.
התקבל הסבר</t>
        </r>
      </text>
    </comment>
    <comment ref="V1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22.10.17 עודכן סכום מיון  קעפ מול ק. עודפים
</t>
        </r>
      </text>
    </comment>
    <comment ref="AH1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הוזרם ב - 15.7.18</t>
        </r>
      </text>
    </comment>
    <comment ref="AF2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הבהרה מדוע למרות שיש יתרת תקציב גבוהה.
התקבל הסבר</t>
        </r>
      </text>
    </comment>
    <comment ref="Z2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 נת"י
</t>
        </r>
      </text>
    </comment>
    <comment ref="AL2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להקפיא בהמשך לישיבת פרויקטים ראהע 12.2.18</t>
        </r>
      </text>
    </comment>
    <comment ref="AH3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הוזרם ב - 15.7.18</t>
        </r>
      </text>
    </comment>
  </commentList>
</comments>
</file>

<file path=xl/comments28.xml><?xml version="1.0" encoding="utf-8"?>
<comments xmlns="http://schemas.openxmlformats.org/spreadsheetml/2006/main">
  <authors>
    <author>Gizbarut-Orna Goldfriend</author>
  </authors>
  <commentList>
    <comment ref="BC3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תוקצב 2017</t>
        </r>
      </text>
    </comment>
    <comment ref="BC3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תוקצב 2017</t>
        </r>
      </text>
    </comment>
    <comment ref="BC3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תוקצב 2017</t>
        </r>
      </text>
    </comment>
    <comment ref="BC3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תוקצב 2017</t>
        </r>
      </text>
    </comment>
  </commentList>
</comments>
</file>

<file path=xl/comments29.xml><?xml version="1.0" encoding="utf-8"?>
<comments xmlns="http://schemas.openxmlformats.org/spreadsheetml/2006/main">
  <authors>
    <author>Gizbarut-Orna Goldfriend</author>
  </authors>
  <commentList>
    <comment ref="H1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23.10.17 עדכון סכום שהיה שגוי בספרים</t>
        </r>
      </text>
    </comment>
    <comment ref="BC1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תוקצב 2017</t>
        </r>
      </text>
    </comment>
    <comment ref="V1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22.10.17 עדכון סכום 200 אלשח מקעפ מול ק עודפים</t>
        </r>
      </text>
    </comment>
    <comment ref="V2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22.10.17 עדכון מיון סכום קע"פ מול ק. עודפים</t>
        </r>
      </text>
    </comment>
  </commentList>
</comments>
</file>

<file path=xl/comments30.xml><?xml version="1.0" encoding="utf-8"?>
<comments xmlns="http://schemas.openxmlformats.org/spreadsheetml/2006/main">
  <authors>
    <author>Gizbarut-Orna Goldfriend</author>
  </authors>
  <commentList>
    <comment ref="Z1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תאגיד מים : הסכם פשרה המתגבש
</t>
        </r>
      </text>
    </comment>
  </commentList>
</comments>
</file>

<file path=xl/comments31.xml><?xml version="1.0" encoding="utf-8"?>
<comments xmlns="http://schemas.openxmlformats.org/spreadsheetml/2006/main">
  <authors>
    <author>Gizbarut-Orna Goldfriend</author>
  </authors>
  <commentList>
    <comment ref="W1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18.10.17: עודכן סכום של 1 מלשח דחיה מ -2018 ל -2019. 22.10.17:עודכן סכום מיון קעפ מול ק. עודפים</t>
        </r>
      </text>
    </comment>
  </commentList>
</comments>
</file>

<file path=xl/comments32.xml><?xml version="1.0" encoding="utf-8"?>
<comments xmlns="http://schemas.openxmlformats.org/spreadsheetml/2006/main">
  <authors>
    <author>Gizbarut-Orna Goldfriend</author>
  </authors>
  <commentList>
    <comment ref="AJ2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הוזרם 18.10.18</t>
        </r>
      </text>
    </comment>
    <comment ref="AH2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לבקשת ענת 12.6.18</t>
        </r>
      </text>
    </comment>
  </commentList>
</comments>
</file>

<file path=xl/comments33.xml><?xml version="1.0" encoding="utf-8"?>
<comments xmlns="http://schemas.openxmlformats.org/spreadsheetml/2006/main">
  <authors>
    <author>Gizbarut-Orna Goldfriend</author>
  </authors>
  <commentList>
    <comment ref="Q1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מימון אחרים
</t>
        </r>
      </text>
    </comment>
    <comment ref="AH1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הוזרם 26.7.18</t>
        </r>
      </text>
    </comment>
    <comment ref="AJ1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הוזרם 17.10.18
</t>
        </r>
      </text>
    </comment>
  </commentList>
</comments>
</file>

<file path=xl/comments34.xml><?xml version="1.0" encoding="utf-8"?>
<comments xmlns="http://schemas.openxmlformats.org/spreadsheetml/2006/main">
  <authors>
    <author>Gizbarut-Orna Goldfriend</author>
  </authors>
  <commentList>
    <comment ref="AG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לסעיף 755</t>
        </r>
      </text>
    </comment>
    <comment ref="W1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22.10.17 עדכון 84,415 ₪ מקעפ לק עודפים
</t>
        </r>
      </text>
    </comment>
  </commentList>
</comments>
</file>

<file path=xl/sharedStrings.xml><?xml version="1.0" encoding="utf-8"?>
<sst xmlns="http://schemas.openxmlformats.org/spreadsheetml/2006/main" count="5196" uniqueCount="1558">
  <si>
    <t>מס' סידורי</t>
  </si>
  <si>
    <t>מס' תב"ר</t>
  </si>
  <si>
    <t>שם תב"ר</t>
  </si>
  <si>
    <t>אומדן כולל לפרוקט</t>
  </si>
  <si>
    <t>אומדן מאושר במועצה</t>
  </si>
  <si>
    <t>תוספת לאומדן לאישור המועצה</t>
  </si>
  <si>
    <t xml:space="preserve">תקציב מאושר </t>
  </si>
  <si>
    <t>ביצוע בפועל</t>
  </si>
  <si>
    <t>שריון מערך הרכש</t>
  </si>
  <si>
    <t>שריון מערך חוזים</t>
  </si>
  <si>
    <t>סה"כ שריון התחייבויות</t>
  </si>
  <si>
    <t>סה"כ ביצוע</t>
  </si>
  <si>
    <t>יתרת תקציב</t>
  </si>
  <si>
    <t>קרן עבודות פיתוח</t>
  </si>
  <si>
    <t>קרן עודפי תקציב רגיל</t>
  </si>
  <si>
    <t>קרן רכוש</t>
  </si>
  <si>
    <t>פרק תב"ר</t>
  </si>
  <si>
    <t>תכנון מתחם הר' 2200</t>
  </si>
  <si>
    <t>תב"עות קטנות</t>
  </si>
  <si>
    <t>תב"ע שיקום חופי הרצליה</t>
  </si>
  <si>
    <t>תמ"א 38</t>
  </si>
  <si>
    <t>קשר גשר</t>
  </si>
  <si>
    <t>תכנון פרויקטים פינוי בינוי</t>
  </si>
  <si>
    <t>התחדשות עירונית</t>
  </si>
  <si>
    <t>פינוי בינוי מעונות שרה</t>
  </si>
  <si>
    <t>מסמכי מדיניות להתחדשות עירונית בשכונות</t>
  </si>
  <si>
    <t>תב"ע לדיור בר השגה ברב קוק</t>
  </si>
  <si>
    <t>תב"ע חניון שטח מרינה לי 2073</t>
  </si>
  <si>
    <t>בקשות להיתר בלתי צפויות</t>
  </si>
  <si>
    <t>מתחם הבריגדה מתחם הר' 1960</t>
  </si>
  <si>
    <t>מחלף הרב מכר</t>
  </si>
  <si>
    <t>פיתוח מתחם אלוני ים הר' 2030</t>
  </si>
  <si>
    <t>רח' ז'בוטינסקי אלתרמן הבריגדה</t>
  </si>
  <si>
    <t>פיתוח מתחם "מרינה לי"</t>
  </si>
  <si>
    <t>מרכז תחבורה חדש</t>
  </si>
  <si>
    <t>תכנון חניון במתחם אגד</t>
  </si>
  <si>
    <t>יעודי קרקע -מפת בסיס</t>
  </si>
  <si>
    <t>עבודות ניקוז בעיר</t>
  </si>
  <si>
    <t>עבודות פיתוח ותשתיות קטנות</t>
  </si>
  <si>
    <t>פרויקטים תחבורתיים בעיר</t>
  </si>
  <si>
    <t>תכנונים כלליים</t>
  </si>
  <si>
    <t>השלמת מבנה העיריה החדש</t>
  </si>
  <si>
    <t>מתחם נוף ים פיתוח</t>
  </si>
  <si>
    <t>מתחם יהודה המכבי וזוהר טל</t>
  </si>
  <si>
    <t>ליווי תשתיות לאומיות</t>
  </si>
  <si>
    <t>רחובות תדהר קורן ואנה פרנק</t>
  </si>
  <si>
    <t>פתוח קטעי רח' דרך ירושלים גולומב</t>
  </si>
  <si>
    <t>רחוב בר כוכבא</t>
  </si>
  <si>
    <t>העתקות פרויקטים שונים</t>
  </si>
  <si>
    <t>פיתוח רח' אבוקה מולדת</t>
  </si>
  <si>
    <t>חיבור גשר הולכי רגל כביש 20</t>
  </si>
  <si>
    <t>צומת סוקולוב בן גוריון</t>
  </si>
  <si>
    <t>תכנון בנייה ציבורית</t>
  </si>
  <si>
    <t>מערכת בקרת רמזורים</t>
  </si>
  <si>
    <t>החלפת מדרכות</t>
  </si>
  <si>
    <t>מתחם הגאון מוילנא חתם סופר</t>
  </si>
  <si>
    <t>פ.מתחם רזיאל מע' תב"ע 1706</t>
  </si>
  <si>
    <t>רח' גבעת החלומות פיתוח</t>
  </si>
  <si>
    <t>פארק הבאסה שלב ב'</t>
  </si>
  <si>
    <t>שצ"פ אל על והמינהרה</t>
  </si>
  <si>
    <t>ספורטק שלב ג'</t>
  </si>
  <si>
    <t>הוצאות בקשר עם תביעות סעיף 197</t>
  </si>
  <si>
    <t>פיתוח פארק שלב ג'</t>
  </si>
  <si>
    <t>הוצאות אכיפה-דירות נופש במרינה</t>
  </si>
  <si>
    <t>כיכר בן גוריון הבנים</t>
  </si>
  <si>
    <t>פיתוח פארק הבאסה</t>
  </si>
  <si>
    <t>מתחם רחוב משה</t>
  </si>
  <si>
    <t xml:space="preserve">       </t>
  </si>
  <si>
    <t>תכנון ייעוץ הנדסי "סל"</t>
  </si>
  <si>
    <t>החלפת גגות אסבסט</t>
  </si>
  <si>
    <t>שיפוץ מבני דת ציבוריים</t>
  </si>
  <si>
    <t>שיפוצים מוס"ח תוכנית אב</t>
  </si>
  <si>
    <t>בטיחות אש במוס"ח</t>
  </si>
  <si>
    <t>התקנה שדרוג מזגנים במוס' העיריה</t>
  </si>
  <si>
    <t>מיזוג אוויר במוס"ח</t>
  </si>
  <si>
    <t>הצללות בי"ס וגנ"י</t>
  </si>
  <si>
    <t>החלפת חול בארגזי חול</t>
  </si>
  <si>
    <t>בטיחות מוס"ח</t>
  </si>
  <si>
    <t>גידור מוס"ח</t>
  </si>
  <si>
    <t>ריהוט גנ"י</t>
  </si>
  <si>
    <t>שיפוץ מבני תנו"ס</t>
  </si>
  <si>
    <t>עבודות שונות בפארק הרצליה</t>
  </si>
  <si>
    <t>שדרוג מקלטים ציבוריים</t>
  </si>
  <si>
    <t>שיפוצים מוס"ח 2014</t>
  </si>
  <si>
    <t>עבודות התאמה לתקן חדש מ. ספורט</t>
  </si>
  <si>
    <t>רכישת מחסני חצר לגנ"י</t>
  </si>
  <si>
    <t>שיפוץ גני ילדים</t>
  </si>
  <si>
    <t>גידור שיפוץ גדרות מ.ספורט</t>
  </si>
  <si>
    <t>הצטיידות מבנה תרבות עירוני</t>
  </si>
  <si>
    <t>פרויקט שיגור לווין 2 דוכיפת 2</t>
  </si>
  <si>
    <t>רכישת כלי נגינה בקונסבטוריון</t>
  </si>
  <si>
    <t>רכישת מכשירי החייאה עפ"י חוק</t>
  </si>
  <si>
    <t>הצטידות כיתות חדשות בי"ס</t>
  </si>
  <si>
    <t>מתקני כושר חוף הים</t>
  </si>
  <si>
    <t>רכישת 2 טרקטורים רשות החופים</t>
  </si>
  <si>
    <t>מדידות נכסים לחיוב היטלי פיתוח</t>
  </si>
  <si>
    <t>בדיקות חיוב להיטלי פיתוח</t>
  </si>
  <si>
    <t>הפרשה בגין תביעות תלויות</t>
  </si>
  <si>
    <t>הלוואה לטובת אוצר המדינה</t>
  </si>
  <si>
    <t>סה"כ כללי</t>
  </si>
  <si>
    <t>שימור רצועת החוף</t>
  </si>
  <si>
    <t>יער עירוני וגינות קהילתיות</t>
  </si>
  <si>
    <t>תוכ' אב להפחתת זיהום אויר</t>
  </si>
  <si>
    <t>הכנת תוכנית אב לקיימות בעיריית</t>
  </si>
  <si>
    <t>הטמעת עקרונות הקיימות בחינוך</t>
  </si>
  <si>
    <t>סה"כ איכות הסביבה</t>
  </si>
  <si>
    <t>שדרוג מערכות הליבה</t>
  </si>
  <si>
    <t>שיפוץ דירות עמידר</t>
  </si>
  <si>
    <t>שיפוץ חזיתות "המרכז החדש"</t>
  </si>
  <si>
    <t>חזיתות בתים שיפוץ</t>
  </si>
  <si>
    <t>פצוי והפקעה ב-6525/6 הר' 1704</t>
  </si>
  <si>
    <t>רכישת חנויות במ.דגניה</t>
  </si>
  <si>
    <t>בית הרמלין-חלקה 92-גוש 6592</t>
  </si>
  <si>
    <t>פיצויי הפקעה - פארק הבאסה</t>
  </si>
  <si>
    <t>עלויות רכישת מקרקעין</t>
  </si>
  <si>
    <t>פיצויי הפקעה הר'1941 פארק הבאסה</t>
  </si>
  <si>
    <t>פיצויי הפקעה גוש 6525 חל' 130,131</t>
  </si>
  <si>
    <t>תביעה פינוי גוש 6521 רחמים</t>
  </si>
  <si>
    <t>שיפוץ ב"מ ספריה+חניון גוש 6532 -346</t>
  </si>
  <si>
    <t>שד' מע.השקייה ממוחשבות מוס"ח</t>
  </si>
  <si>
    <t>הנגשת גינות ציבוריות</t>
  </si>
  <si>
    <t>הקמת גינות לכלבים</t>
  </si>
  <si>
    <t>סככות הצללה לגני משחקים</t>
  </si>
  <si>
    <t>שדרוג תשתיות משטחי גומי גינות</t>
  </si>
  <si>
    <t>נטיעת עצים ברחבי העיר</t>
  </si>
  <si>
    <t>ריהוט רחוב</t>
  </si>
  <si>
    <t>סקר עצים מסוכנים ברחבי העיר</t>
  </si>
  <si>
    <t>מערכת כבישים בא.ת.מערבי</t>
  </si>
  <si>
    <t>פיתוח מתחם המסילה ודב הוז</t>
  </si>
  <si>
    <t>בית העלמין החדש</t>
  </si>
  <si>
    <t>מתחם המשתלה  תבע 1874</t>
  </si>
  <si>
    <t>עבודות פיתוח קטנות</t>
  </si>
  <si>
    <t>מתחם זרובבל</t>
  </si>
  <si>
    <t>כצלנסון-פיתוח</t>
  </si>
  <si>
    <t xml:space="preserve">הקמת בריכה ומרכז לאומנות </t>
  </si>
  <si>
    <t>כלביה</t>
  </si>
  <si>
    <t>עבודות פינוי ומיחזור הר' 1903</t>
  </si>
  <si>
    <t>סה"כ החברה לפיתוח הרצליה</t>
  </si>
  <si>
    <t>תב"ע חוף הים</t>
  </si>
  <si>
    <t>קע"פ</t>
  </si>
  <si>
    <t>אחרים</t>
  </si>
  <si>
    <t>חופים</t>
  </si>
  <si>
    <t>מתקני משחק ,ריהוט גן ומשטחי גומי</t>
  </si>
  <si>
    <t>איכות הסביבה</t>
  </si>
  <si>
    <t>ריכוז לפי אגפים/יחידות</t>
  </si>
  <si>
    <t>מרכיבי העלות</t>
  </si>
  <si>
    <t>מקורות מימון לפרויקט</t>
  </si>
  <si>
    <t>אגף/יחידה</t>
  </si>
  <si>
    <t>אומדן כולל לפרויקט</t>
  </si>
  <si>
    <t>תוספת לאומדן  לאישור מועצה</t>
  </si>
  <si>
    <t xml:space="preserve">יתרת תקציב 
</t>
  </si>
  <si>
    <t xml:space="preserve">אגף הנדסה </t>
  </si>
  <si>
    <t>החב' לפיתוח הרצליה</t>
  </si>
  <si>
    <t xml:space="preserve">אגף ת.ב.ל </t>
  </si>
  <si>
    <t xml:space="preserve">אגף ש.א.י.פ.ה </t>
  </si>
  <si>
    <t xml:space="preserve">איכות הסביבה </t>
  </si>
  <si>
    <t>החברה לפיתוח התיירות</t>
  </si>
  <si>
    <t xml:space="preserve">מח' נכסים וביטוח </t>
  </si>
  <si>
    <t xml:space="preserve">שיפוץ חזיתות/עמידר </t>
  </si>
  <si>
    <t xml:space="preserve">כללי </t>
  </si>
  <si>
    <t>סה"כ</t>
  </si>
  <si>
    <t>קרן עודפי ת.ר.</t>
  </si>
  <si>
    <t xml:space="preserve">יתרת מקורות מימון </t>
  </si>
  <si>
    <t>הפרש עודף (חוסר)</t>
  </si>
  <si>
    <t xml:space="preserve">תקציב מאושר  </t>
  </si>
  <si>
    <t>תב"ע לדיור בר השגה בשמשון הגיבור</t>
  </si>
  <si>
    <t>צפון הרצליה הר' 2035</t>
  </si>
  <si>
    <t>הסדרת שצ"פ למגורים הר' 2257</t>
  </si>
  <si>
    <t>פיתוח מתחם גליל ים הר' 1985 א'</t>
  </si>
  <si>
    <t>פיתוח מתחם המכללות הר' 1920/1</t>
  </si>
  <si>
    <t>פתוח מתחם הר' 1972 תחנה מרכזית</t>
  </si>
  <si>
    <t>רחוב החרש</t>
  </si>
  <si>
    <t>תכנון מבנה מעונות הסטודנטים</t>
  </si>
  <si>
    <t>שיקום האגם בפארק</t>
  </si>
  <si>
    <t>החברה לפיתוח התיירות הרצליה</t>
  </si>
  <si>
    <t>הקמת בריכה לימודית במרכז הספורט החדש</t>
  </si>
  <si>
    <t>מחלקת נכסים וביטוח</t>
  </si>
  <si>
    <t>כללי</t>
  </si>
  <si>
    <t>שיפוץ ובינוי נכסים עירוניים כולל תשתיות</t>
  </si>
  <si>
    <t>זרובבל השלמת מדרכות בכביש 100</t>
  </si>
  <si>
    <t>מועדון פטנג בספורטק</t>
  </si>
  <si>
    <t>תב"ע קרית השחקים</t>
  </si>
  <si>
    <t>פית' מדרגות קיר תומך פנחס רוזן</t>
  </si>
  <si>
    <t>שביל אופניים הרצליה-ת"א הפקעות</t>
  </si>
  <si>
    <t>תכנון דיור בן ציון מיכאלי</t>
  </si>
  <si>
    <t>פיתוח רח' צהל</t>
  </si>
  <si>
    <t>הקמת חניון ציבורי ליד סובארו</t>
  </si>
  <si>
    <t>שינוי רמזורים מדינת היהודים</t>
  </si>
  <si>
    <t>שיפוץ המקווה העירוני</t>
  </si>
  <si>
    <t>הקמת גינות בי"ס קהילתיות</t>
  </si>
  <si>
    <t>פיצויי הפקעה פארק הבאסה - פס"ד</t>
  </si>
  <si>
    <t>פיתוח שצ"פים במורדי הגטאות</t>
  </si>
  <si>
    <t>מתנ"ס נווה ישראל</t>
  </si>
  <si>
    <t>פיתוח מ.מתנס נווה עמל ומ.טניס</t>
  </si>
  <si>
    <t>רחבת בנין עיריה חדש</t>
  </si>
  <si>
    <t>תב"ע תחנה מרכזית חדשה זמנית</t>
  </si>
  <si>
    <t>פינוי בינוי מול התחנה</t>
  </si>
  <si>
    <t>פינוי בינוי סוקולוב שד ירושלים</t>
  </si>
  <si>
    <t>פיתוח מתחם אולפני הרצליה</t>
  </si>
  <si>
    <t>קו ניקוז שער הים</t>
  </si>
  <si>
    <t>פיתוח מתחם הר' 1903</t>
  </si>
  <si>
    <t>שימור אתרים</t>
  </si>
  <si>
    <t xml:space="preserve">פינוי בינוי צומת כדורי </t>
  </si>
  <si>
    <t>כיתות גן 4 שטח 302 גליל ים א'</t>
  </si>
  <si>
    <t>הס' צומת ברנר בר כוכבא בן גוריון</t>
  </si>
  <si>
    <t>שצ"פ מערב קיר אקוסטי גליל ים ב'</t>
  </si>
  <si>
    <t>שדרוג האצטדיון+ שד' חווית צפיה</t>
  </si>
  <si>
    <t>פארק גליל ים שלב א'</t>
  </si>
  <si>
    <t>אולם ספורט חטיבת זאב</t>
  </si>
  <si>
    <t>בית כנסת "אור זרוע"-תוס.קומה</t>
  </si>
  <si>
    <t>חניונים הר'1900 -שינוי תב"ע</t>
  </si>
  <si>
    <t>דיור בר השגה</t>
  </si>
  <si>
    <t>שיפוץ חניון לב העיר</t>
  </si>
  <si>
    <t>בנית ספריה שטח 408 גליל ים ב'</t>
  </si>
  <si>
    <t>פיתוח גליל ים ב'</t>
  </si>
  <si>
    <t>עבודות הרחבה התאמה איצטדיון</t>
  </si>
  <si>
    <t>תכנון רכבת עילית איזור תעשיה</t>
  </si>
  <si>
    <t>פרויקטים קטנים רזרבה אגפית</t>
  </si>
  <si>
    <t>תיקון ליקויים ס. כיבוי אש בי"ס</t>
  </si>
  <si>
    <t>שיפוץ חטיבה צעירה ברנדייס</t>
  </si>
  <si>
    <t>שיפוצים שונים מתנ"ס יד התשעה</t>
  </si>
  <si>
    <t>שיפוץ ותוספת בניה בי"ס בר אילן</t>
  </si>
  <si>
    <t>תוספת בניה בי"ס אילנות</t>
  </si>
  <si>
    <t>שיפוץ בי"ס מפתן ארז</t>
  </si>
  <si>
    <t>התקנת מעלית בי"ס שז"ר</t>
  </si>
  <si>
    <t>שיפוץ מרכז קהילתי נחלת עדה</t>
  </si>
  <si>
    <t>מע. תאורה LED ברחבי העיר</t>
  </si>
  <si>
    <t>החל' צ'ילרים מוע.נוער,יד לבנים</t>
  </si>
  <si>
    <t>שיפוץ בית הכנסת הגדול</t>
  </si>
  <si>
    <t>קירוי והצללה מגרשי ספורט עירוני</t>
  </si>
  <si>
    <t>החלפת תאורה באולמות ספורט</t>
  </si>
  <si>
    <t>רכישת  מכשירים ייבוש ידיים  בי"ס</t>
  </si>
  <si>
    <t>שיפוץ מעבדות,קולנוע תיכון ראשונים</t>
  </si>
  <si>
    <t>הצטיידות גנ"י חדשים ח"ר,ח"מ</t>
  </si>
  <si>
    <t>גנרטורים מושתקים לחרום</t>
  </si>
  <si>
    <t>אגף בטחון, פיקוח  וסדר ציבורי</t>
  </si>
  <si>
    <t>תב"ע מרינה</t>
  </si>
  <si>
    <t>תל מיכל</t>
  </si>
  <si>
    <t>פיתוח גן לאומי אפולוניה</t>
  </si>
  <si>
    <t>חוף דרומי-כניסה חוף,טיילת העוגן</t>
  </si>
  <si>
    <t>פרויקטים סביבתיים</t>
  </si>
  <si>
    <t>ריהוט הצטידות כלביה חדשה</t>
  </si>
  <si>
    <t>תוכנית שיווק והפרדת פסולת</t>
  </si>
  <si>
    <t>שיקום שכונות עירוני טיפול מרחב</t>
  </si>
  <si>
    <t>פיתוח חוף רחצה "חוף הכוכבים"</t>
  </si>
  <si>
    <t>פרויקט "הרצליה נקיה מאסבסט"</t>
  </si>
  <si>
    <t>פרויקט תכסיות וניתוח מרחבי</t>
  </si>
  <si>
    <t>אגף בטחון פיקוח וסדר ציבורי</t>
  </si>
  <si>
    <t>גן 3 כיתות 401 גליל ים ב'</t>
  </si>
  <si>
    <t>כיתות מעון וגן שטח 303 גליל ים א'</t>
  </si>
  <si>
    <t xml:space="preserve">חניון המוסכים-תכנון </t>
  </si>
  <si>
    <t>חניון המדע תכנון</t>
  </si>
  <si>
    <t>תוכנית אב לשילוט</t>
  </si>
  <si>
    <t>נגישות לאנשים עם מוגבלויות</t>
  </si>
  <si>
    <t>תכנון עיר</t>
  </si>
  <si>
    <t>תבע משולש המנהרה הר' 2350</t>
  </si>
  <si>
    <t>מתחם דן אכדייה ליווי תכנוני</t>
  </si>
  <si>
    <t>חידוש תוקף תכנית המתאר</t>
  </si>
  <si>
    <t>שיפוץ בי"ס היובל</t>
  </si>
  <si>
    <t>שיפוצים ובטיחות אש מוזיאון</t>
  </si>
  <si>
    <t>התקנת מע. גילוי אש א.ס. היובל</t>
  </si>
  <si>
    <t>החלפת צילרים א.ס. נ. ישראל,סמדר ,נוף ים</t>
  </si>
  <si>
    <t>התאמות נגישות מוסדות חינוך</t>
  </si>
  <si>
    <t>שדרוג המרחב הציבורי</t>
  </si>
  <si>
    <t xml:space="preserve">תקרות אקוסטיות בגנ"י </t>
  </si>
  <si>
    <t>שיפוצי מוסדות חינוך 2015 (לב טוב ,גורדון)</t>
  </si>
  <si>
    <t>הצטיידות גנ"י ותיקים (מ. הפייס)</t>
  </si>
  <si>
    <t>פרוייקט לווין משותף הרצליה שער הנגב</t>
  </si>
  <si>
    <t>הצטידות חדשה בי"ס אופק</t>
  </si>
  <si>
    <t>הצטידות חדשה בי"ס לב טוב</t>
  </si>
  <si>
    <t>הצטידות חדשה בי"ס גורדון</t>
  </si>
  <si>
    <t xml:space="preserve">סירות מועדון ימי </t>
  </si>
  <si>
    <t>ק. עודפים</t>
  </si>
  <si>
    <t>פרטני</t>
  </si>
  <si>
    <t>רכישת מיכלי אצירה לפסולת ומיחזור</t>
  </si>
  <si>
    <t>פיתוח חורשת נוף ים</t>
  </si>
  <si>
    <t>שילוט ברחבי העיר</t>
  </si>
  <si>
    <t>ת.ע.</t>
  </si>
  <si>
    <t>סגירת תב"ר</t>
  </si>
  <si>
    <t>פיצויי הפקעה פטריאלי 6524/21,22</t>
  </si>
  <si>
    <t>פיצויי הפקעה ארז בן אהרון 6524/52</t>
  </si>
  <si>
    <t>פיצויי הפקעה הרשקוביץ שושנה 6524/58,68</t>
  </si>
  <si>
    <t>פרויקטים דחופים בצ"מ 2017/2018</t>
  </si>
  <si>
    <t>פיתוח ותשתיות חוף הכוכבים</t>
  </si>
  <si>
    <t>תב"ע גשר קטן במרינה</t>
  </si>
  <si>
    <t>תכנון תב"ע כיכר דה שליט</t>
  </si>
  <si>
    <t>אגף הנדסה</t>
  </si>
  <si>
    <t>איטום גגות (מוס"ח,מוס. עיריה)</t>
  </si>
  <si>
    <t>גשר מעל כביש 20</t>
  </si>
  <si>
    <t>גשר הולכי רגל מעל שבעת הכוכבים</t>
  </si>
  <si>
    <t xml:space="preserve">שדרוג חצרות במוס"ח </t>
  </si>
  <si>
    <r>
      <t xml:space="preserve">התקנת עמודי תאורה </t>
    </r>
    <r>
      <rPr>
        <strike/>
        <sz val="11"/>
        <rFont val="David"/>
        <family val="2"/>
        <charset val="177"/>
      </rPr>
      <t/>
    </r>
  </si>
  <si>
    <t>בניית גנ"י חדשים (מ. החינוך)</t>
  </si>
  <si>
    <t>נגישות ליקויי שמיעה (מ.החינוך)</t>
  </si>
  <si>
    <t xml:space="preserve">שיפוצים שונים מוס"ח </t>
  </si>
  <si>
    <t>הנגשת כיתות ליקויי שמיעה (מ.החינוך)</t>
  </si>
  <si>
    <t>הזרמה ספטמבר</t>
  </si>
  <si>
    <t>ספטמבר נוסף</t>
  </si>
  <si>
    <t>מתחם גליל ים</t>
  </si>
  <si>
    <t>סה"כ מתחם גליל ים</t>
  </si>
  <si>
    <t>הר' 2159 התחדשות עירונית יד 9</t>
  </si>
  <si>
    <t>איצטדיון כדורסל</t>
  </si>
  <si>
    <t>מתחם קמפוס יד גיורא</t>
  </si>
  <si>
    <t>חיבור שכונת גליל ים לנווה ישראל</t>
  </si>
  <si>
    <t xml:space="preserve">מגרש סימולציה לאופניים </t>
  </si>
  <si>
    <t>תוספת בניה בי"ס יוחנני</t>
  </si>
  <si>
    <t xml:space="preserve">תגבור מתחם הקראוונים </t>
  </si>
  <si>
    <t>תקרות אקוסטיות</t>
  </si>
  <si>
    <t xml:space="preserve">רכישת ציוד טיפול זיהום חוף ים </t>
  </si>
  <si>
    <t>יתרה לביצוע צפוי עד 31.12.2017</t>
  </si>
  <si>
    <t>אומדן לביצוע שנת 2018</t>
  </si>
  <si>
    <t>אומדן לביצוע שנת 2019 ואילך</t>
  </si>
  <si>
    <t>תקציב נוסף נדרש במסגרת תוכנית עבודה2017</t>
  </si>
  <si>
    <t>תקציב נוסף נדרש מעבר לתוכנית עבודה2017</t>
  </si>
  <si>
    <t>סה"כ תקציב נוסף נדרש 2017</t>
  </si>
  <si>
    <t>יתרת תקציב פנויה 31.12.2017</t>
  </si>
  <si>
    <t>תקציב נדרש 2018</t>
  </si>
  <si>
    <t xml:space="preserve">ליווי "מהיר" לעיר </t>
  </si>
  <si>
    <t>שריון מערך רכש</t>
  </si>
  <si>
    <t xml:space="preserve">תקציב נוסף נדרש במסגרת תוכנית עבודה 2017 </t>
  </si>
  <si>
    <t xml:space="preserve">תקציב נוסף נדרש מעבר לתוכנית עבודה 2017   </t>
  </si>
  <si>
    <t xml:space="preserve">מתחם נוריות  </t>
  </si>
  <si>
    <t xml:space="preserve">בניה חדשה בי"ס אופק </t>
  </si>
  <si>
    <t xml:space="preserve">תכנון מתחם אפולוניה </t>
  </si>
  <si>
    <t>שיפוץ הספריה בנורדאו</t>
  </si>
  <si>
    <t xml:space="preserve"> התקנת גופי תאורה בטכנולוגיה מתקדמת</t>
  </si>
  <si>
    <r>
      <t>פיר מעלית ומעלית בנין המועצה הדתית</t>
    </r>
    <r>
      <rPr>
        <b/>
        <sz val="11"/>
        <color rgb="FFFF0000"/>
        <rFont val="David"/>
        <family val="2"/>
        <charset val="177"/>
      </rPr>
      <t xml:space="preserve"> </t>
    </r>
  </si>
  <si>
    <t>שיפוץ בית חם לנערים</t>
  </si>
  <si>
    <t>בניית בי"ס ברחוב משה (ירוק)</t>
  </si>
  <si>
    <t>הקמת מערכות בטחוניות במוס. עיריה</t>
  </si>
  <si>
    <t>נגישות אקוסטית בי"ס</t>
  </si>
  <si>
    <t>הצטיידות חדשה בי"ס יוחנני</t>
  </si>
  <si>
    <t>הצטיידות מעבדות מגמות תיכון היובל</t>
  </si>
  <si>
    <t>ציפוי מגרשי ספורט</t>
  </si>
  <si>
    <t>פיתוח חופי רחצה 2017/2017</t>
  </si>
  <si>
    <t>שדרוג ריהוט רחוב אזור התעשיה</t>
  </si>
  <si>
    <t>פיתוח נופי דרך ירושלים</t>
  </si>
  <si>
    <t>פרוייקט השכרת אופניים</t>
  </si>
  <si>
    <t>סוכת הצלה 2016</t>
  </si>
  <si>
    <t>שילוט 2016</t>
  </si>
  <si>
    <t>ציוד הצלה ובטיחות 2016</t>
  </si>
  <si>
    <t>תכנון תב"ע הסדרת ייעודי קרקע לפיתוח טיילת החוף</t>
  </si>
  <si>
    <t>בניה עצמית ליד המתחם הבינתחומי</t>
  </si>
  <si>
    <t>פרויקטים דחופים בצ"מ 2015/2017</t>
  </si>
  <si>
    <t>ü</t>
  </si>
  <si>
    <t>3 גנ"י במתחם אלתרמן</t>
  </si>
  <si>
    <t>תכנון מתנ"ס ברחוב המסילה</t>
  </si>
  <si>
    <t>החלפת עמודי תאורה באזה"ת</t>
  </si>
  <si>
    <t>החלפת עמודי מחסום באזה"ת</t>
  </si>
  <si>
    <t>הקמת אולמות ספורט הנגיד והנדיב</t>
  </si>
  <si>
    <t>החברה לפיתוח הרצליה בע"מ</t>
  </si>
  <si>
    <t xml:space="preserve">אומדן לביצוע שנת 2018 </t>
  </si>
  <si>
    <t>תקציב נוסף נדרש 2018</t>
  </si>
  <si>
    <t xml:space="preserve">יעודי קרקע -מפת בסיס </t>
  </si>
  <si>
    <r>
      <rPr>
        <sz val="11"/>
        <rFont val="David"/>
        <family val="2"/>
        <charset val="1"/>
      </rPr>
      <t xml:space="preserve">תכנון </t>
    </r>
    <r>
      <rPr>
        <sz val="11"/>
        <rFont val="David"/>
        <family val="2"/>
        <charset val="177"/>
      </rPr>
      <t>שינוי גבולות העיר</t>
    </r>
  </si>
  <si>
    <t xml:space="preserve">התחדשות עירונית  </t>
  </si>
  <si>
    <t>אגף ת.ב.ל</t>
  </si>
  <si>
    <t>שדרוג כבישים ומדרכות</t>
  </si>
  <si>
    <t>שיפוץ מעבדת רובוטיקה בתיכון הנדסאים</t>
  </si>
  <si>
    <t>שיפוץ אולם ארועים ,מרפסת ומדרגות במועצה הדתית</t>
  </si>
  <si>
    <t>הצטיידות בר אילן אחרי השיפוץ</t>
  </si>
  <si>
    <t>שיפוץ מבני תנו"ס כולל הצטיידות</t>
  </si>
  <si>
    <t>אגף ש.א.י.פ.ה</t>
  </si>
  <si>
    <t>שדרוג גן שלווה</t>
  </si>
  <si>
    <t>בי"ס אלון - פתוח ושדרוג החצר האחורית</t>
  </si>
  <si>
    <t>הקמת פינות מיחזור ברחבי העיר</t>
  </si>
  <si>
    <t>הסדרת שטחי בתי ספר ברחבי העיר</t>
  </si>
  <si>
    <t>הצבת קולרים ברחבי העיר</t>
  </si>
  <si>
    <t>ספורטק - חידוש מתחם מתקני משחק</t>
  </si>
  <si>
    <t>פרוייקט מומה - בן-גוריון - סמדר</t>
  </si>
  <si>
    <t>חורשת האקליפטוסים בנחלת עדה</t>
  </si>
  <si>
    <t>רשות החופים</t>
  </si>
  <si>
    <t>עבודות הגנה מצוקים וגידור חופי רחצה</t>
  </si>
  <si>
    <t>פיתוח חופי רחצה 2018/2019</t>
  </si>
  <si>
    <t>סככות צל חוף הכוכבים 2017</t>
  </si>
  <si>
    <t>הסדרת החוף הנפרד 2017</t>
  </si>
  <si>
    <t>כסאות לנכים 2017</t>
  </si>
  <si>
    <t>תחנת הצלה - חוף הכוכבים 2017</t>
  </si>
  <si>
    <t>משקפות למצילים 2017</t>
  </si>
  <si>
    <t>שילוט לחופי רחצה 2017</t>
  </si>
  <si>
    <t>ציוד הצלה לחופי רחצה 2017</t>
  </si>
  <si>
    <t>הכשרת חניון העוגן</t>
  </si>
  <si>
    <t xml:space="preserve">תב"ע טיילת שלב א' </t>
  </si>
  <si>
    <t>שיפוריים בשטחים ציבוריים במרינה</t>
  </si>
  <si>
    <t>גדרות בשטחים ציבוריים</t>
  </si>
  <si>
    <t>תשתיות פס רחב מוס"ח וציוד</t>
  </si>
  <si>
    <r>
      <t xml:space="preserve">פריסת </t>
    </r>
    <r>
      <rPr>
        <b/>
        <sz val="11"/>
        <rFont val="David"/>
        <family val="2"/>
      </rPr>
      <t>תשתיות תקשורת</t>
    </r>
    <r>
      <rPr>
        <sz val="11"/>
        <rFont val="David"/>
        <family val="2"/>
        <charset val="177"/>
      </rPr>
      <t xml:space="preserve">  ברחבי העיר </t>
    </r>
    <r>
      <rPr>
        <b/>
        <sz val="11"/>
        <rFont val="David"/>
        <family val="2"/>
      </rPr>
      <t>ומוס"ח (*) עדכון שם</t>
    </r>
  </si>
  <si>
    <t>פיצויי הפקעה תוכנית הר' 1940  6664/105</t>
  </si>
  <si>
    <t xml:space="preserve">אגף חינוך </t>
  </si>
  <si>
    <t xml:space="preserve">רשות החופים </t>
  </si>
  <si>
    <t>3.6</t>
  </si>
  <si>
    <t>קרנות הרשות - צפי תנועה באלפי ₪</t>
  </si>
  <si>
    <t>תאור</t>
  </si>
  <si>
    <t>מקורות</t>
  </si>
  <si>
    <t>יתרה צפויה 1.1</t>
  </si>
  <si>
    <t xml:space="preserve">היטלי השבחה ופיתוח שנה שוטפת </t>
  </si>
  <si>
    <t xml:space="preserve">העמקת גביה מהיטלי פיתוח שנה שוטפת </t>
  </si>
  <si>
    <t>סה"כ מקורות</t>
  </si>
  <si>
    <t>שימושים</t>
  </si>
  <si>
    <t>השתתפות בפרעון מילוות מים,ביוב ופיתוח</t>
  </si>
  <si>
    <t>השתתפות בשכ"ע הנדסה לפיתוח ותכנון</t>
  </si>
  <si>
    <t>עודכן ב - 920 אלפי ₪ עדכון איילת 22.9.16</t>
  </si>
  <si>
    <t>מימון תקציב בלתי רגיל</t>
  </si>
  <si>
    <t>סה"כ שימושים</t>
  </si>
  <si>
    <t>31.10.16:</t>
  </si>
  <si>
    <t>עדכון של איילת: 644 אלפי ₪ משיכה נוספת.</t>
  </si>
  <si>
    <t>1.</t>
  </si>
  <si>
    <t>מבוא</t>
  </si>
  <si>
    <t xml:space="preserve">רקע : </t>
  </si>
  <si>
    <t xml:space="preserve">התקציב הבלתי רגיל (תב"ר) מהווה מסגרת תקציבית שנועדה בעיקר לביצוע פרויקטים  של עבודות  </t>
  </si>
  <si>
    <t xml:space="preserve">פיתוח ותשתיות, שיפוץ ובניה , בהיקף תקציבי נכבד המבוצעות במשך תקופה ארוכה. </t>
  </si>
  <si>
    <t>מקורות המימון לתב"ר הינם :</t>
  </si>
  <si>
    <t>מענקים ממקורות שלטוניים ובעיקר ממשרדי ממשלה.</t>
  </si>
  <si>
    <t>מענקים ממוסדות שאינם שלטוניים כגון : מפעל הפייס ,המועצה להסדר הימורים, השתתפויות ועוד.</t>
  </si>
  <si>
    <t xml:space="preserve">מקורות עצמיים של הרשות הכוללים היטלי השבחה , היטלי פיתוח , העברות מתקציב רגיל, </t>
  </si>
  <si>
    <t>תרומות, מימוש נכסים.</t>
  </si>
  <si>
    <t>הלוואות לזמן ארוך.</t>
  </si>
  <si>
    <t xml:space="preserve">אישור התקציב הבלתי רגיל : </t>
  </si>
  <si>
    <t xml:space="preserve">על פי הוראות משרד הפנים ,לכל פרויקט יש לקבוע את היקף ההשקעה ומקורות המימון. </t>
  </si>
  <si>
    <t xml:space="preserve">ב – 10.2.2014 אושר במליאת הכנסת חוק רשויות איתנות על פיו ניתן לרשויות איתנות המתנהלות </t>
  </si>
  <si>
    <t xml:space="preserve">בהתאם לקריטריונים שהוצבו , חופש פעולה בתחומים מסוימים , בין היתר בתחום התקציב. </t>
  </si>
  <si>
    <t>ב – 16.3.2014 הכריז משרד הפנים על עיריית הרצליה כעל עירייה איתנה.</t>
  </si>
  <si>
    <t>חברי וועדת הכספים/מועצת העיר מתבקשים לאשר בזאת :</t>
  </si>
  <si>
    <t xml:space="preserve">באלפי ₪ </t>
  </si>
  <si>
    <t>מתוך אומדן כולל של הפרויקטים בסכום של</t>
  </si>
  <si>
    <t>2.</t>
  </si>
  <si>
    <t>מקורות המימון באלפי ₪ היו כדלקמן -</t>
  </si>
  <si>
    <t>קרן מכירת רכוש</t>
  </si>
  <si>
    <t>משרדי ממשלה ואחרים</t>
  </si>
  <si>
    <t>סה"כ תקציב</t>
  </si>
  <si>
    <t xml:space="preserve">משרדי ממשלה ואחרים </t>
  </si>
  <si>
    <t xml:space="preserve">מסגרת תוכנית פיתוח </t>
  </si>
  <si>
    <t>אחוז ביצוע</t>
  </si>
  <si>
    <t xml:space="preserve">סה"כ </t>
  </si>
  <si>
    <t xml:space="preserve">המשך ההשקעות בבניה חדשה כולל שדרוגים של מוסדות חינוך ברחבי העיר. </t>
  </si>
  <si>
    <t xml:space="preserve">פיתוח מתנ"סים. </t>
  </si>
  <si>
    <t>פיתוח כבישים ותשתיות אזור תעשיה מערבי.</t>
  </si>
  <si>
    <t xml:space="preserve">פיתוח מתחם אלוני ים הר' 2030. </t>
  </si>
  <si>
    <t>פיתוח מתחם הר' 1903 .</t>
  </si>
  <si>
    <t>עבודות פיתוח תשתיות, פארק, מוסדות חינוך ומבני ציבור במתחם גליל ים.</t>
  </si>
  <si>
    <t>הצעת התקציב הבלתי רגיל מסתכמת בהשקעה של</t>
  </si>
  <si>
    <t>3.</t>
  </si>
  <si>
    <t>חלוקת ההשקעה בתקציב  באלפי ₪ על פי אגפים/יחידות מפורטת להלן -</t>
  </si>
  <si>
    <t>שם פרק</t>
  </si>
  <si>
    <t>החברה לפיתוח הרצליה</t>
  </si>
  <si>
    <t>אגף בטחון,פיקוח וסדר ציבורי</t>
  </si>
  <si>
    <t>אומדן מקורות המימון  באלפי ₪  מפורט להלן -</t>
  </si>
  <si>
    <t>מקור</t>
  </si>
  <si>
    <t>קרן לעבודות פיתוח</t>
  </si>
  <si>
    <t>סה"כ משרדי ממשלה ואחרים</t>
  </si>
  <si>
    <t>סעיף מימון משרדי ממשלה ואחרים מפורט בטבלה להלן – באלפי ₪ (*)</t>
  </si>
  <si>
    <t>משרד התחבורה</t>
  </si>
  <si>
    <t>משרד החינוך</t>
  </si>
  <si>
    <t>משרד הבינוי והשיכון</t>
  </si>
  <si>
    <t>רשות מינהל מקרקעי ישראל</t>
  </si>
  <si>
    <t>מפעל הפייס</t>
  </si>
  <si>
    <t>הכנסות בעד עבודות</t>
  </si>
  <si>
    <t>(*)</t>
  </si>
  <si>
    <t xml:space="preserve"> תקצוב הפרויקטים נשוא מימון משרדי ממשלה ואחרים כמפורט לעיל מותנה בקבלת מסמך </t>
  </si>
  <si>
    <t>התחייבות כספית חתום על ידי מורשי חתימה של הגורם המממן.</t>
  </si>
  <si>
    <t>4.</t>
  </si>
  <si>
    <t>תב"רים לסגירה בשנת 2016</t>
  </si>
  <si>
    <t>כללי :</t>
  </si>
  <si>
    <t xml:space="preserve">הנחיות משרד הפנים קובעות :  </t>
  </si>
  <si>
    <t xml:space="preserve">תב"ר שהגיע לסיומו או לא הוחל בביצועו או לא הוצאו בגינו התחייבויות כספיות , עליו להיגרע מקובץ </t>
  </si>
  <si>
    <t xml:space="preserve">התב"רים במערכת הכספית של הרשות המקומית. </t>
  </si>
  <si>
    <t>עודף סופי בחשבון התב"ר יועבר לקרנות הרשות . יש לאשר את סגירת התב"רים במועצת העיר.</t>
  </si>
  <si>
    <t xml:space="preserve">במהלך שנת 2016 אושרה במועצת העיר  סגירת  פרויקטים שהסתיימו/לא נוצלו לשנת 2016 והחזרת </t>
  </si>
  <si>
    <t xml:space="preserve">עודפים לקרנות הרשות בסכום של </t>
  </si>
  <si>
    <t>פרויקטים בביצוע החברה לפיתוח</t>
  </si>
  <si>
    <t xml:space="preserve">בהתאם לתוספת להסכם מסגרת לביצוע פרויקטים הנדסיים בין העירייה לחברה לפיתוח הרצליה </t>
  </si>
  <si>
    <t xml:space="preserve">מיום 10.4.2005, יש לאשר במועצת העיר את ביצוע הפרויקטים  שהיקפם עולה על ערך הסף.  </t>
  </si>
  <si>
    <t>שנת 2018</t>
  </si>
  <si>
    <t>העברה מתקציב רגיל 2017</t>
  </si>
  <si>
    <t>מקורות מימון אחרים - פרוט</t>
  </si>
  <si>
    <t>אגף/מחלקה</t>
  </si>
  <si>
    <t>המשרד להגנת הסביבה</t>
  </si>
  <si>
    <t>משרד התשתיות והאנרגיה</t>
  </si>
  <si>
    <t>משרד המדע</t>
  </si>
  <si>
    <t xml:space="preserve">הכנסות בעד עבודות </t>
  </si>
  <si>
    <t xml:space="preserve">החברה לפיתוח הרצליה </t>
  </si>
  <si>
    <t xml:space="preserve">החברה לפיתוח תיירות </t>
  </si>
  <si>
    <t>רשות  מקרקעי ישראל</t>
  </si>
  <si>
    <t xml:space="preserve">אגף החינוך </t>
  </si>
  <si>
    <t>הצעת התקציב הבלתי רגיל</t>
  </si>
  <si>
    <t>תוכן</t>
  </si>
  <si>
    <t>עמודים</t>
  </si>
  <si>
    <t>ריכוזים ודברי הסבר</t>
  </si>
  <si>
    <t xml:space="preserve">אגף בטחון פיקוח וסדר ציבורי     </t>
  </si>
  <si>
    <t>מימוש תקציב</t>
  </si>
  <si>
    <t>ינואר</t>
  </si>
  <si>
    <t>פברואר</t>
  </si>
  <si>
    <t>מרץ</t>
  </si>
  <si>
    <t>אפריל</t>
  </si>
  <si>
    <t>מאי</t>
  </si>
  <si>
    <t>יוני</t>
  </si>
  <si>
    <t>יולי</t>
  </si>
  <si>
    <t>אוגוסט</t>
  </si>
  <si>
    <t>אוקטובר</t>
  </si>
  <si>
    <t xml:space="preserve">אולם ספורט חטיבת זאב </t>
  </si>
  <si>
    <t>כיתות גן 4 שטח 301 גליל ים א'</t>
  </si>
  <si>
    <t>פיתוח חופי רחצה 2016/2017</t>
  </si>
  <si>
    <t xml:space="preserve">חלוקת העלויות בתקציב  באלפי ₪ על פי פרקים עיקריים מפורטת להלן –  </t>
  </si>
  <si>
    <t>נכסים ציבוריים</t>
  </si>
  <si>
    <t>נכסים</t>
  </si>
  <si>
    <t>תכנון בנין עיר</t>
  </si>
  <si>
    <t>מינהל כללי</t>
  </si>
  <si>
    <t>שרותים עירוניים שונים</t>
  </si>
  <si>
    <t>מבני דת ציבוריים</t>
  </si>
  <si>
    <t>שנת  2018</t>
  </si>
  <si>
    <t>עלויות</t>
  </si>
  <si>
    <t>תקציב</t>
  </si>
  <si>
    <t>ועדת כספים</t>
  </si>
  <si>
    <t>מועצה</t>
  </si>
  <si>
    <t>אומדן כולל לפרויקט
מעודכן</t>
  </si>
  <si>
    <t>אומדן מאושר בתוכנית הפיתוח</t>
  </si>
  <si>
    <t>תוספת אומדן לאישור המועצה מעבר לתוכנית הפיתוח</t>
  </si>
  <si>
    <t>פרויקט השכרת אופניים</t>
  </si>
  <si>
    <t>סה"כ החברה לתיירות</t>
  </si>
  <si>
    <t xml:space="preserve">שצ"פ אל על והמינהרה </t>
  </si>
  <si>
    <t xml:space="preserve">פתוח קטעי רח' דרך ירושלים גולומב </t>
  </si>
  <si>
    <t>כיתות גן  5 שטח 408 גליל ים ב'</t>
  </si>
  <si>
    <t>שיפוץ אולם ספורט היובל</t>
  </si>
  <si>
    <t>קרן ייעודית</t>
  </si>
  <si>
    <t>קרן יעודית  מתחם גליל ים</t>
  </si>
  <si>
    <t>חניון אגד</t>
  </si>
  <si>
    <t>שדרות ה - 93 (הבאר)</t>
  </si>
  <si>
    <t>סמטת ניסנוב</t>
  </si>
  <si>
    <t>יהודה הנשיא רבי עקיבא דוד רזיאל</t>
  </si>
  <si>
    <t>תכנון חניון מרינה לי</t>
  </si>
  <si>
    <t>ציר העדפה</t>
  </si>
  <si>
    <t>פארק הבאסה שלב ב' (בית קפה)</t>
  </si>
  <si>
    <t>פיתוח מתחם אולפני הרצליה (ושצ"פים)</t>
  </si>
  <si>
    <t>תב"ע 2159 (2394)</t>
  </si>
  <si>
    <t>בניית 3 גנ"י חדשים (יד התשעה)</t>
  </si>
  <si>
    <t>בנית 3 גני ילדים (המסילה)</t>
  </si>
  <si>
    <t>גנ"י מדעיים באלתרמן 3</t>
  </si>
  <si>
    <t>ביכנ"ס מקדש מלך</t>
  </si>
  <si>
    <t>תכנון  אסטרטגי ציר מעפילים</t>
  </si>
  <si>
    <t>מימוןו מ. התחבורה</t>
  </si>
  <si>
    <t>ריכוז</t>
  </si>
  <si>
    <t>שיפוץ חזיתות ובתים</t>
  </si>
  <si>
    <t xml:space="preserve">החברה לפיתוח התיירות הרצליה     </t>
  </si>
  <si>
    <t xml:space="preserve">אגף תקשוב ומערכות מידע     </t>
  </si>
  <si>
    <t>משרד הפנים</t>
  </si>
  <si>
    <t>סה"כ רשות חופים</t>
  </si>
  <si>
    <t>מספר הפרויקטים המטופל ע"י אגף הנדסה :</t>
  </si>
  <si>
    <t>מקורות מימון לפרויקטים :</t>
  </si>
  <si>
    <t>מקורות מימון</t>
  </si>
  <si>
    <t>סכום</t>
  </si>
  <si>
    <t>מספר הפרויקטים המטופל ע"י החברה לפיתוח בע"מ :</t>
  </si>
  <si>
    <t>אחוז</t>
  </si>
  <si>
    <t>פרויקט</t>
  </si>
  <si>
    <t xml:space="preserve">מתחם גליל ים </t>
  </si>
  <si>
    <t xml:space="preserve">פרויקטים שונים </t>
  </si>
  <si>
    <t xml:space="preserve">מתוכם העיקריים : </t>
  </si>
  <si>
    <t>קרן ייעודית גליל ים</t>
  </si>
  <si>
    <t>מספר הפרויקטים המטופל ע"י האגף  :</t>
  </si>
  <si>
    <t>אגף ביטחון , פיקוח וסדר ציבורי</t>
  </si>
  <si>
    <t>מספר הפרויקטים המטופל ע"י האגף :</t>
  </si>
  <si>
    <t>אגף חינוך</t>
  </si>
  <si>
    <t xml:space="preserve">הצטיידות בי"ס יצחק נבון באלתרמן </t>
  </si>
  <si>
    <t>תוכנית אסטרטגית להתיעלות  עירונית באזהת"ש</t>
  </si>
  <si>
    <t xml:space="preserve">כיתות מעון 5 יום 5 כיתות גן- 
שטח  404 גליל ים ב' </t>
  </si>
  <si>
    <t>בית ספר יסודי 18 כיתות 
שטח  408 גליל ים ב'</t>
  </si>
  <si>
    <t>גן 3 כיתות שטח 402 גליל ים ב'</t>
  </si>
  <si>
    <t>ספריה+מ.קהילתי שטח 406 
 גליל ים ב'</t>
  </si>
  <si>
    <t>בית ספר יסודי 18 כיתות 
שטח 304 גלילי ים א'</t>
  </si>
  <si>
    <t>האגף אחראי בין היתר על רשות החופים והיחידה לאיכות הסביבה.</t>
  </si>
  <si>
    <r>
      <t>שיקום ,שד' ,הק' ונגישות גינות ציבוריות (</t>
    </r>
    <r>
      <rPr>
        <sz val="11"/>
        <rFont val="David"/>
        <family val="2"/>
      </rPr>
      <t>נגישות גינות)</t>
    </r>
  </si>
  <si>
    <r>
      <t xml:space="preserve">שדרוג מערכת השקייה ממוחשבות </t>
    </r>
    <r>
      <rPr>
        <sz val="11"/>
        <rFont val="David"/>
        <family val="2"/>
      </rPr>
      <t>(חדשים)</t>
    </r>
  </si>
  <si>
    <t>החברה לפיתוח התיירות בהרצליה</t>
  </si>
  <si>
    <t>מתוקצב כולו מקרן עבודות פיתוח.</t>
  </si>
  <si>
    <t>וסכומי התקציב, הנדרש, אם בכלל, אינם ידועים מראש ותלויים לעיתים בהליכים משפטיים.</t>
  </si>
  <si>
    <t>אגף תקשוב  ומערכות מידע</t>
  </si>
  <si>
    <r>
      <t xml:space="preserve">התקנת מערך </t>
    </r>
    <r>
      <rPr>
        <b/>
        <sz val="11"/>
        <rFont val="David"/>
        <family val="2"/>
      </rPr>
      <t>שו"ב</t>
    </r>
    <r>
      <rPr>
        <sz val="11"/>
        <rFont val="David"/>
        <family val="2"/>
        <charset val="177"/>
      </rPr>
      <t xml:space="preserve"> מצלמות מוס"ח  ומבני ציבור  </t>
    </r>
    <r>
      <rPr>
        <b/>
        <sz val="11"/>
        <rFont val="David"/>
        <family val="2"/>
      </rPr>
      <t>(*)</t>
    </r>
    <r>
      <rPr>
        <sz val="11"/>
        <rFont val="David"/>
        <family val="2"/>
        <charset val="177"/>
      </rPr>
      <t xml:space="preserve"> </t>
    </r>
    <r>
      <rPr>
        <b/>
        <sz val="11"/>
        <rFont val="David"/>
        <family val="2"/>
      </rPr>
      <t>עדכון שם</t>
    </r>
  </si>
  <si>
    <t>גנ"י בנווה עמל (ציפורן,מוריה)</t>
  </si>
  <si>
    <t>גנ"י מרכז ויצמן (תמר,תאנה)</t>
  </si>
  <si>
    <t>גן ילדים במתחם זרובבל</t>
  </si>
  <si>
    <t>גן רשל, גנ"י בי"ס אילנות</t>
  </si>
  <si>
    <t>תיכון ראשונים</t>
  </si>
  <si>
    <t>בדיקות תכנוניות  כללי</t>
  </si>
  <si>
    <t>שיפוץ יסודי במעון בן סרוק כולל הצטיידות</t>
  </si>
  <si>
    <t>הרצליה ב' - שצ"פ רח' המסילה , מרכז מסחרי אל-על נורדאו</t>
  </si>
  <si>
    <t>ריכוז לפי פרקים</t>
  </si>
  <si>
    <t>העברה מעודפי תקציב רגיל שנים קודמות</t>
  </si>
  <si>
    <t>שצ"פ צמרות דרום (השביל הירוק)</t>
  </si>
  <si>
    <t xml:space="preserve">פיתוח אולמות ספורט. </t>
  </si>
  <si>
    <t>פיתוח רחוב צ.ה.ל.</t>
  </si>
  <si>
    <t>תכנון ועדכון  תוכנית אב לשבילי אופניים</t>
  </si>
  <si>
    <t>רח' ז'בוטינסקי אלתרמן הבריגדה (רמ"י)</t>
  </si>
  <si>
    <t>פיתוח  מתחם הר' 1903</t>
  </si>
  <si>
    <t>קיריית החינוך שטח 406 גליל ים ב'</t>
  </si>
  <si>
    <t>מערכת תאורה LED ברחבי העיר</t>
  </si>
  <si>
    <t xml:space="preserve">התקנת מערך שליטה ובקרה מצלמות מוסדות חינוך ומבני ציבור, פריסת תשתיות </t>
  </si>
  <si>
    <t>פרויקטים דחופים בלתי צפויים מראש/מימוני ביניים.</t>
  </si>
  <si>
    <t>פרק</t>
  </si>
  <si>
    <t>פרויקטים לביצוע ע"י החברה לפיתוח הרצליה</t>
  </si>
  <si>
    <t>5-16</t>
  </si>
  <si>
    <t>מרכז תחבורה חדש .</t>
  </si>
  <si>
    <t>תב"ע תחנה מרכזית חדשה זמנית - שימוש חורג</t>
  </si>
  <si>
    <t>תוכנית אסטרטגית להתיעלות  עירונית במרכז העיר</t>
  </si>
  <si>
    <t>מסמכי   מדיניות   להתחדשות  עירונית בשכונות</t>
  </si>
  <si>
    <t>שביל צמרות ישראל 
(שביל אינטגרציה)</t>
  </si>
  <si>
    <t>בי"ס חדש במתחם אלתרמן   
(יצחק נבון)</t>
  </si>
  <si>
    <t>השקעה תשתיות/הרחבות חניונים</t>
  </si>
  <si>
    <t>מספר הפרויקטים :</t>
  </si>
  <si>
    <t>מתחם קמפוס הרצליה</t>
  </si>
  <si>
    <t>מדידת נכסים בעת ביצוע עב' פיתוח לצורך חיוב הנכסים עפ"י שטחם בפועל.</t>
  </si>
  <si>
    <t>בדיקת תשלומי היטלי פיתוח בגין נכסים בעת ביצוע עב' פיתוח.</t>
  </si>
  <si>
    <t>עלויות כלליות בקשר עם רכישת מקרקעין.</t>
  </si>
  <si>
    <t>פיצויי הפקעה נכס גוש 6524/21,22 פטריאלי.</t>
  </si>
  <si>
    <t>פיצויי הפקעה נכס גוש 6524/52 ארז בן אהרון.</t>
  </si>
  <si>
    <t>פיצויי הפקעה נכס גוש 6524/58,68 הרשקוביץ שושנה.</t>
  </si>
  <si>
    <t>פיצויי הפקעה נכס הר' 1982,1929 גוש 6524/52. הרחבת ז'בוטינסקי ושטח הפארק.</t>
  </si>
  <si>
    <t>לשנת 2019</t>
  </si>
  <si>
    <t>התקציב הבלתי רגיל לשנת 2018 – ביצוע</t>
  </si>
  <si>
    <t>הצעת התקציב הבלתי רגיל לשנת 2019</t>
  </si>
  <si>
    <t xml:space="preserve">ביצוע תקציב הבלתי רגיל לשנת 2018    </t>
  </si>
  <si>
    <t>תקציב בלתי רגיל לשנת 2019 בהשקעה של</t>
  </si>
  <si>
    <t xml:space="preserve">לביצוע פרויקטים בשנת 2019 בסכום של  </t>
  </si>
  <si>
    <t>התקציב הבלתי רגיל לשנת 2018</t>
  </si>
  <si>
    <t xml:space="preserve">הצעת התקציב הבלתי רגיל לשנת 2018  אושרה במועצת העיר בחודש נובמבר 2017 . </t>
  </si>
  <si>
    <r>
      <t xml:space="preserve">הצעת התקציב הבלתי רגיל לשנת 2018 הסתכמה בסכום של  </t>
    </r>
    <r>
      <rPr>
        <b/>
        <sz val="12"/>
        <color theme="1"/>
        <rFont val="David"/>
        <family val="2"/>
        <charset val="177"/>
      </rPr>
      <t>537,096 אלפי ₪ .</t>
    </r>
  </si>
  <si>
    <t>קרן ייעודית מתחם גליל ים</t>
  </si>
  <si>
    <t xml:space="preserve">להלן נתוני ביצוע באלפי ₪ של התקציב הבלתי רגיל לשנת 2018 : </t>
  </si>
  <si>
    <t>ביצוע כולל צפי עד 31.12.2018</t>
  </si>
  <si>
    <t>יתרה לביצוע צפוי עד 31.12.2018</t>
  </si>
  <si>
    <t>אומדן לביצוע שנת 2019</t>
  </si>
  <si>
    <t>אומדן לביצוע שנת 2020 ואילך</t>
  </si>
  <si>
    <t>תקציב נוסף נדרש במסגרת תוכנית עבודה 2018</t>
  </si>
  <si>
    <t>תקציב נוסף נדרש מעבר לתוכנית עבודה 2018</t>
  </si>
  <si>
    <t>סה"כ תקציב נוסף נדרש 2018</t>
  </si>
  <si>
    <t>יתרת תקציב פנויה 31.12.2018</t>
  </si>
  <si>
    <t>תקציב נדרש 2019</t>
  </si>
  <si>
    <t>תאור הפרויקט</t>
  </si>
  <si>
    <t>עדכון מע. מידע הנדסי כתוצאה משינוי ייעודי קרקע עקב החלטות ועדות התכנון.</t>
  </si>
  <si>
    <t>ביצוע עבודות מדרכות לאחר השלמת עבודות בניה כתוצאה מהיתרים.</t>
  </si>
  <si>
    <t>עבור שצ"פ האקליפטוס 3.5 מיליון ₪ ו - 400 אלפי ₪ תכנון רח' דורי.יתרת תקציב לביצוע  עבודות סלילה ופיתוח סופי בדן שומרון.</t>
  </si>
  <si>
    <t>סל עבודות ניקוז ברחבי העיר .</t>
  </si>
  <si>
    <t>פרויקט ממשלתי המתוקצב ע"י המדינה במקביל לרשות. הביצוע העירוני מתעכב עקב בעית פולש.</t>
  </si>
  <si>
    <t>תכנון מתחם חוף התכלת.
יש עתירה של בעלי הקרקע הפרטיים על השתהות בקידום  התוכנית . לו"ז מאי 2019.</t>
  </si>
  <si>
    <t>פיתוח הרחובות משער הים צפונה - תשתיות תאורה וגינון, הנשיא והתאנה.</t>
  </si>
  <si>
    <t>טיפול תכנוני בהגנה על המצוקים מפני התמוטטות.</t>
  </si>
  <si>
    <r>
      <rPr>
        <strike/>
        <sz val="11"/>
        <rFont val="David"/>
        <family val="2"/>
      </rPr>
      <t>חידוש תוקף תכנית המתאר</t>
    </r>
    <r>
      <rPr>
        <sz val="11"/>
        <rFont val="David"/>
        <family val="2"/>
        <charset val="177"/>
      </rPr>
      <t xml:space="preserve"> </t>
    </r>
    <r>
      <rPr>
        <b/>
        <sz val="11"/>
        <rFont val="David"/>
        <family val="2"/>
      </rPr>
      <t xml:space="preserve"> תוכנית המתאר הכוללנית (*) שינוי שם</t>
    </r>
  </si>
  <si>
    <t>הכנת תוכנית מתאר כוללנית על מנת לאפשר לעיריה לתכנן תוכניות בסמכות וועדה מקומית.</t>
  </si>
  <si>
    <t>העסקת צוות יועצים שילווה את התכנון והביצוע של הפרויקט.</t>
  </si>
  <si>
    <t>העצמת הזכויות הנוספות לבנינים לצורך הגברת הכדאיות של ביצוע חיזוק מבנים.</t>
  </si>
  <si>
    <t>הקמת חניות והסדרים גיאומטרים ליד מבנה לזכר השואה שיוקם ע"י היזם (ליאור דינור ואחרים). מימון היזם מובטח בערבות.</t>
  </si>
  <si>
    <r>
      <rPr>
        <strike/>
        <sz val="11"/>
        <rFont val="David"/>
        <family val="2"/>
      </rPr>
      <t>הר' 2159</t>
    </r>
    <r>
      <rPr>
        <sz val="11"/>
        <rFont val="David"/>
        <family val="2"/>
        <charset val="177"/>
      </rPr>
      <t xml:space="preserve"> התחדשות עירונית יד  התשעה</t>
    </r>
    <r>
      <rPr>
        <b/>
        <sz val="11"/>
        <rFont val="David"/>
        <family val="2"/>
      </rPr>
      <t xml:space="preserve"> (*) שינוי שם</t>
    </r>
  </si>
  <si>
    <r>
      <rPr>
        <strike/>
        <sz val="11"/>
        <rFont val="David"/>
        <family val="2"/>
      </rPr>
      <t>קשר גש</t>
    </r>
    <r>
      <rPr>
        <sz val="11"/>
        <rFont val="David"/>
        <family val="2"/>
        <charset val="177"/>
      </rPr>
      <t xml:space="preserve">ר </t>
    </r>
    <r>
      <rPr>
        <b/>
        <sz val="11"/>
        <rFont val="David"/>
        <family val="2"/>
      </rPr>
      <t>תכנון חיבוריות בין מזרח למערב (*) שינוי שם</t>
    </r>
  </si>
  <si>
    <t>תכנון כולל לסוגית חיזוק הקשר בין מזרח העיר למערב העיר באמצעות תוספות של גשרים להולכי רגל ורכב דו גלגלי.</t>
  </si>
  <si>
    <t>תכנון פרויקטים להתחדשות עירונית ופינוי בינוי.</t>
  </si>
  <si>
    <t>בדיקת התכנות טרם קביעת ותוך כדי בחינת מתחמי פינוי בינוי.</t>
  </si>
  <si>
    <t>תב"ע הר' 2394 (לשעבר הר  2159 )</t>
  </si>
  <si>
    <t>תכנון תב"ע לשכונה חדשה בהרצליה הצעירה. שטח בגודל של כ - 50 דונם וכ - 300 יח"ד.</t>
  </si>
  <si>
    <t>חיבור פארק שלב ב' עם שכונת המסילה בגשר הולכי רגל מעל כביש 20.</t>
  </si>
  <si>
    <t xml:space="preserve">צומת סוקולוב בן גוריון </t>
  </si>
  <si>
    <t xml:space="preserve">הקמת מערכת בקרת רמזורים ברחבי העיר.
</t>
  </si>
  <si>
    <t xml:space="preserve">תכנון בנייה ציבורית </t>
  </si>
  <si>
    <r>
      <t xml:space="preserve">תוכנית אסטרטגית </t>
    </r>
    <r>
      <rPr>
        <strike/>
        <sz val="11"/>
        <rFont val="David"/>
        <family val="2"/>
      </rPr>
      <t>להתי' עירונית</t>
    </r>
    <r>
      <rPr>
        <sz val="11"/>
        <rFont val="David"/>
        <family val="2"/>
        <charset val="177"/>
      </rPr>
      <t xml:space="preserve">  באזהת"ש</t>
    </r>
    <r>
      <rPr>
        <b/>
        <sz val="11"/>
        <rFont val="David"/>
        <family val="2"/>
      </rPr>
      <t xml:space="preserve"> (*) שינוי שם</t>
    </r>
  </si>
  <si>
    <t>סל של שעות ייעוץ עבור בקשות פרטניות להיתר לפי צורך.</t>
  </si>
  <si>
    <t>הליך התנעה לתכנון מתחם לפינוי בינוי מול התחנה.</t>
  </si>
  <si>
    <t>פינוי בינוי סוקולוב שד' ירושלים במימון מ. הבינוי.</t>
  </si>
  <si>
    <t>תוכנית מתארית ומפורטת חלקית לאורך רחוב המנהרה ועד פארק הואדי. התוכנית כוללת מתחם לשימור. קיימת עתירה לבימ"ש של בעלי קרקע פרטיים.</t>
  </si>
  <si>
    <t>עבור עבודות השלמה סופיות - יועץ חשמל, יועץ כבישים והגדלת חוזה פיקוח עקב התארכות פרויקט.</t>
  </si>
  <si>
    <r>
      <rPr>
        <sz val="11"/>
        <rFont val="David"/>
        <family val="2"/>
      </rPr>
      <t xml:space="preserve">תכנון </t>
    </r>
    <r>
      <rPr>
        <sz val="11"/>
        <rFont val="David"/>
        <family val="2"/>
        <charset val="177"/>
      </rPr>
      <t>שינוי גבולות העיר</t>
    </r>
  </si>
  <si>
    <t>עלויות לצורך מתן מענה לדיון במשרד הפנים עקב אישורה של תוכנית תמ"ל מס' 1068.</t>
  </si>
  <si>
    <r>
      <rPr>
        <strike/>
        <sz val="11"/>
        <rFont val="David"/>
        <family val="2"/>
      </rPr>
      <t xml:space="preserve"> איצטדיון כדורסל</t>
    </r>
    <r>
      <rPr>
        <b/>
        <sz val="11"/>
        <rFont val="David"/>
        <family val="2"/>
      </rPr>
      <t xml:space="preserve"> היכל ספורט רב תכליתי </t>
    </r>
    <r>
      <rPr>
        <sz val="11"/>
        <rFont val="David"/>
        <family val="2"/>
        <charset val="177"/>
      </rPr>
      <t xml:space="preserve">  </t>
    </r>
    <r>
      <rPr>
        <b/>
        <sz val="11"/>
        <rFont val="David"/>
        <family val="2"/>
      </rPr>
      <t>(*) שינוי שם</t>
    </r>
  </si>
  <si>
    <t>בדיקה ותכנון איצטדיון ספורט רב תכליתי בעיר. תלוי בקידומה של תוכנית קרית שחקים תב"ר 1799.</t>
  </si>
  <si>
    <t>חניון עצמאות</t>
  </si>
  <si>
    <t>פיתוח חניון זמני במתחם אגד.</t>
  </si>
  <si>
    <t>שדרות ה - 93 הבאר</t>
  </si>
  <si>
    <t>יהודה הנשיא רבי עקיבא רזיאל</t>
  </si>
  <si>
    <t>בדיקות תכנוניות כללי</t>
  </si>
  <si>
    <t>סל של עבודות תכנון , בדיקות, סקרים ודרישות  מכח החלטות של ועדות סטטוטוריות בלתי צפויות.</t>
  </si>
  <si>
    <t>תכנון אסטרטגי ציר מעפילים</t>
  </si>
  <si>
    <t>תכנון ציר המעפילים הכניסה הצפונית לעיר בשיתוף מועצה מקומית כפר שמריהו.</t>
  </si>
  <si>
    <t>פיתוח מתחם מבנה משכן אומנים</t>
  </si>
  <si>
    <t xml:space="preserve">פיתוח משה דיין </t>
  </si>
  <si>
    <t>תכנון וביצוע רחוב משה דיין כולל חיבור לכביש 20, הילס, אופני דן.</t>
  </si>
  <si>
    <t>נילי - עבודות פיתוח והסדרת תנועה</t>
  </si>
  <si>
    <t>לאור החלטת בית המשפט שהעיריה תבצע שינויים גיאומטרים וקיר.</t>
  </si>
  <si>
    <t>החלפת קו ניקוז בדוד המלך</t>
  </si>
  <si>
    <t>אוצר הצמחים והראשונים ואבן אודם</t>
  </si>
  <si>
    <t>פיתוח וביצוע שידרוג ויזואלי מתחם בני בניימין הנדיב</t>
  </si>
  <si>
    <t>תכנון שצ"פים במתחם הר' 1960</t>
  </si>
  <si>
    <t>רחוב הפרטיזנים</t>
  </si>
  <si>
    <t>שיכון דרום הר' 2312</t>
  </si>
  <si>
    <t>הר מירון בר כוכבא הר' 2266</t>
  </si>
  <si>
    <t>סקר עבירות בניה ברחבי העיר</t>
  </si>
  <si>
    <t>ביצוע הריסות עפ"י צווים</t>
  </si>
  <si>
    <t>תוכנית מתאר איזור התעסוקה הר/2440</t>
  </si>
  <si>
    <t>תב"ע מעברת רשף - מערב נוף ים</t>
  </si>
  <si>
    <t>תוכנית לשיקום מעברת רשף והקמת שכונת מגורים חדשה בשילוב שטחי ציבור , שטחים פתוחים ותיירות.</t>
  </si>
  <si>
    <t>שינוי תוכנית גליל ים א' ב'</t>
  </si>
  <si>
    <t>מעון לאנשים עם מוגבלויות - גליל ים</t>
  </si>
  <si>
    <t>שצ"פ דליה רביקוביץ בשכונת אלתרמן (הר/1920)</t>
  </si>
  <si>
    <t>שביל מתחם העצמאות הרב גורן הבנים</t>
  </si>
  <si>
    <t>עבודות פיתוח מערך שבילים בין הרחובות העצמאות הרב גורן ורחוב הבנים.</t>
  </si>
  <si>
    <t xml:space="preserve">תקציב נוסף נדרש במסגרת תוכנית עבודה 2018 </t>
  </si>
  <si>
    <t xml:space="preserve">תקציב נוסף נדרש מעבר לתוכנית עבודה 2018   </t>
  </si>
  <si>
    <t>סל עבודות קטנות עפ"י דרישה.</t>
  </si>
  <si>
    <t>סל עבודות תכנון עפ"י דרישה.</t>
  </si>
  <si>
    <t>מרכז פיס לתרבות מוסיקה קהילה</t>
  </si>
  <si>
    <t>שביל צמרות ישראל (שביל האינטגרציה)</t>
  </si>
  <si>
    <t>שצ"פ רבי עקיבא דרומה (השביל הירוק)</t>
  </si>
  <si>
    <t>תכנון להקמת רכבת עילית מתחנת הרכבת לאיזור התעשיה.</t>
  </si>
  <si>
    <t>מתחם קמפוס הרצליה (יד גיורא)</t>
  </si>
  <si>
    <t>פיתוח חורשת הפרחים</t>
  </si>
  <si>
    <t>שיפוץ הספריה נורדאו</t>
  </si>
  <si>
    <t>3 גנ"י מדעיים באלתרמן</t>
  </si>
  <si>
    <t>3 גנ"י  במתחם אלתרמן</t>
  </si>
  <si>
    <t>תכנון מתנ"ס רחוב המסילה</t>
  </si>
  <si>
    <t>החלפת עמודי תאורה באיזור תעשיה</t>
  </si>
  <si>
    <t>החלפת עמודי מחסום איזור תעשיה</t>
  </si>
  <si>
    <t>גנ"י נווה עמל ציפורן מוריה</t>
  </si>
  <si>
    <t>גנ"י מרכז ויצמן תמר תאנה</t>
  </si>
  <si>
    <t>גן ילדים מתחם זרובבל</t>
  </si>
  <si>
    <t>תוספת גלריה אולם היכל אומ.הבמה</t>
  </si>
  <si>
    <t>שיפוץ בית קפה פארק שלב ב'</t>
  </si>
  <si>
    <r>
      <t xml:space="preserve">אולם ספורט ויצמן  תכנון </t>
    </r>
    <r>
      <rPr>
        <b/>
        <sz val="11"/>
        <rFont val="David"/>
        <family val="2"/>
      </rPr>
      <t>וביצוע (*) עדכון שם</t>
    </r>
  </si>
  <si>
    <t>עבודות פיתוח בכנ"ס אברהם אבינו</t>
  </si>
  <si>
    <t>שיפוץ בית הורים</t>
  </si>
  <si>
    <t>הכשרת החוף הנפרד</t>
  </si>
  <si>
    <t>בית ספר בן גוריון</t>
  </si>
  <si>
    <t>ספריה בבית ספר היובל</t>
  </si>
  <si>
    <t>סינמטק בבנין עיריה חדש</t>
  </si>
  <si>
    <t>מועדון טלוויזיה קהילתית בשכונת צמרות</t>
  </si>
  <si>
    <r>
      <t>פארק גליל ים</t>
    </r>
    <r>
      <rPr>
        <b/>
        <sz val="11"/>
        <rFont val="David"/>
        <family val="2"/>
      </rPr>
      <t xml:space="preserve"> </t>
    </r>
    <r>
      <rPr>
        <b/>
        <strike/>
        <sz val="11"/>
        <rFont val="David"/>
        <family val="2"/>
      </rPr>
      <t>שלב א</t>
    </r>
    <r>
      <rPr>
        <b/>
        <sz val="11"/>
        <rFont val="David"/>
        <family val="2"/>
      </rPr>
      <t>' (*) עדכון שם</t>
    </r>
  </si>
  <si>
    <r>
      <rPr>
        <strike/>
        <sz val="11"/>
        <rFont val="David"/>
        <family val="2"/>
      </rPr>
      <t>כיתות גן  5</t>
    </r>
    <r>
      <rPr>
        <sz val="11"/>
        <rFont val="David"/>
        <family val="2"/>
        <charset val="177"/>
      </rPr>
      <t xml:space="preserve"> שטח 408 גליל ים ב'-</t>
    </r>
    <r>
      <rPr>
        <b/>
        <sz val="11"/>
        <rFont val="David"/>
        <family val="2"/>
      </rPr>
      <t>גנ"י, בי"ס, ספריה (*) איחוד תב"רים</t>
    </r>
  </si>
  <si>
    <r>
      <t xml:space="preserve">בנית ספריה שטח 408 גליל ים ב'
 </t>
    </r>
    <r>
      <rPr>
        <b/>
        <sz val="11"/>
        <rFont val="David"/>
        <family val="2"/>
      </rPr>
      <t>(*) סגירת תב"ר איחוד תב"ר ראה מס' 1909</t>
    </r>
  </si>
  <si>
    <t xml:space="preserve">כיתות מעון 5 יום 5 כיתות גן-. 404 גליל ים ב' </t>
  </si>
  <si>
    <r>
      <t>קיריית החינוך ( מגרש 406)-</t>
    </r>
    <r>
      <rPr>
        <b/>
        <sz val="11"/>
        <rFont val="David"/>
        <family val="2"/>
      </rPr>
      <t>ספריה, מרכז קהילתי (*) איחוד תב"רים</t>
    </r>
  </si>
  <si>
    <r>
      <t xml:space="preserve">ספריה+מ.קהילתי ש.406 גליל ים ב' </t>
    </r>
    <r>
      <rPr>
        <b/>
        <sz val="11"/>
        <rFont val="David"/>
        <family val="2"/>
      </rPr>
      <t xml:space="preserve"> (*) סגירת תב"ר איחוד תב"ר ראה מס' 1912</t>
    </r>
  </si>
  <si>
    <r>
      <t xml:space="preserve">בית ספר יסודי 18 כיתות 408 גליל ים ב'  </t>
    </r>
    <r>
      <rPr>
        <b/>
        <sz val="11"/>
        <rFont val="David"/>
        <family val="2"/>
      </rPr>
      <t>(*) סגירת תב"ר איחוד תב"ר ראה מס' 1909</t>
    </r>
  </si>
  <si>
    <t>גן 3 כיתות 402 גליל ים ב'(כולל חניון)</t>
  </si>
  <si>
    <t>בית ספר יסודי 18 כיתות מגרש 304 גלילי ים א'</t>
  </si>
  <si>
    <t>סה"כ פרויקטים מתחם גליל ים</t>
  </si>
  <si>
    <t>תקציב נוסף נדרש במסגרת תוכנית עבודה2018</t>
  </si>
  <si>
    <t>תקציב נוסף נדרש מעבר לתוכנית עבודה2018</t>
  </si>
  <si>
    <t>סל לייעוץ ותכנון הנדסי.</t>
  </si>
  <si>
    <t>החלפת גגות אסבסט במוסדות ציבור עפ"י רשימה  ובעקבות החוק הקשור במבני אסבסט.</t>
  </si>
  <si>
    <t>סל לשיפוץ בתי כנסת ע"פ תוכנית שתוגש במהלך השנה.</t>
  </si>
  <si>
    <t>סל להחלפה ושדרוג מזגנים במוסדות עירייה.</t>
  </si>
  <si>
    <t>סל לשיפוץ ובינוי נכסים עירוניים.</t>
  </si>
  <si>
    <r>
      <t>הצללות בי"ס וגנ"י</t>
    </r>
    <r>
      <rPr>
        <b/>
        <sz val="11"/>
        <rFont val="David"/>
        <family val="2"/>
      </rPr>
      <t xml:space="preserve"> (*)  ומתנס"ים עדכון שם</t>
    </r>
  </si>
  <si>
    <t>סל לאיטום גגות מוסדות חינוך ומוסדות עירייה.</t>
  </si>
  <si>
    <t>סל לעבודות בטיחות במוס"ח.</t>
  </si>
  <si>
    <t>סל לשדרוג ריהוט בגני ילדים.</t>
  </si>
  <si>
    <t>שדרוג כבישים מדרכות תשתיות</t>
  </si>
  <si>
    <t>שיפוצי מוסדות חינוך שונים  (לב טוב ,גורדון)</t>
  </si>
  <si>
    <t>עבודות שיקום לשיפור איכות ומראה המים באגם.</t>
  </si>
  <si>
    <t>עבודות שיקום חזיתות המקווה.</t>
  </si>
  <si>
    <t xml:space="preserve"> התקנת גופי תאורה בטכנולוגיה מתקדמת במגרשי הספורט</t>
  </si>
  <si>
    <t>התקנת גופי תאורה בטכנולוגיה מתקדמת במגרשי ספורט.</t>
  </si>
  <si>
    <t>סל לעבודות הסדרת ליקויים כיבוי אש במוס"ח  לפי סקר.</t>
  </si>
  <si>
    <t>עבודות השלמת קירוי הפטיו במתנ"ס.</t>
  </si>
  <si>
    <t>שלב ב' של עבודות שיפוצים יסודיים הרחבות בקומת הקרקע, מטבח, חזיתות.</t>
  </si>
  <si>
    <t>המשך עבודות שדרוג לוחות חשמל והוספת מפסקי חירום עפ"י הצורך.</t>
  </si>
  <si>
    <t xml:space="preserve">הצבת קרוואנים ופיתוח </t>
  </si>
  <si>
    <t>סל להחלפת ושדרוג תקרות אקוסטיות במוס"ח,בעקבות שדרוג התאורה</t>
  </si>
  <si>
    <t xml:space="preserve">בניית בית ספר ברח' משה-12 כתות </t>
  </si>
  <si>
    <t>שיפוץ יסודי מעון בן סרוק כולל הצטיידות</t>
  </si>
  <si>
    <t>שיפוץ מעבדת רובוטיקה בהנדסאים</t>
  </si>
  <si>
    <t>שיפוץ אולם אירועים, מרפסת,מדרגות  מועצה דתית</t>
  </si>
  <si>
    <t>שיפוץ קומת  קרקע בעלות עיריה מוהליבר פינת הדר</t>
  </si>
  <si>
    <t>תוספת כיתות /חדרי ספח ברנדיס</t>
  </si>
  <si>
    <t>התאמת מבנה שיפוץ גנ"י לאה גולדברג 1</t>
  </si>
  <si>
    <t>שיפוץ מבנה אגף תבל ואגף הבטחון</t>
  </si>
  <si>
    <t>עבודות שיפוץ כללי למשרדי האגפים כולל חדר ישיבות</t>
  </si>
  <si>
    <t>ספירת מלאי וסימון הרכוש העירוני</t>
  </si>
  <si>
    <t>ספירת רכוש במוסדות חינוך ויחידות עירוניות וכן סימון הרכוש העירוני.</t>
  </si>
  <si>
    <t>הצטיידות לחמ"ל החדש</t>
  </si>
  <si>
    <t>סה"כ תקציב 2018 שהוזרם לפרויקטים בגינם נדרש תקציב 2019</t>
  </si>
  <si>
    <t>רכישת נשקים</t>
  </si>
  <si>
    <t>הקמת חפ"ק עירוני חדש</t>
  </si>
  <si>
    <t>הצטיידות כיתות חדשות בעקבות גידול עפ"י צפי במס' תלמידים.</t>
  </si>
  <si>
    <t>הצטיידות בר אילן לאחר שיפוץ</t>
  </si>
  <si>
    <t>הצטיידות בי"ס בר אילן אחרי השיפוץ.</t>
  </si>
  <si>
    <t>הצטיידות בי"ס יצחק נבון אלתרמן</t>
  </si>
  <si>
    <t>הצטיידות גנ"י חדשים באלתרמן</t>
  </si>
  <si>
    <t>הצטידות גנ"י חדשים  גליל ים מגרש301/2</t>
  </si>
  <si>
    <t>נגישות אקוסטית מ.החינוך 2017</t>
  </si>
  <si>
    <t>המשך הצטיידות אופק אחרי השיפוץ.</t>
  </si>
  <si>
    <t>סדנת רובוטיקה בהנדסאים</t>
  </si>
  <si>
    <t>מרחבי למידה</t>
  </si>
  <si>
    <r>
      <t xml:space="preserve">שיפוץ מבני </t>
    </r>
    <r>
      <rPr>
        <strike/>
        <sz val="11"/>
        <rFont val="David"/>
        <family val="2"/>
      </rPr>
      <t>תנו"ס</t>
    </r>
    <r>
      <rPr>
        <sz val="11"/>
        <rFont val="David"/>
        <family val="2"/>
      </rPr>
      <t xml:space="preserve"> </t>
    </r>
    <r>
      <rPr>
        <b/>
        <sz val="11"/>
        <rFont val="David"/>
        <family val="2"/>
      </rPr>
      <t>תרבות ונוער (*) שינוי שם</t>
    </r>
  </si>
  <si>
    <t>עבודות שונות,שיפוצים, ציוד בספריות, מרכזים קהילתיים, מוזיאונים.לפי פרוט.</t>
  </si>
  <si>
    <t>הצטיידות מבנה תרבות מערב העיר</t>
  </si>
  <si>
    <t>מקרן דיגיטלי לסינמטק</t>
  </si>
  <si>
    <r>
      <t>שדרוג מערכת השקייה ממוחשבות (</t>
    </r>
    <r>
      <rPr>
        <sz val="11"/>
        <rFont val="David"/>
        <family val="2"/>
      </rPr>
      <t>חדשים</t>
    </r>
    <r>
      <rPr>
        <b/>
        <sz val="11"/>
        <rFont val="David"/>
        <family val="2"/>
        <charset val="177"/>
      </rPr>
      <t>)</t>
    </r>
  </si>
  <si>
    <t>שיפוץ חזיתות בתים כולל: פיתוח חצרות, חדרי מדרגות, מעלית (רכוש משותף). בשיתוף האגודה לתרבות הדיור</t>
  </si>
  <si>
    <t xml:space="preserve">שיקום שדרוג,הקמה ונגישות גינות ציבוריות </t>
  </si>
  <si>
    <t>הקמת גינות כלבים כולל: פיתוח שבילים, גידור, תאורה, ברזיות, ריהוט גן תואם, עבודות גינון והשקייה.</t>
  </si>
  <si>
    <t>הצללת אזורים של מתקני משחקים לנוחות הציבור.</t>
  </si>
  <si>
    <t>קידום אמנת ברית ערים כתוכנית המשך לתוכנית להפחתת פליטות של פורום ה-15</t>
  </si>
  <si>
    <t>הסרת גגות אסבסט ממבנים בעיר וסיוע לתושבים לאיסוף אסבסט בהיקפים קטנים.</t>
  </si>
  <si>
    <t>רכישת מיכלי אצירה מפלסטיק ומתכת לפסולת ומיחזור.</t>
  </si>
  <si>
    <t>שדרוג ריהוט רחוב גן אזור תעשיה</t>
  </si>
  <si>
    <t>פיתוח נופי דרך ירושלים כביש531</t>
  </si>
  <si>
    <t>עבודות פיתוח מעבר לקיר האקוסטי כולל גינון קבוע בתוואי שלא ישתנה.</t>
  </si>
  <si>
    <t>בי"ס אלון פיתוח חצר אחורית</t>
  </si>
  <si>
    <r>
      <t xml:space="preserve">הקמת פינות מיחזור </t>
    </r>
    <r>
      <rPr>
        <b/>
        <sz val="11"/>
        <rFont val="David"/>
        <family val="2"/>
      </rPr>
      <t xml:space="preserve">וגזם </t>
    </r>
    <r>
      <rPr>
        <sz val="11"/>
        <rFont val="David"/>
        <family val="2"/>
        <charset val="177"/>
      </rPr>
      <t xml:space="preserve">ברחבי העיר </t>
    </r>
    <r>
      <rPr>
        <b/>
        <sz val="11"/>
        <rFont val="David"/>
        <family val="2"/>
      </rPr>
      <t>(*) שינוי שם</t>
    </r>
  </si>
  <si>
    <t>הקמת פינות מיחזור ברחבי העיר (פינות המרכזות מיכלי אצירה לסוגים שונים של פסולת כגון: בקבוקים, זכוכית, נייר, אריזות ועוד).</t>
  </si>
  <si>
    <r>
      <t xml:space="preserve">הסדרת שטחי </t>
    </r>
    <r>
      <rPr>
        <strike/>
        <sz val="11"/>
        <rFont val="David"/>
        <family val="2"/>
      </rPr>
      <t xml:space="preserve">בי"ס  </t>
    </r>
    <r>
      <rPr>
        <sz val="11"/>
        <rFont val="David"/>
        <family val="2"/>
      </rPr>
      <t xml:space="preserve"> </t>
    </r>
    <r>
      <rPr>
        <b/>
        <sz val="11"/>
        <rFont val="David"/>
        <family val="2"/>
      </rPr>
      <t xml:space="preserve">מוס"ח </t>
    </r>
    <r>
      <rPr>
        <sz val="11"/>
        <rFont val="David"/>
        <family val="2"/>
      </rPr>
      <t>ברחב</t>
    </r>
    <r>
      <rPr>
        <sz val="11"/>
        <rFont val="David"/>
        <family val="2"/>
        <charset val="177"/>
      </rPr>
      <t xml:space="preserve">י העיר </t>
    </r>
    <r>
      <rPr>
        <b/>
        <sz val="11"/>
        <rFont val="David"/>
        <family val="2"/>
      </rPr>
      <t>(*) עדכון שם</t>
    </r>
  </si>
  <si>
    <t>ספורטק חידוש מתחם מתקני משחק</t>
  </si>
  <si>
    <t>פרויקט מומה בן גוריון,סמדר</t>
  </si>
  <si>
    <t>הרצליה ב' שצפ המסילה,מ.מסחרי</t>
  </si>
  <si>
    <t>ביצוע שצ"פ רחוב המסילה כולל גידור, הסדרת המרכז המסחרי אל-על נורדאו, עבודות גינון נוספות.</t>
  </si>
  <si>
    <t>חורשת אקליפטוסים נחלת עדה</t>
  </si>
  <si>
    <t>שדרוג החורשה כולל: שבילים, בונקרים, הקמת תשתיות פנאי ונופש (ספסלים, ברזיות) ועוד.</t>
  </si>
  <si>
    <t>סקר טבע עירוני</t>
  </si>
  <si>
    <t>הקמה שדרוג סככות המתנה אוטובוס</t>
  </si>
  <si>
    <t xml:space="preserve">ארלוזרוב - דרך ירושלים </t>
  </si>
  <si>
    <t xml:space="preserve">שדרוג גן דפנה אילת </t>
  </si>
  <si>
    <r>
      <t>פיתוח חופי רחצה</t>
    </r>
    <r>
      <rPr>
        <strike/>
        <sz val="11"/>
        <rFont val="David"/>
        <family val="2"/>
      </rPr>
      <t xml:space="preserve"> 2018/2019</t>
    </r>
    <r>
      <rPr>
        <b/>
        <sz val="11"/>
        <rFont val="David"/>
        <family val="2"/>
      </rPr>
      <t xml:space="preserve"> (*) שינוי שם</t>
    </r>
  </si>
  <si>
    <t>הסדרת החוף הנפרד</t>
  </si>
  <si>
    <t>תחנת הצלה חוף הכוכבים 2017</t>
  </si>
  <si>
    <t>שילוט חופי רחצה 2017</t>
  </si>
  <si>
    <t>ציוד הצלה חופי רחצה 2017</t>
  </si>
  <si>
    <t>מיול לפיקוח והצלה 2018</t>
  </si>
  <si>
    <t>אופנוע ים כולל זיווד 2018</t>
  </si>
  <si>
    <t>ציוד הצלה ובטיחות 2018</t>
  </si>
  <si>
    <t>הת.מע שו"ב מצלמות מוס"ח מבני ציבור</t>
  </si>
  <si>
    <t>מערכות מתקדמות לעיר חכמה כולל שו"ב מצלמות וציוד נלווה.</t>
  </si>
  <si>
    <t>פריסת תש.תקשורת ברחבי העיר+ מוס"ח</t>
  </si>
  <si>
    <t>תשתיות תקשורת אלחוטית וסיבים אופטיים לעיר חכמה במוס"ח וברחבי העיר בהתאם לתוכנית רב שנתית.</t>
  </si>
  <si>
    <t xml:space="preserve">תשתיות פס רחב מוס"ח </t>
  </si>
  <si>
    <t xml:space="preserve">הקמת מרכז שליטה ובקרה  עירוני </t>
  </si>
  <si>
    <t xml:space="preserve">הקמת אתר עירוני ופורטל </t>
  </si>
  <si>
    <t>פיצויי הפקעה הר' 1940 6664/105</t>
  </si>
  <si>
    <t>פיצויי הפקעה הר'1929 6424/52</t>
  </si>
  <si>
    <t>הכנת תצר רישום זכויות תבע 574א</t>
  </si>
  <si>
    <t>מקורת מימון - סה"כ מימוש תקציב עד 31.12.18</t>
  </si>
  <si>
    <t>מקורת מימון - מימוש תקציב צפוי עד 31.12.18</t>
  </si>
  <si>
    <t>מקורת מימון - יתרה שלא מומשה</t>
  </si>
  <si>
    <t>סה"כ מומש עד 31.10.18</t>
  </si>
  <si>
    <t>סה"כ צפוי עד 31.12.18</t>
  </si>
  <si>
    <t>סה"כ תקציב שמומש/ימומש עד 31.12.18</t>
  </si>
  <si>
    <t>יתרה שלא מומשה</t>
  </si>
  <si>
    <r>
      <t>פיצויי הפקעה תוכנית הר' 1929  6524/5</t>
    </r>
    <r>
      <rPr>
        <b/>
        <sz val="11"/>
        <rFont val="David"/>
        <family val="2"/>
      </rPr>
      <t>2</t>
    </r>
    <r>
      <rPr>
        <sz val="11"/>
        <rFont val="David"/>
        <family val="2"/>
        <charset val="177"/>
      </rPr>
      <t xml:space="preserve"> (ז'בוטינסקי)</t>
    </r>
  </si>
  <si>
    <t xml:space="preserve">מאי </t>
  </si>
  <si>
    <t>תואם</t>
  </si>
  <si>
    <t>שדרוג כבישים מדרכות ותשתיות</t>
  </si>
  <si>
    <t>ללא תנוס</t>
  </si>
  <si>
    <r>
      <rPr>
        <strike/>
        <sz val="11"/>
        <rFont val="David"/>
        <family val="2"/>
      </rPr>
      <t xml:space="preserve">מבנה תרבות במערב העיר </t>
    </r>
    <r>
      <rPr>
        <b/>
        <sz val="11"/>
        <rFont val="David"/>
        <family val="2"/>
      </rPr>
      <t>(*) שינוי שם מרכז פייס לתרבות מוסיקה וקהילה</t>
    </r>
  </si>
  <si>
    <t>לקבל התחייבות נוספת ל - 1547 מרמ"י</t>
  </si>
  <si>
    <t>מימוש</t>
  </si>
  <si>
    <t>מימוש מקורות מימון</t>
  </si>
  <si>
    <t>ביצוע עד 31.12.2017</t>
  </si>
  <si>
    <t>אומדן לביצוע  2018 מעודכן</t>
  </si>
  <si>
    <t>תקציב מעודכן  2018</t>
  </si>
  <si>
    <t>תקציב שאושר לביצוע בתוכנית הפיתוח 2018</t>
  </si>
  <si>
    <t>תקציב  נדרש מעבר לתוכנית הפיתוח 2018</t>
  </si>
  <si>
    <t xml:space="preserve">מימוש
מרץ 2018 </t>
  </si>
  <si>
    <t>מימוש  
אפריל 2018</t>
  </si>
  <si>
    <t>מימוש  
מאי 2018</t>
  </si>
  <si>
    <t xml:space="preserve">מימוש  
יוני 2018 </t>
  </si>
  <si>
    <t>מימוש  
יוני 2018 נוסף</t>
  </si>
  <si>
    <t xml:space="preserve">מימוש  
יולי 2018 </t>
  </si>
  <si>
    <t xml:space="preserve">מימוש נוסף   
יולי 2018 </t>
  </si>
  <si>
    <t xml:space="preserve">מימוש    
אוגוסט 2018 </t>
  </si>
  <si>
    <t xml:space="preserve">מימוש    
אוקטובר 2018 </t>
  </si>
  <si>
    <t>1/21.1.18</t>
  </si>
  <si>
    <t>66/20.2.18</t>
  </si>
  <si>
    <t>מגרש סימולציה לאופניים</t>
  </si>
  <si>
    <t>2/18.2.18</t>
  </si>
  <si>
    <t>67/20.3.18</t>
  </si>
  <si>
    <t xml:space="preserve">פיתוח מתחם ומבנה משכן האומנים בהרצליה  </t>
  </si>
  <si>
    <t>5/6.5.18</t>
  </si>
  <si>
    <t>69/22.5.18</t>
  </si>
  <si>
    <t>9/1.8.18</t>
  </si>
  <si>
    <t>73/21.8.18</t>
  </si>
  <si>
    <t>רח' משה דיין תכנון</t>
  </si>
  <si>
    <t>מתחם הבריגדה הר' 1960</t>
  </si>
  <si>
    <t>עבודות פיתוח ניל"י המרי אצ"ל הלחי</t>
  </si>
  <si>
    <t>חידוש תוקף תוכנית המתאר</t>
  </si>
  <si>
    <t>תוספת גלריה היכל אומנויות הבמה</t>
  </si>
  <si>
    <t>3/25.3.18</t>
  </si>
  <si>
    <t>68/24.4.18</t>
  </si>
  <si>
    <t>4/22.4.18</t>
  </si>
  <si>
    <t>עבודות שדרוג והנגשה אולם ספורט אילנות</t>
  </si>
  <si>
    <t>6/3.6.18</t>
  </si>
  <si>
    <t>70/12.6.18</t>
  </si>
  <si>
    <t>אולם ספורט ויצמן</t>
  </si>
  <si>
    <t xml:space="preserve">פיתוח מתחם אלוני ים הר' 2030 </t>
  </si>
  <si>
    <t>7/17.6.18</t>
  </si>
  <si>
    <t>71/24.7.18</t>
  </si>
  <si>
    <t>עבודות הרחבה התאמה  איצטדיון</t>
  </si>
  <si>
    <t>8/8.7.18</t>
  </si>
  <si>
    <t>עבודות פיתוח בית כנסת אברהם אבינו</t>
  </si>
  <si>
    <t>שיפוץ בית ההורים</t>
  </si>
  <si>
    <t>הכשרת החוף הנפרד בהרצליה</t>
  </si>
  <si>
    <t>שיפוץ קומת קרקע  בבעלות עיריה מוהליבר פינת הדר  לטובת יחידת הבריאות העירונית</t>
  </si>
  <si>
    <t>התאמת מבנה ושיפוץ יסודי גנ"י (לאה גולדברג 1)</t>
  </si>
  <si>
    <t>התקנת מערכת ספרינקלרים א.ספורט ראשונים</t>
  </si>
  <si>
    <t>שיפוץ מעבדת רובוטיקה תיכון הנדסאים</t>
  </si>
  <si>
    <t>שיפוץ אגף תבל</t>
  </si>
  <si>
    <t>תגבור מתחם הקראוונים</t>
  </si>
  <si>
    <t>שיפוץ יסודי מעון בן סרוק</t>
  </si>
  <si>
    <t>שיפוץ  המקווה העירוני</t>
  </si>
  <si>
    <t>מע. תאורת לדים ברחבי העיר</t>
  </si>
  <si>
    <t>הצטיידות גנ"י חדשים3 מתחם אלתרמן</t>
  </si>
  <si>
    <t>הצטיידות גנ"י חדשים מגרש 301 302 גליל ים</t>
  </si>
  <si>
    <t>נגישות אקוסטית בי"ס משרד החינוך 2017</t>
  </si>
  <si>
    <t>הצטיידות בר אילן אחרי שיפוץ</t>
  </si>
  <si>
    <t>סה"כ אגף חינוך</t>
  </si>
  <si>
    <t>שיפוץ והקמת פרקטים א.ספורט</t>
  </si>
  <si>
    <t>הקמה ושדרוג סככות המתנה לאוטובוסים</t>
  </si>
  <si>
    <t>פיתוח ושדרוג מתחם מבואת השרון</t>
  </si>
  <si>
    <t>הכנת תצ"ר ורישום זכויות בגין תב"ע 574/א'</t>
  </si>
  <si>
    <t>12/24.12.17</t>
  </si>
  <si>
    <t>65/16.1.18</t>
  </si>
  <si>
    <t>תקציב מעבר למסגרת תוכנית הפיתוח  כולל צפי עד 31.12.2018</t>
  </si>
  <si>
    <t>שנת  2019</t>
  </si>
  <si>
    <t>שנת 2019</t>
  </si>
  <si>
    <r>
      <t xml:space="preserve">הקמת מקווה רח' אהרון </t>
    </r>
    <r>
      <rPr>
        <b/>
        <sz val="11"/>
        <rFont val="David"/>
        <family val="2"/>
      </rPr>
      <t>נסגר 2017</t>
    </r>
  </si>
  <si>
    <r>
      <t xml:space="preserve">אולם ספורט בי"ס וולפסון </t>
    </r>
    <r>
      <rPr>
        <b/>
        <sz val="11"/>
        <rFont val="David"/>
        <family val="2"/>
      </rPr>
      <t xml:space="preserve"> נסגר 2018</t>
    </r>
  </si>
  <si>
    <r>
      <t xml:space="preserve">שדרוג הארכיב </t>
    </r>
    <r>
      <rPr>
        <b/>
        <sz val="11"/>
        <rFont val="David"/>
        <family val="2"/>
      </rPr>
      <t xml:space="preserve"> נסגר 2018</t>
    </r>
  </si>
  <si>
    <r>
      <t xml:space="preserve">שיפוץ אולם ספורט היובל </t>
    </r>
    <r>
      <rPr>
        <b/>
        <sz val="11"/>
        <rFont val="David"/>
        <family val="2"/>
      </rPr>
      <t>נסגר 2017</t>
    </r>
  </si>
  <si>
    <r>
      <t xml:space="preserve">צומת מנדבלט שמואל הנגיד </t>
    </r>
    <r>
      <rPr>
        <b/>
        <sz val="11"/>
        <rFont val="David"/>
        <family val="2"/>
      </rPr>
      <t xml:space="preserve"> נסגר 2018</t>
    </r>
  </si>
  <si>
    <r>
      <t xml:space="preserve">תב"ע הרחבת רח' שלמה המלך </t>
    </r>
    <r>
      <rPr>
        <b/>
        <sz val="11"/>
        <rFont val="David"/>
        <family val="2"/>
      </rPr>
      <t xml:space="preserve"> נסגר 2018</t>
    </r>
  </si>
  <si>
    <r>
      <t xml:space="preserve">תב"עות הר' 1985 ג'ד'ה' </t>
    </r>
    <r>
      <rPr>
        <b/>
        <sz val="11"/>
        <rFont val="David"/>
        <family val="2"/>
      </rPr>
      <t xml:space="preserve"> נסגר 2018</t>
    </r>
  </si>
  <si>
    <r>
      <t xml:space="preserve">תוכנית מתאר ארצית הגנה מצוקים </t>
    </r>
    <r>
      <rPr>
        <b/>
        <sz val="11"/>
        <rFont val="David"/>
        <family val="2"/>
      </rPr>
      <t>נסגר 2018</t>
    </r>
  </si>
  <si>
    <r>
      <t>פתוח מתחם השמעוני תב"ע 1918</t>
    </r>
    <r>
      <rPr>
        <b/>
        <sz val="11"/>
        <rFont val="David"/>
        <family val="2"/>
      </rPr>
      <t xml:space="preserve"> (נסגר 2018</t>
    </r>
  </si>
  <si>
    <r>
      <t>מתחם שלמה המלך ומלכת אסתר</t>
    </r>
    <r>
      <rPr>
        <b/>
        <sz val="11"/>
        <rFont val="David"/>
        <family val="2"/>
      </rPr>
      <t xml:space="preserve"> נסגר 2018</t>
    </r>
  </si>
  <si>
    <r>
      <t xml:space="preserve">פיתוח מתחם בנחלת עדה </t>
    </r>
    <r>
      <rPr>
        <b/>
        <sz val="11"/>
        <rFont val="David"/>
        <family val="2"/>
      </rPr>
      <t xml:space="preserve"> נסגר 2018</t>
    </r>
  </si>
  <si>
    <r>
      <t xml:space="preserve">שבט צופים </t>
    </r>
    <r>
      <rPr>
        <b/>
        <sz val="11"/>
        <rFont val="David"/>
        <family val="2"/>
      </rPr>
      <t>נסגר 2018</t>
    </r>
  </si>
  <si>
    <r>
      <t xml:space="preserve">מתקן משחקים פארק-תיקון </t>
    </r>
    <r>
      <rPr>
        <b/>
        <sz val="11"/>
        <rFont val="David"/>
        <family val="2"/>
      </rPr>
      <t>נסגר 2017</t>
    </r>
  </si>
  <si>
    <r>
      <t xml:space="preserve">הקמת חניון ציבורי רח' ספיר </t>
    </r>
    <r>
      <rPr>
        <b/>
        <sz val="11"/>
        <rFont val="David"/>
        <family val="2"/>
      </rPr>
      <t xml:space="preserve"> נסגר 2017</t>
    </r>
  </si>
  <si>
    <r>
      <t xml:space="preserve">שיפוץ מבנה למרכז תרבות לצעירים </t>
    </r>
    <r>
      <rPr>
        <b/>
        <sz val="11"/>
        <rFont val="David"/>
        <family val="2"/>
      </rPr>
      <t>נסגר 2018</t>
    </r>
  </si>
  <si>
    <r>
      <t xml:space="preserve">הכשרת חניון דניאל </t>
    </r>
    <r>
      <rPr>
        <b/>
        <sz val="11"/>
        <rFont val="David"/>
        <family val="2"/>
      </rPr>
      <t xml:space="preserve"> נסגר 2018</t>
    </r>
  </si>
  <si>
    <r>
      <t xml:space="preserve">הקמת בית אומנות וטבע בית קינן  </t>
    </r>
    <r>
      <rPr>
        <b/>
        <sz val="11"/>
        <rFont val="David"/>
        <family val="2"/>
      </rPr>
      <t>נסגר 2018</t>
    </r>
  </si>
  <si>
    <r>
      <t xml:space="preserve">מיזוג אוויר אולם ספורט אלון </t>
    </r>
    <r>
      <rPr>
        <b/>
        <sz val="11"/>
        <rFont val="David"/>
        <family val="2"/>
      </rPr>
      <t>נסגר 2018</t>
    </r>
  </si>
  <si>
    <r>
      <t xml:space="preserve">בית הגמלאי </t>
    </r>
    <r>
      <rPr>
        <b/>
        <sz val="11"/>
        <rFont val="David"/>
        <family val="2"/>
      </rPr>
      <t>נסגר 2018</t>
    </r>
  </si>
  <si>
    <r>
      <t xml:space="preserve">פיתוח מדרכה סמוך למוסך דן </t>
    </r>
    <r>
      <rPr>
        <b/>
        <sz val="11"/>
        <rFont val="David"/>
        <family val="2"/>
      </rPr>
      <t>נסגר 2018</t>
    </r>
  </si>
  <si>
    <r>
      <t xml:space="preserve">תכנון דיור בר השגה ברב קוק </t>
    </r>
    <r>
      <rPr>
        <b/>
        <sz val="11"/>
        <rFont val="David"/>
        <family val="2"/>
      </rPr>
      <t>נסגר 2018</t>
    </r>
  </si>
  <si>
    <r>
      <t xml:space="preserve">תכנון דיור בר השגה בשכונת ויצמן (שמשון הגיבור) </t>
    </r>
    <r>
      <rPr>
        <b/>
        <sz val="11"/>
        <rFont val="David"/>
        <family val="2"/>
      </rPr>
      <t>נסגר 2018</t>
    </r>
  </si>
  <si>
    <r>
      <t xml:space="preserve">חניון פדקו </t>
    </r>
    <r>
      <rPr>
        <b/>
        <sz val="11"/>
        <rFont val="David"/>
        <family val="2"/>
      </rPr>
      <t>נסגר 2018</t>
    </r>
  </si>
  <si>
    <r>
      <t xml:space="preserve">מיזוג אוויר אולמות ספורט 
(אילנות,רעות) </t>
    </r>
    <r>
      <rPr>
        <b/>
        <sz val="11"/>
        <rFont val="David"/>
        <family val="2"/>
      </rPr>
      <t>נסגר 2018</t>
    </r>
  </si>
  <si>
    <r>
      <t xml:space="preserve">הנגשת בית ראשונים </t>
    </r>
    <r>
      <rPr>
        <b/>
        <sz val="11"/>
        <rFont val="David"/>
        <family val="2"/>
      </rPr>
      <t>נסגר 2018</t>
    </r>
  </si>
  <si>
    <r>
      <t xml:space="preserve">שיפוץ בריכת נורדאו </t>
    </r>
    <r>
      <rPr>
        <b/>
        <sz val="11"/>
        <rFont val="David"/>
        <family val="2"/>
      </rPr>
      <t>נסגר 2018</t>
    </r>
  </si>
  <si>
    <r>
      <t xml:space="preserve">מבני ציבור רשות מתחם גליל ים </t>
    </r>
    <r>
      <rPr>
        <b/>
        <sz val="11"/>
        <rFont val="David"/>
        <family val="2"/>
      </rPr>
      <t>נסגר 2018</t>
    </r>
  </si>
  <si>
    <r>
      <rPr>
        <strike/>
        <sz val="11"/>
        <rFont val="David"/>
        <family val="2"/>
      </rPr>
      <t>צביעה יסודית גנ"י רחבי העיר</t>
    </r>
    <r>
      <rPr>
        <sz val="11"/>
        <rFont val="David"/>
        <family val="2"/>
        <charset val="177"/>
      </rPr>
      <t xml:space="preserve"> </t>
    </r>
    <r>
      <rPr>
        <b/>
        <sz val="11"/>
        <rFont val="David"/>
        <family val="2"/>
      </rPr>
      <t xml:space="preserve"> נסגר 2017</t>
    </r>
  </si>
  <si>
    <r>
      <t xml:space="preserve">התייעלות בתאורת חוץ עפ"י סקר כולל מוס. עירוניים </t>
    </r>
    <r>
      <rPr>
        <b/>
        <sz val="11"/>
        <rFont val="David"/>
        <family val="2"/>
      </rPr>
      <t xml:space="preserve"> נסגר 2018</t>
    </r>
  </si>
  <si>
    <r>
      <t xml:space="preserve">הערכות לפתיחת שנות הלימודים </t>
    </r>
    <r>
      <rPr>
        <b/>
        <sz val="11"/>
        <rFont val="David"/>
        <family val="2"/>
      </rPr>
      <t>נסגר 2018</t>
    </r>
  </si>
  <si>
    <r>
      <rPr>
        <strike/>
        <sz val="11"/>
        <rFont val="David"/>
        <family val="2"/>
      </rPr>
      <t>החלפת צ'ילרים אשכול פייס</t>
    </r>
    <r>
      <rPr>
        <sz val="11"/>
        <rFont val="David"/>
        <family val="2"/>
        <charset val="177"/>
      </rPr>
      <t xml:space="preserve"> </t>
    </r>
    <r>
      <rPr>
        <b/>
        <sz val="11"/>
        <rFont val="David"/>
        <family val="2"/>
      </rPr>
      <t xml:space="preserve"> נסגר 2017</t>
    </r>
  </si>
  <si>
    <r>
      <t xml:space="preserve">הכנת תוכנית אב לשירותי חינוך </t>
    </r>
    <r>
      <rPr>
        <b/>
        <sz val="11"/>
        <rFont val="David"/>
        <family val="2"/>
      </rPr>
      <t xml:space="preserve"> נסגר 2018</t>
    </r>
  </si>
  <si>
    <r>
      <t xml:space="preserve">הח' צנרת מים/כיבוי אש חט"ב זאב </t>
    </r>
    <r>
      <rPr>
        <b/>
        <sz val="11"/>
        <rFont val="David"/>
        <family val="2"/>
      </rPr>
      <t xml:space="preserve"> נסגר 2017</t>
    </r>
  </si>
  <si>
    <r>
      <t xml:space="preserve">שדרוג שרותים בגנים </t>
    </r>
    <r>
      <rPr>
        <b/>
        <sz val="11"/>
        <rFont val="David"/>
        <family val="2"/>
      </rPr>
      <t xml:space="preserve"> נסגר 2017</t>
    </r>
  </si>
  <si>
    <r>
      <t xml:space="preserve">התקנת תאורה כיכר יערה </t>
    </r>
    <r>
      <rPr>
        <b/>
        <sz val="11"/>
        <rFont val="David"/>
        <family val="2"/>
      </rPr>
      <t xml:space="preserve"> נסגר 2017</t>
    </r>
  </si>
  <si>
    <r>
      <t xml:space="preserve">תוספת בניה ביכנ עטרת יעקב </t>
    </r>
    <r>
      <rPr>
        <b/>
        <sz val="11"/>
        <rFont val="David"/>
        <family val="2"/>
      </rPr>
      <t xml:space="preserve"> נסגר 2018</t>
    </r>
  </si>
  <si>
    <r>
      <t xml:space="preserve">התאמת מבנים כיתות בי"ס רמב"ם </t>
    </r>
    <r>
      <rPr>
        <b/>
        <sz val="11"/>
        <rFont val="David"/>
        <family val="2"/>
      </rPr>
      <t xml:space="preserve"> נסגר 2018</t>
    </r>
  </si>
  <si>
    <r>
      <t xml:space="preserve">הצטיידות מבנה תרבות במערב העיר </t>
    </r>
    <r>
      <rPr>
        <b/>
        <sz val="11"/>
        <rFont val="David"/>
        <family val="2"/>
      </rPr>
      <t>עבר לתנוס</t>
    </r>
  </si>
  <si>
    <r>
      <t xml:space="preserve">רכישת גנרטור לזמן חרום </t>
    </r>
    <r>
      <rPr>
        <b/>
        <sz val="12"/>
        <rFont val="David"/>
        <family val="2"/>
      </rPr>
      <t xml:space="preserve"> נסגר 2018</t>
    </r>
  </si>
  <si>
    <r>
      <t xml:space="preserve">הצטיידות מעון יום  </t>
    </r>
    <r>
      <rPr>
        <b/>
        <sz val="11"/>
        <rFont val="David"/>
        <family val="2"/>
      </rPr>
      <t>נסגר 2018</t>
    </r>
  </si>
  <si>
    <r>
      <t xml:space="preserve">הנגשת כיתות ליקויי שמיעה תשע"ה (מ.החנוך) </t>
    </r>
    <r>
      <rPr>
        <b/>
        <sz val="11"/>
        <rFont val="David"/>
        <family val="2"/>
      </rPr>
      <t xml:space="preserve"> נסגר 2018</t>
    </r>
  </si>
  <si>
    <r>
      <t xml:space="preserve">התקנת סלים חדשים א.ס.רעות אלון </t>
    </r>
    <r>
      <rPr>
        <b/>
        <sz val="11"/>
        <rFont val="David"/>
        <family val="2"/>
      </rPr>
      <t xml:space="preserve"> נסגר 2017</t>
    </r>
  </si>
  <si>
    <r>
      <t xml:space="preserve">שדרוג סטודיו למחול בחטב בן גוריון </t>
    </r>
    <r>
      <rPr>
        <b/>
        <sz val="11"/>
        <rFont val="David"/>
        <family val="2"/>
      </rPr>
      <t xml:space="preserve"> נסגר 2017</t>
    </r>
  </si>
  <si>
    <r>
      <t>איטום אולם ספורט בן צבי וסמדר</t>
    </r>
    <r>
      <rPr>
        <sz val="11"/>
        <color rgb="FFFF0000"/>
        <rFont val="David"/>
        <family val="2"/>
        <charset val="177"/>
      </rPr>
      <t xml:space="preserve"> </t>
    </r>
    <r>
      <rPr>
        <b/>
        <sz val="11"/>
        <rFont val="David"/>
        <family val="2"/>
      </rPr>
      <t>נסגר 2018</t>
    </r>
  </si>
  <si>
    <r>
      <rPr>
        <strike/>
        <sz val="11"/>
        <rFont val="David"/>
        <family val="2"/>
      </rPr>
      <t>המרכז החדש-ריהוט רחוב וגן</t>
    </r>
    <r>
      <rPr>
        <sz val="11"/>
        <rFont val="David"/>
        <family val="2"/>
        <charset val="177"/>
      </rPr>
      <t xml:space="preserve"> </t>
    </r>
    <r>
      <rPr>
        <b/>
        <sz val="11"/>
        <rFont val="David"/>
        <family val="2"/>
      </rPr>
      <t xml:space="preserve"> נסגר 2017</t>
    </r>
  </si>
  <si>
    <r>
      <rPr>
        <strike/>
        <sz val="11"/>
        <rFont val="David"/>
        <family val="2"/>
      </rPr>
      <t>ריהוט משרד אגף שאיפה</t>
    </r>
    <r>
      <rPr>
        <sz val="11"/>
        <rFont val="David"/>
        <family val="2"/>
        <charset val="177"/>
      </rPr>
      <t xml:space="preserve"> </t>
    </r>
    <r>
      <rPr>
        <b/>
        <sz val="11"/>
        <rFont val="David"/>
        <family val="2"/>
      </rPr>
      <t>נסגר 2017</t>
    </r>
  </si>
  <si>
    <r>
      <t xml:space="preserve">פיתוח גבעת הפרחים </t>
    </r>
    <r>
      <rPr>
        <b/>
        <sz val="11"/>
        <rFont val="David"/>
        <family val="2"/>
      </rPr>
      <t xml:space="preserve"> עבר לח. לפיתוח</t>
    </r>
  </si>
  <si>
    <r>
      <t xml:space="preserve">אסדות הצלה לאופנועי ים </t>
    </r>
    <r>
      <rPr>
        <b/>
        <sz val="11"/>
        <rFont val="David"/>
        <family val="2"/>
      </rPr>
      <t xml:space="preserve"> נסגר 2018</t>
    </r>
  </si>
  <si>
    <r>
      <t xml:space="preserve">גידור חופי רחצה </t>
    </r>
    <r>
      <rPr>
        <b/>
        <sz val="11"/>
        <rFont val="David"/>
        <family val="2"/>
      </rPr>
      <t xml:space="preserve"> נסגר 2018</t>
    </r>
  </si>
  <si>
    <r>
      <t xml:space="preserve">ציוד הצלה 2014 </t>
    </r>
    <r>
      <rPr>
        <b/>
        <sz val="11"/>
        <rFont val="David"/>
        <family val="2"/>
      </rPr>
      <t xml:space="preserve"> נסגר 2018</t>
    </r>
  </si>
  <si>
    <r>
      <t xml:space="preserve">אופנוע ים </t>
    </r>
    <r>
      <rPr>
        <b/>
        <sz val="11"/>
        <rFont val="David"/>
        <family val="2"/>
      </rPr>
      <t xml:space="preserve"> נסגר 2018</t>
    </r>
  </si>
  <si>
    <r>
      <t xml:space="preserve">רכב מיול כולל זיווד 2014 </t>
    </r>
    <r>
      <rPr>
        <b/>
        <sz val="11"/>
        <rFont val="David"/>
        <family val="2"/>
      </rPr>
      <t xml:space="preserve"> נסגר 2018</t>
    </r>
  </si>
  <si>
    <r>
      <t xml:space="preserve">שילוט חופי רחצה  </t>
    </r>
    <r>
      <rPr>
        <b/>
        <sz val="11"/>
        <rFont val="David"/>
        <family val="2"/>
      </rPr>
      <t>נסגר 2018</t>
    </r>
  </si>
  <si>
    <r>
      <t xml:space="preserve">ציוד בטיחות לחופי רחצה </t>
    </r>
    <r>
      <rPr>
        <b/>
        <sz val="11"/>
        <rFont val="David"/>
        <family val="2"/>
      </rPr>
      <t xml:space="preserve"> נסגר 2018</t>
    </r>
  </si>
  <si>
    <r>
      <t xml:space="preserve">מיול לפיקוח חופי רחצה </t>
    </r>
    <r>
      <rPr>
        <b/>
        <sz val="11"/>
        <rFont val="David"/>
        <family val="2"/>
      </rPr>
      <t xml:space="preserve"> נסגר 2018</t>
    </r>
  </si>
  <si>
    <r>
      <t xml:space="preserve">כסאות ים 2 לנכים חופים </t>
    </r>
    <r>
      <rPr>
        <b/>
        <sz val="11"/>
        <rFont val="David"/>
        <family val="2"/>
      </rPr>
      <t xml:space="preserve"> נסגר 2018</t>
    </r>
  </si>
  <si>
    <r>
      <t xml:space="preserve">ציוד הצלה חופי רחצה  </t>
    </r>
    <r>
      <rPr>
        <b/>
        <sz val="11"/>
        <rFont val="David"/>
        <family val="2"/>
      </rPr>
      <t>נסגר 2018</t>
    </r>
  </si>
  <si>
    <r>
      <t xml:space="preserve">אופנוע ים חופי רחצה </t>
    </r>
    <r>
      <rPr>
        <b/>
        <sz val="11"/>
        <rFont val="David"/>
        <family val="2"/>
      </rPr>
      <t xml:space="preserve"> נסגר 2018</t>
    </r>
  </si>
  <si>
    <r>
      <t xml:space="preserve">שילוט חופי רחצה </t>
    </r>
    <r>
      <rPr>
        <b/>
        <sz val="11"/>
        <rFont val="David"/>
        <family val="2"/>
      </rPr>
      <t xml:space="preserve"> נסגר 2018</t>
    </r>
  </si>
  <si>
    <r>
      <t>הקמת ביתן חובש "חוף השרון"</t>
    </r>
    <r>
      <rPr>
        <b/>
        <sz val="11"/>
        <rFont val="David"/>
        <family val="2"/>
      </rPr>
      <t xml:space="preserve"> נסגר 2018</t>
    </r>
  </si>
  <si>
    <r>
      <t>ציוד הצלה בטיחות מ. הפנים 2016</t>
    </r>
    <r>
      <rPr>
        <b/>
        <sz val="11"/>
        <rFont val="David"/>
        <family val="2"/>
      </rPr>
      <t xml:space="preserve"> נסגר 2018</t>
    </r>
  </si>
  <si>
    <r>
      <t xml:space="preserve">סככות צל חוף הכוכבים </t>
    </r>
    <r>
      <rPr>
        <b/>
        <sz val="11"/>
        <rFont val="David"/>
        <family val="2"/>
      </rPr>
      <t>נסגר 2017</t>
    </r>
  </si>
  <si>
    <r>
      <t xml:space="preserve">הכשרת חניון העוגן </t>
    </r>
    <r>
      <rPr>
        <b/>
        <sz val="11"/>
        <rFont val="David"/>
        <family val="2"/>
      </rPr>
      <t>(*) עבר לחברה לפיתוח</t>
    </r>
  </si>
  <si>
    <r>
      <t xml:space="preserve">מחשב לכל גן </t>
    </r>
    <r>
      <rPr>
        <b/>
        <sz val="11"/>
        <rFont val="David"/>
        <family val="2"/>
      </rPr>
      <t xml:space="preserve"> נסגר 2018</t>
    </r>
  </si>
  <si>
    <r>
      <t xml:space="preserve">התקנת מצלמות ברחבי העיר </t>
    </r>
    <r>
      <rPr>
        <b/>
        <sz val="11"/>
        <rFont val="David"/>
        <family val="2"/>
      </rPr>
      <t xml:space="preserve"> נסגר 2017</t>
    </r>
  </si>
  <si>
    <r>
      <t xml:space="preserve">תקשורת מיחשוב ומצלמות כלביה  </t>
    </r>
    <r>
      <rPr>
        <b/>
        <sz val="11"/>
        <rFont val="David"/>
        <family val="2"/>
      </rPr>
      <t>נסגר 2018</t>
    </r>
  </si>
  <si>
    <r>
      <t xml:space="preserve">שדרוג פארק אשרמן </t>
    </r>
    <r>
      <rPr>
        <b/>
        <sz val="11"/>
        <rFont val="David"/>
        <family val="2"/>
      </rPr>
      <t>נסגר 2018</t>
    </r>
  </si>
  <si>
    <r>
      <t xml:space="preserve">פיתוח חופי רחצה 2014/2015 </t>
    </r>
    <r>
      <rPr>
        <b/>
        <sz val="11"/>
        <rFont val="David"/>
        <family val="2"/>
      </rPr>
      <t>נסגר 2018</t>
    </r>
  </si>
  <si>
    <r>
      <t xml:space="preserve">הפרדה פסולת במקור </t>
    </r>
    <r>
      <rPr>
        <b/>
        <sz val="11"/>
        <rFont val="David"/>
        <family val="2"/>
      </rPr>
      <t>נסגר 2018</t>
    </r>
  </si>
  <si>
    <r>
      <t xml:space="preserve">הסדרת תעלה ותפיסת קיץ    
בר כוכבא </t>
    </r>
    <r>
      <rPr>
        <b/>
        <sz val="11"/>
        <rFont val="David"/>
        <family val="2"/>
      </rPr>
      <t>נסגר 2018</t>
    </r>
  </si>
  <si>
    <r>
      <t xml:space="preserve">מתחמי כושר </t>
    </r>
    <r>
      <rPr>
        <b/>
        <sz val="11"/>
        <rFont val="David"/>
        <family val="2"/>
      </rPr>
      <t xml:space="preserve"> נסגר 2018</t>
    </r>
  </si>
  <si>
    <t>תב"ע טיילת שלב א'</t>
  </si>
  <si>
    <t>שיפורים בשטחים ציבוריים במרינה</t>
  </si>
  <si>
    <t>גדרות שטחים ציבוריים</t>
  </si>
  <si>
    <t>פיתוח ושדרוג מתחם מבואות השרון</t>
  </si>
  <si>
    <t>סה"כ החברה לפיתוח התיירות</t>
  </si>
  <si>
    <t>שיפוץ פנים הדירות של דיירי עמידר הנמצאים במצב סוציו אוקונומי קשה. העבודה מבוצעת ע"י חברת עמידר השתתפות העיריה 50%.</t>
  </si>
  <si>
    <t>מסגרת עבודות של  פרויקטים תחבורתיים עפ"י החלטות ועדת תנועה ופניות הציבור.</t>
  </si>
  <si>
    <t>פיצויי הפקעה בגוש 6525/6 הר/ 1704. טרם שולמו הפיצויים ליתרת בעלי המקרקעין.</t>
  </si>
  <si>
    <t>פיצויי הפקעה בגוש 6525 חלקות 130,131 הר/ 1704. טרם שולמו הפיצויים ליתרת בעלי המקרקעין. טרם הסתיים ההליך המשפטי.</t>
  </si>
  <si>
    <t>עלויות בקשר עם תביעה של פינוי נכס גוש 6521 חלק' 21-23, 67-68. משפחת רחמים. טרם הסתיים ההליך המשפטי.</t>
  </si>
  <si>
    <t>פרויקט בניה עצמית בו לעיריה 3 יח"ד בבית מגורים משותף.</t>
  </si>
  <si>
    <t>תוכנית פיתוח שנתית 2018 : מימוש - כללי</t>
  </si>
  <si>
    <t>תוכנית פיתוח שנתית 2018 : מימוש - שיפוץ חזיתות/בתים עמידר</t>
  </si>
  <si>
    <t>תוכנית פיתוח שנתית 2018 : מימוש - אגף תקשוב ומערכות מידע</t>
  </si>
  <si>
    <t>תוכנית פיתוח שנתית 2018 : מימוש - איכות הסביבה</t>
  </si>
  <si>
    <t>תוכנית פיתוח שנתית 2018 : מימוש - רשות החופים</t>
  </si>
  <si>
    <t>תוכנית פיתוח שנתית 2018 : מימוש - אגף ש.א.י.פ.ה</t>
  </si>
  <si>
    <r>
      <t xml:space="preserve">רכ' חז' חנות ד.מ.962/0766פינקו </t>
    </r>
    <r>
      <rPr>
        <b/>
        <sz val="11"/>
        <rFont val="David"/>
        <family val="2"/>
      </rPr>
      <t>נסגר 2018</t>
    </r>
  </si>
  <si>
    <r>
      <t xml:space="preserve">הסדרת חניונים ברחבי העיר </t>
    </r>
    <r>
      <rPr>
        <b/>
        <sz val="11"/>
        <rFont val="David"/>
        <family val="2"/>
      </rPr>
      <t>נסגר 2018</t>
    </r>
  </si>
  <si>
    <t>תוכנית פיתוח שנתית 2018 : מימוש - אגף ת.נ.ו.ס</t>
  </si>
  <si>
    <t>תוכנית פיתוח שנתית 2018 : מימוש - אגף חינוך</t>
  </si>
  <si>
    <t>תוכנית פיתוח שנתית 2018 : מימוש - אגף בטחון, פיקוח וסדר ציבורי</t>
  </si>
  <si>
    <t>תוכנית פיתוח שנתית 2018 : מימוש - אגף ת.ב.ל</t>
  </si>
  <si>
    <t>תוכנית פיתוח שנתית 2018 : מימוש - אגף הנדסה</t>
  </si>
  <si>
    <t>תוכנית פיתוח שנתית 2018 : מימוש - ריכוז לפי אגפים/יחידות</t>
  </si>
  <si>
    <r>
      <t xml:space="preserve">אולם ספורט וולפסון </t>
    </r>
    <r>
      <rPr>
        <b/>
        <sz val="12"/>
        <rFont val="David"/>
        <family val="2"/>
      </rPr>
      <t>(*) שינוי מימון וסגירה</t>
    </r>
  </si>
  <si>
    <r>
      <t xml:space="preserve">אולם ספורט חטיבת זאב </t>
    </r>
    <r>
      <rPr>
        <b/>
        <sz val="12"/>
        <rFont val="David"/>
        <family val="2"/>
      </rPr>
      <t>(*) שינוי מימון</t>
    </r>
  </si>
  <si>
    <r>
      <t xml:space="preserve">מבנה תרבות במערב העיר </t>
    </r>
    <r>
      <rPr>
        <b/>
        <sz val="12"/>
        <rFont val="David"/>
        <family val="2"/>
      </rPr>
      <t>(1)</t>
    </r>
    <r>
      <rPr>
        <sz val="12"/>
        <rFont val="David"/>
        <family val="2"/>
      </rPr>
      <t xml:space="preserve"> </t>
    </r>
    <r>
      <rPr>
        <b/>
        <sz val="12"/>
        <rFont val="David"/>
        <family val="2"/>
      </rPr>
      <t>(*) שינוי</t>
    </r>
    <r>
      <rPr>
        <b/>
        <sz val="12"/>
        <color rgb="FFFF0000"/>
        <rFont val="David"/>
        <family val="2"/>
      </rPr>
      <t xml:space="preserve"> </t>
    </r>
    <r>
      <rPr>
        <b/>
        <sz val="12"/>
        <rFont val="David"/>
        <family val="2"/>
      </rPr>
      <t>שם</t>
    </r>
  </si>
  <si>
    <r>
      <t xml:space="preserve">מע. כבישים באזור תעשיה מערבי </t>
    </r>
    <r>
      <rPr>
        <b/>
        <sz val="12"/>
        <rFont val="David"/>
        <family val="2"/>
      </rPr>
      <t>(*) שינוי מימון</t>
    </r>
  </si>
  <si>
    <r>
      <t>גנ"י במתחם אלתרמן</t>
    </r>
    <r>
      <rPr>
        <sz val="12"/>
        <rFont val="David"/>
        <family val="2"/>
      </rPr>
      <t xml:space="preserve"> </t>
    </r>
    <r>
      <rPr>
        <b/>
        <sz val="12"/>
        <rFont val="David"/>
        <family val="2"/>
      </rPr>
      <t>(*) שינוי מימון</t>
    </r>
  </si>
  <si>
    <r>
      <t xml:space="preserve">מרכז פיס לתרבות מוסיקה ולקהילה </t>
    </r>
    <r>
      <rPr>
        <b/>
        <sz val="12"/>
        <rFont val="David"/>
        <family val="2"/>
      </rPr>
      <t>(1)</t>
    </r>
  </si>
  <si>
    <r>
      <t xml:space="preserve">רחוב החרש </t>
    </r>
    <r>
      <rPr>
        <b/>
        <sz val="12"/>
        <rFont val="David"/>
        <family val="2"/>
      </rPr>
      <t>(*) שינוי מימון</t>
    </r>
  </si>
  <si>
    <r>
      <t xml:space="preserve">רחוב בר כוכבא </t>
    </r>
    <r>
      <rPr>
        <b/>
        <sz val="12"/>
        <rFont val="David"/>
        <family val="2"/>
      </rPr>
      <t>(*) שינוי מימון</t>
    </r>
  </si>
  <si>
    <r>
      <t xml:space="preserve">בי"ס חדש יצחק נבון באלתרמן </t>
    </r>
    <r>
      <rPr>
        <b/>
        <sz val="12"/>
        <rFont val="David"/>
        <family val="2"/>
      </rPr>
      <t>(*) שינוי מימון (2)</t>
    </r>
  </si>
  <si>
    <r>
      <t xml:space="preserve">בי"ס חדש יצחק נבון באלתרמן </t>
    </r>
    <r>
      <rPr>
        <b/>
        <sz val="12"/>
        <rFont val="David"/>
        <family val="2"/>
      </rPr>
      <t>(2)</t>
    </r>
  </si>
  <si>
    <r>
      <t xml:space="preserve">שיפוץ ותוספת בניה בי"ס בר אילן </t>
    </r>
    <r>
      <rPr>
        <b/>
        <sz val="12"/>
        <rFont val="David"/>
        <family val="2"/>
      </rPr>
      <t>(1)</t>
    </r>
  </si>
  <si>
    <r>
      <t xml:space="preserve">פיר מעלית ומעלית בנין המועצה הדתית </t>
    </r>
    <r>
      <rPr>
        <b/>
        <sz val="12"/>
        <rFont val="David"/>
        <family val="2"/>
      </rPr>
      <t>(*) שינוי מימון (4)</t>
    </r>
  </si>
  <si>
    <r>
      <t xml:space="preserve">תוספת כיתות/חדרי ספח בי"ס ברנדייס </t>
    </r>
    <r>
      <rPr>
        <b/>
        <sz val="12"/>
        <rFont val="David"/>
        <family val="2"/>
      </rPr>
      <t>(2)</t>
    </r>
  </si>
  <si>
    <r>
      <t xml:space="preserve">שיפוץ ותוספת בניה בי"ס בר אילן </t>
    </r>
    <r>
      <rPr>
        <b/>
        <sz val="12"/>
        <rFont val="David"/>
        <family val="2"/>
      </rPr>
      <t>(1) שינוי מימון</t>
    </r>
  </si>
  <si>
    <r>
      <t xml:space="preserve">שיפוצים שונים מוס"ח </t>
    </r>
    <r>
      <rPr>
        <b/>
        <sz val="12"/>
        <rFont val="David"/>
        <family val="2"/>
      </rPr>
      <t>(3)</t>
    </r>
  </si>
  <si>
    <r>
      <t xml:space="preserve">פיר מעלית ומעלית בנין מועצה דתית </t>
    </r>
    <r>
      <rPr>
        <b/>
        <sz val="12"/>
        <rFont val="David"/>
        <family val="2"/>
      </rPr>
      <t>(4)</t>
    </r>
  </si>
  <si>
    <r>
      <t xml:space="preserve">מיזוג אוויר מוס"ח </t>
    </r>
    <r>
      <rPr>
        <b/>
        <sz val="12"/>
        <rFont val="David"/>
        <family val="2"/>
      </rPr>
      <t>(*) הקטנת תקציב ושינוי מימון</t>
    </r>
  </si>
  <si>
    <r>
      <t xml:space="preserve">רכישת מחסני חצר לגנ"י </t>
    </r>
    <r>
      <rPr>
        <b/>
        <sz val="12"/>
        <rFont val="David"/>
        <family val="2"/>
      </rPr>
      <t>(*) הקטנת תקציב</t>
    </r>
  </si>
  <si>
    <r>
      <t xml:space="preserve">שיפוצים מוס"ח 2014 </t>
    </r>
    <r>
      <rPr>
        <b/>
        <sz val="12"/>
        <rFont val="David"/>
        <family val="2"/>
      </rPr>
      <t>(*)הקטנת תקציב</t>
    </r>
  </si>
  <si>
    <r>
      <t xml:space="preserve">שיפוץ ותוספת בנייה בי"ס בר אילן </t>
    </r>
    <r>
      <rPr>
        <b/>
        <sz val="12"/>
        <rFont val="David"/>
        <family val="2"/>
      </rPr>
      <t>(1)</t>
    </r>
  </si>
  <si>
    <r>
      <t xml:space="preserve">החלפת צ'ילרים א.ס. נ.ישראל, סמדר, נוף ים </t>
    </r>
    <r>
      <rPr>
        <b/>
        <sz val="12"/>
        <rFont val="David"/>
        <family val="2"/>
      </rPr>
      <t>(*) שינוי מימון</t>
    </r>
  </si>
  <si>
    <r>
      <t xml:space="preserve">שיפוצים שונים מוס"ח </t>
    </r>
    <r>
      <rPr>
        <b/>
        <sz val="12"/>
        <rFont val="David"/>
        <family val="2"/>
      </rPr>
      <t>(*) שינוי מימון (3)</t>
    </r>
  </si>
  <si>
    <r>
      <t xml:space="preserve">שיפוצים שונים מוס"ח </t>
    </r>
    <r>
      <rPr>
        <b/>
        <sz val="12"/>
        <rFont val="David"/>
        <family val="2"/>
      </rPr>
      <t>(*) שינוי שם</t>
    </r>
  </si>
  <si>
    <r>
      <t>החלפת צ'ילרים  מועדון נוער , יד לבנים</t>
    </r>
    <r>
      <rPr>
        <b/>
        <sz val="12"/>
        <rFont val="David"/>
        <family val="2"/>
      </rPr>
      <t>(*) הקטנת תקציב</t>
    </r>
  </si>
  <si>
    <r>
      <t xml:space="preserve">תיקון ליקוייםסקר כיבוי אש בי"ס </t>
    </r>
    <r>
      <rPr>
        <b/>
        <sz val="12"/>
        <rFont val="David"/>
        <family val="2"/>
      </rPr>
      <t>(*) הקטנת תקציב</t>
    </r>
  </si>
  <si>
    <r>
      <t>הצטיידות גנ"י חדשים ח"ר ח"מ</t>
    </r>
    <r>
      <rPr>
        <sz val="12"/>
        <rFont val="David"/>
        <family val="2"/>
      </rPr>
      <t xml:space="preserve"> </t>
    </r>
    <r>
      <rPr>
        <b/>
        <sz val="12"/>
        <rFont val="David"/>
        <family val="2"/>
      </rPr>
      <t>(*) הקטנה</t>
    </r>
  </si>
  <si>
    <r>
      <t xml:space="preserve">הצטיידות בי"ס יצחק נבון באלתרמן </t>
    </r>
    <r>
      <rPr>
        <b/>
        <sz val="12"/>
        <rFont val="David"/>
        <family val="2"/>
      </rPr>
      <t>(1)</t>
    </r>
  </si>
  <si>
    <r>
      <t xml:space="preserve">הנגשת כיתות ליקויי שמיעה תשע"ה </t>
    </r>
    <r>
      <rPr>
        <b/>
        <sz val="12"/>
        <rFont val="David"/>
        <family val="2"/>
      </rPr>
      <t>(*) הקטנה וסגירת תב"ר</t>
    </r>
  </si>
  <si>
    <r>
      <t xml:space="preserve">רכב מיול כולל זיווד 2014 </t>
    </r>
    <r>
      <rPr>
        <b/>
        <sz val="12"/>
        <rFont val="David"/>
        <family val="2"/>
      </rPr>
      <t>(*) הקטנה,שינוי מימון וסגירה</t>
    </r>
  </si>
  <si>
    <r>
      <t xml:space="preserve">מיול לפיקוח חופי רחצה </t>
    </r>
    <r>
      <rPr>
        <b/>
        <sz val="12"/>
        <rFont val="David"/>
        <family val="2"/>
      </rPr>
      <t>(*) הקטנה,שינוי מימון וסגירה</t>
    </r>
  </si>
  <si>
    <r>
      <t xml:space="preserve">שילוט חופי רחצה </t>
    </r>
    <r>
      <rPr>
        <b/>
        <sz val="12"/>
        <rFont val="David"/>
        <family val="2"/>
      </rPr>
      <t>(*) הקטנה וסגירה</t>
    </r>
  </si>
  <si>
    <r>
      <t>ביתן עזרה ראשונה</t>
    </r>
    <r>
      <rPr>
        <b/>
        <sz val="12"/>
        <rFont val="David"/>
        <family val="2"/>
      </rPr>
      <t>(*) הקטנה וסגירה</t>
    </r>
  </si>
  <si>
    <r>
      <t xml:space="preserve">פינוי בינוי צומת כדורי </t>
    </r>
    <r>
      <rPr>
        <b/>
        <sz val="12"/>
        <rFont val="David"/>
        <family val="2"/>
      </rPr>
      <t xml:space="preserve">(*) תקציב 2017/2018 </t>
    </r>
  </si>
  <si>
    <r>
      <t>רכישת מתקנים לאיסוף פסולת אלקט</t>
    </r>
    <r>
      <rPr>
        <b/>
        <sz val="11"/>
        <rFont val="David"/>
        <family val="2"/>
      </rPr>
      <t xml:space="preserve"> נסגר 2018</t>
    </r>
  </si>
  <si>
    <t>אגף  נכסים וביטוח</t>
  </si>
  <si>
    <t>אגף ת.נ.ו.ס</t>
  </si>
  <si>
    <r>
      <t xml:space="preserve">שיפוץ מבני תרבות עירוניים </t>
    </r>
    <r>
      <rPr>
        <b/>
        <sz val="11"/>
        <rFont val="David"/>
        <family val="2"/>
      </rPr>
      <t>נסגר 2018</t>
    </r>
  </si>
  <si>
    <t>הצטיידות  גנים חדשים כולל  ח"מ שנבנו לאחרונה או יבנו לקראת תש"פ.</t>
  </si>
  <si>
    <t>סל להקמת ושדרוג תשתיות כולל עמודי תאורה והתקנת גופי תאורה בטכנולוגיה מתקדמת עפ"י תוכנית רב שנתית.</t>
  </si>
  <si>
    <t>עבודות בביצוע.כולל גינת כלבים.</t>
  </si>
  <si>
    <t xml:space="preserve">שדרוג המרחב הציבורי באיזור התעשיה </t>
  </si>
  <si>
    <r>
      <t>מערכת כבישים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  <charset val="177"/>
      </rPr>
      <t xml:space="preserve">  בא.ת.מערבי </t>
    </r>
  </si>
  <si>
    <t>עבודות הרחבת והכשרת חלקות נוספות בבית העלמין החדש.</t>
  </si>
  <si>
    <t>יתרת התקציב עבור עבודות השלמה שינויים קומה 4  ומחלקת הגיל הרך.</t>
  </si>
  <si>
    <t>הקמת מבנה תרבות כולל חדרי מחול וקונסבטוריון . השתתפות במימון מפעל הפייס.</t>
  </si>
  <si>
    <t>המשך עבודות פיתוח במתחם הרחובות הנוריות, אנצו סירני , דב גרונר , שלמה בן יוסף , חביבה רייך.</t>
  </si>
  <si>
    <t>המשך עבודות פיתוח במתחם אלוני ים הר' 2030.</t>
  </si>
  <si>
    <t>המשך עבודות פיתוח שצ"פ בשכונת צמרות.</t>
  </si>
  <si>
    <t>המשך עבודות פיתוח במתחם הר' 1903 הרצליה הילס.</t>
  </si>
  <si>
    <t>הקמת מסוף תחבורה חדש , חניון ל -60 אוטובוסים , הסדרת ציר תנועה  רחוב בן ציון מיכאלי.</t>
  </si>
  <si>
    <t xml:space="preserve">המשך עבודות בניית בי"ס חדש ברחוב אלתרמן. </t>
  </si>
  <si>
    <t xml:space="preserve">בי"ס חדש "יצחק נבון" מתחם אלתרמן </t>
  </si>
  <si>
    <t>הקמת מתנ"ס חדש בשכונת נווה עמל, פיתוח מגרשי טניס והמתחם.</t>
  </si>
  <si>
    <t>תכנון מתחמי דיור בר השגה ברחבי העיר: מתחם הרב קוק, מתחם שמשון הגיבור.</t>
  </si>
  <si>
    <t>עבודות פיתוח כולל קו ניקוז רחוב שער הים.</t>
  </si>
  <si>
    <t xml:space="preserve">מימון רמ"י. </t>
  </si>
  <si>
    <t>הכשרת חניון העוגן במרינה לחניון בתשלום.</t>
  </si>
  <si>
    <t>מסגרת עבודות של החלפת עמודי תאורה באיזור התעשיה.</t>
  </si>
  <si>
    <t>מסגרת עבודות של החלפת עמודי מחסום באיזור התעשיה.</t>
  </si>
  <si>
    <t>בניית גנ"י בנווה עמל.</t>
  </si>
  <si>
    <t>בניית גנ"י בויצמן.</t>
  </si>
  <si>
    <t>בניית גן ילדים במתחם זרובבל.</t>
  </si>
  <si>
    <t>בניית גנ"י - גן רשל ובב"ס אילנות.</t>
  </si>
  <si>
    <t>פיתוח מתחם ומבנה משכן האומנים.</t>
  </si>
  <si>
    <t>עבודות פיתוח ביכנ"ס "אברהם אבינו" בשכונת יד התשעה.</t>
  </si>
  <si>
    <t>תכנון עבודות שיפוץ בית ההורים ברחוב אנה פרנק.</t>
  </si>
  <si>
    <t>עבודות הכשרת החוף הנפרד מעברים ושיפוץ כולל גשר מעבר.</t>
  </si>
  <si>
    <r>
      <t xml:space="preserve">פיתוח מתחם גליל ים הר' 1985 א' </t>
    </r>
    <r>
      <rPr>
        <b/>
        <sz val="11"/>
        <rFont val="David"/>
        <family val="2"/>
      </rPr>
      <t>(*) איחוד תב"ר ראה  מס' 1963</t>
    </r>
  </si>
  <si>
    <r>
      <t xml:space="preserve">חיבור שכונת גליל ים לנווה ישראל </t>
    </r>
    <r>
      <rPr>
        <b/>
        <sz val="11"/>
        <rFont val="David"/>
        <family val="2"/>
      </rPr>
      <t>(*) סגירת תב"ר איחוד תב"ר ראה מס' 1547</t>
    </r>
  </si>
  <si>
    <t>חניון העצמאות</t>
  </si>
  <si>
    <t>סה"כ רשות החופים</t>
  </si>
  <si>
    <t>מספר פרויקטים</t>
  </si>
  <si>
    <r>
      <t xml:space="preserve">פרויקטים תחבורתיים בעיר </t>
    </r>
    <r>
      <rPr>
        <b/>
        <sz val="11"/>
        <rFont val="David"/>
        <family val="2"/>
      </rPr>
      <t xml:space="preserve"> עבר למינהל כללי</t>
    </r>
  </si>
  <si>
    <r>
      <t>פרויקט   G I.S עירוני</t>
    </r>
    <r>
      <rPr>
        <b/>
        <sz val="11"/>
        <rFont val="David"/>
        <family val="2"/>
      </rPr>
      <t xml:space="preserve"> נסגר 2018</t>
    </r>
  </si>
  <si>
    <t>התקנת קירוי קשיח במגרשי ספורט: דור, תיכון חדש, גורדון,לב טוב,נבון.</t>
  </si>
  <si>
    <t>סה"כ אגף נכסים וביטוח</t>
  </si>
  <si>
    <t>הכנת תוכנית אב לקיימות בעיריית הרצליה</t>
  </si>
  <si>
    <t>תוכנית הצטיידות  מיחשוב מוס"ח</t>
  </si>
  <si>
    <t>אגף תקשוב ומע. מידע</t>
  </si>
  <si>
    <t>סה"כ מינהל כללי</t>
  </si>
  <si>
    <t>אגף נכסים וביטוח</t>
  </si>
  <si>
    <t>אגף תקשוב ומערכות מידע</t>
  </si>
  <si>
    <t>תוספות שינויים ושיפורים שדרוג מערכות הליבה החברה לאוטומציה.</t>
  </si>
  <si>
    <t>פרויקט המושתת על מערכת GIS: שדרוג, הרחבת שרתים,תוספות לאפליקציות חדשות.</t>
  </si>
  <si>
    <t>פרויקט  בניית אודיטוריום ,תוספת 6 כתות ו-2 ממ"דים , שיפוץ כללי. בשנת 2019: בניית אודיטוריום.</t>
  </si>
  <si>
    <t>הקרן לשמירה על שטחים פתוחים</t>
  </si>
  <si>
    <t>עבודות הנדרשות  בשל הכניסה לעבודות " מהיר לעיר" וכולל תוספת חיפוי קיר בטון - 150 אלשח.</t>
  </si>
  <si>
    <t>עבודה סלילה, גינון ותאורה במתחם רחובות דליה רביקוביץ, אסתר ראב וסמוכים.</t>
  </si>
  <si>
    <t>המשך עבודות הרחבה והתאמה לדרישות הבטיחות כולל שדרוג מגרש הדשא ושיפוץ השרותים/מלתחות</t>
  </si>
  <si>
    <r>
      <t>תוכנית אסטרטגית להתי' עירונית במרכז העיר</t>
    </r>
    <r>
      <rPr>
        <b/>
        <sz val="11"/>
        <rFont val="David"/>
        <family val="2"/>
      </rPr>
      <t xml:space="preserve"> ובשכונות (*) עדכון שם</t>
    </r>
  </si>
  <si>
    <r>
      <t>תב"ע</t>
    </r>
    <r>
      <rPr>
        <sz val="11"/>
        <rFont val="David"/>
        <family val="2"/>
        <charset val="177"/>
      </rPr>
      <t xml:space="preserve"> שיקום חופי הרצליה </t>
    </r>
    <r>
      <rPr>
        <b/>
        <sz val="11"/>
        <rFont val="David"/>
        <family val="2"/>
      </rPr>
      <t/>
    </r>
  </si>
  <si>
    <t>סל הוצאות בקשר עם תביעות סעיף 197.</t>
  </si>
  <si>
    <t>הכנת מסמכי מדיניות להתחדשות עירונית בשכונות לגיבוש מדיניות לחידוש המרקם הקיים בשכונות.</t>
  </si>
  <si>
    <t>להשלים תאור העבודות ואומדן.</t>
  </si>
  <si>
    <t>תכנון איזור תעשיה ושכונת מגורים במשולש התחבורה. מקודם בותמ"ל . התקציב להכנת התנגדות העיריה.</t>
  </si>
  <si>
    <t>להשלים תאור הפרויקט.</t>
  </si>
  <si>
    <r>
      <t>פיתוח מתחם אולפני הרצליה תב"ע הר' 2180.</t>
    </r>
    <r>
      <rPr>
        <sz val="11"/>
        <color rgb="FFFF0000"/>
        <rFont val="David"/>
        <family val="2"/>
      </rPr>
      <t xml:space="preserve"> לקבל אומדן ל - 450 אלשח.</t>
    </r>
  </si>
  <si>
    <t>פיתוח סימטה שהפכה לדרך במסגרת תב"ע 2029 בנווה עמל. 2019- תכנון.</t>
  </si>
  <si>
    <r>
      <t xml:space="preserve">פיתוח קטע הרחוב מרבי עקיבא עד דוד רזיאל. 2019 - תכנון. </t>
    </r>
    <r>
      <rPr>
        <sz val="11"/>
        <color rgb="FFFF0000"/>
        <rFont val="David"/>
        <family val="2"/>
      </rPr>
      <t>לקבל תאור עבודות ואומדן.</t>
    </r>
  </si>
  <si>
    <r>
      <t>להשלים תאור הפרויקט ואומדן.</t>
    </r>
    <r>
      <rPr>
        <sz val="11"/>
        <rFont val="David"/>
        <family val="2"/>
      </rPr>
      <t>2019-תכנון.</t>
    </r>
  </si>
  <si>
    <r>
      <t xml:space="preserve">תכנון. </t>
    </r>
    <r>
      <rPr>
        <sz val="11"/>
        <color rgb="FFFF0000"/>
        <rFont val="David"/>
        <family val="2"/>
      </rPr>
      <t>להשלים תאור ואומדן.</t>
    </r>
  </si>
  <si>
    <t>להשלים תאור ואמדן.</t>
  </si>
  <si>
    <t>לדיון נוסף.</t>
  </si>
  <si>
    <t>הכנת תב"ע בשיתוף מועצת כפר שמריהו לתכנון קישוריות שביל אופניים ופארק בתחום המסילה המתפנה ואפשרות לבחינת חיבור תחבורתי נוסף להרצליה ב'.</t>
  </si>
  <si>
    <t>תב"ע תוכנית שיקום המסילה המתפנה הר '2435</t>
  </si>
  <si>
    <r>
      <t>הפיכת תוכנית אסטרטגית  לתוכנית סטטוטורית, לתוכנית מתאר בועדה המחוזית בהתאם ליו"ר הועדה המחוזית.</t>
    </r>
    <r>
      <rPr>
        <sz val="11"/>
        <color rgb="FFFF0000"/>
        <rFont val="David"/>
        <family val="2"/>
      </rPr>
      <t xml:space="preserve"> לדיון נוסף.</t>
    </r>
  </si>
  <si>
    <t xml:space="preserve">ביצוע שצ"פ בקטע הנביאים בני בנימין. ב - 2019 : תכנון בלבד. </t>
  </si>
  <si>
    <r>
      <t xml:space="preserve">השלמת רח' משכית, פיתוח החושלים, השלמת שצ"פים . </t>
    </r>
    <r>
      <rPr>
        <sz val="11"/>
        <color rgb="FFFF0000"/>
        <rFont val="David"/>
        <family val="2"/>
      </rPr>
      <t>להשלים פרוט.</t>
    </r>
  </si>
  <si>
    <t>המשך עבודות הקמת חדרי פעילויות, בית קפה.
כולל תוספת שרותים.</t>
  </si>
  <si>
    <t>לדיון?</t>
  </si>
  <si>
    <t>תכנון במסגרת שינוי תב"ע חניונים הר' 1900. חניונים: משכית, גלגלי הפלדה,מדינת היהודים.</t>
  </si>
  <si>
    <r>
      <t>עבודות בניה ופיתוח גני ילדים מדעיים באלתרמן.</t>
    </r>
    <r>
      <rPr>
        <sz val="11"/>
        <color rgb="FFFF0000"/>
        <rFont val="David"/>
        <family val="2"/>
      </rPr>
      <t xml:space="preserve"> לדיון נוסף.</t>
    </r>
  </si>
  <si>
    <r>
      <t>תכנון מתנ"ס ברחוב המסילה.</t>
    </r>
    <r>
      <rPr>
        <sz val="11"/>
        <color rgb="FFFF0000"/>
        <rFont val="David"/>
        <family val="2"/>
      </rPr>
      <t xml:space="preserve"> לדיון נוסף.</t>
    </r>
  </si>
  <si>
    <r>
      <t xml:space="preserve">עבודות הקמת אולם ספורט בנגיד ובנדיב  כולל הריסת אולמות ומקלט קיימים. </t>
    </r>
    <r>
      <rPr>
        <sz val="11"/>
        <color rgb="FFFF0000"/>
        <rFont val="David"/>
        <family val="2"/>
      </rPr>
      <t>לדיון נוסף.</t>
    </r>
  </si>
  <si>
    <r>
      <t xml:space="preserve">שיפוץ אולם ספורט היובל כולל פיתוח המבואה והמתחם. </t>
    </r>
    <r>
      <rPr>
        <sz val="11"/>
        <color rgb="FFFF0000"/>
        <rFont val="David"/>
        <family val="2"/>
      </rPr>
      <t>לדיון נוסף.</t>
    </r>
  </si>
  <si>
    <t>בניית אולם ספורט בבי"ס ויצמן. ב - 2019: תכנון.</t>
  </si>
  <si>
    <r>
      <rPr>
        <sz val="11"/>
        <color rgb="FFFF0000"/>
        <rFont val="David"/>
        <family val="2"/>
      </rPr>
      <t>לקבל תאור ואומדן.</t>
    </r>
    <r>
      <rPr>
        <sz val="11"/>
        <rFont val="David"/>
        <family val="2"/>
        <charset val="177"/>
      </rPr>
      <t xml:space="preserve">
ב - 2019 : תכנון</t>
    </r>
  </si>
  <si>
    <r>
      <rPr>
        <sz val="11"/>
        <color rgb="FFFF0000"/>
        <rFont val="David"/>
        <family val="2"/>
      </rPr>
      <t>לקבל תאור ואומדן.</t>
    </r>
    <r>
      <rPr>
        <sz val="11"/>
        <rFont val="David"/>
        <family val="2"/>
        <charset val="177"/>
      </rPr>
      <t xml:space="preserve">
</t>
    </r>
  </si>
  <si>
    <t>הצללות קבועות מעל מגרשי ספורט  עפ"י תוכנית רב שנתית. ב - 2019 :ויצמן,רעות ונבון.</t>
  </si>
  <si>
    <t>עבודות שונות בפארק כולל חידוש מסלולים,שרותים טרומיים.</t>
  </si>
  <si>
    <t>סל לביצוע עבודות פרויקטים קטנים הנדרשים ע"י האגף מעת לעת.</t>
  </si>
  <si>
    <t>סל עבודות שיפוצים שונות במוס"ח לרבות שיפוצים יסודיים בגנ"י  על פי רשימה שתאושר ע"י הנהלת העיר.</t>
  </si>
  <si>
    <t>רכישת נשקים חדשים כולל תוספת נדרשת והחלפת ישנים.</t>
  </si>
  <si>
    <t>משרד נייד (רכב)  הכולל :
מרכז תקשורת רב ערוצית ,תורן תקשורת טלסקופי,עמדת מחשב,קיר תדרוך,עזרים שונים , בלון תאורה להארה של זירת ארוע ,מיזוג אויר,תאורה,מרכז אנרגיה.</t>
  </si>
  <si>
    <r>
      <rPr>
        <strike/>
        <sz val="11"/>
        <rFont val="David"/>
        <family val="2"/>
      </rPr>
      <t>שיקום שכונות עירוני</t>
    </r>
    <r>
      <rPr>
        <sz val="11"/>
        <rFont val="David"/>
        <family val="2"/>
        <charset val="177"/>
      </rPr>
      <t xml:space="preserve"> </t>
    </r>
    <r>
      <rPr>
        <b/>
        <sz val="11"/>
        <rFont val="David"/>
        <family val="2"/>
      </rPr>
      <t>שדרוג</t>
    </r>
    <r>
      <rPr>
        <sz val="11"/>
        <rFont val="David"/>
        <family val="2"/>
        <charset val="177"/>
      </rPr>
      <t xml:space="preserve"> וטיפול המרחב הציבורי </t>
    </r>
    <r>
      <rPr>
        <b/>
        <sz val="11"/>
        <rFont val="David"/>
        <family val="2"/>
      </rPr>
      <t>(*) שינוי שם</t>
    </r>
  </si>
  <si>
    <t>הקמה ושדרוג גינות ציבוריות כולל: פיתוח, תשתיות ושבילי גישה, הנגשה, תאורה, מערכות השקייה, מתקני משחק, ריהוט גן, מתקני כושר, משטחי גומי וכל העבודות. עפ"י תוכנית עבודה שתאושר ע"י הנהלת העיר.</t>
  </si>
  <si>
    <t>עבודות במרחב הציבורי בשכונות השונות ברחבי העיר כולל ריהוט רחוב עפ"י תוכנית עבודה שתאושר ע"י הנהלת העיר. בשנת 2019 - ביצוע שרותים  ליד בית קינן ובשד' חן.</t>
  </si>
  <si>
    <t>עבודות פיתוח ושדרוג החצר האחורית במתחם בי"ס אלון כולל: תשתית ניקוז, הסדרת מגרש הכדורגל, דשא סינטטי, ריצוף . ב -2019: ביצוע הצללה.</t>
  </si>
  <si>
    <r>
      <t xml:space="preserve">רכישת </t>
    </r>
    <r>
      <rPr>
        <sz val="11"/>
        <rFont val="David"/>
        <family val="2"/>
      </rPr>
      <t xml:space="preserve">2 </t>
    </r>
    <r>
      <rPr>
        <sz val="11"/>
        <rFont val="David"/>
        <family val="2"/>
        <charset val="177"/>
      </rPr>
      <t xml:space="preserve">טרקטורים רשות החופים </t>
    </r>
  </si>
  <si>
    <r>
      <t xml:space="preserve">חניונים ברחבי העיר </t>
    </r>
    <r>
      <rPr>
        <b/>
        <sz val="11"/>
        <rFont val="David"/>
        <family val="2"/>
      </rPr>
      <t>נסגר 2018</t>
    </r>
  </si>
  <si>
    <r>
      <t xml:space="preserve">תוכנית אסטרטגית לחידוש מרכזים מסחריים בשכונות </t>
    </r>
    <r>
      <rPr>
        <b/>
        <sz val="11"/>
        <rFont val="David"/>
        <family val="2"/>
      </rPr>
      <t>נסגר 2018</t>
    </r>
  </si>
  <si>
    <r>
      <t xml:space="preserve">ריהוט רחוב באיזור התעשיה </t>
    </r>
    <r>
      <rPr>
        <b/>
        <sz val="11"/>
        <rFont val="David"/>
        <family val="2"/>
      </rPr>
      <t>נסגר 2018</t>
    </r>
  </si>
  <si>
    <r>
      <t xml:space="preserve">הקמת מערכים חדשים לחירום </t>
    </r>
    <r>
      <rPr>
        <b/>
        <sz val="12"/>
        <rFont val="David"/>
        <family val="2"/>
      </rPr>
      <t>נסגר 2018</t>
    </r>
  </si>
  <si>
    <r>
      <t xml:space="preserve">פיתוח טכנולוגיה עירונית קהילתית שיתופית </t>
    </r>
    <r>
      <rPr>
        <b/>
        <sz val="11"/>
        <rFont val="David"/>
        <family val="2"/>
      </rPr>
      <t>נסגר 2018</t>
    </r>
  </si>
  <si>
    <t>עבודות הנגשה של מוס"ח ומבני ציבור כנדרש עפ"י החוק במסגרת תוכנית רב שנתית.</t>
  </si>
  <si>
    <t>פרויקטים דחופים בצ"מ 2015/2016</t>
  </si>
  <si>
    <t>פרויקטים דחופים בצ"מ 2019/2020</t>
  </si>
  <si>
    <t>עב' פיתוח דחופות בלתי צפויות, מימוני ביניים, שיתעוררו במהלך השנה ויבוצעו עפ"י החלטות הנהלת העיר. שנים 2019/2020.</t>
  </si>
  <si>
    <t>הפרשה לתביעות תלויות בעקבות הנחיית אגף הביקורת של משה"פ במסגרת הדוחות הכספיים.</t>
  </si>
  <si>
    <t>במסגרת סיכום עקרונות בין משרד האוצר לשלטון המקומי  מ - 12.5.2013.</t>
  </si>
  <si>
    <t>טרם הסתיים הליך רישום החנויות ע"ש העיריה בפנקסי הרישום.</t>
  </si>
  <si>
    <t>טרם הסתיים הליך רישום הנכס ע"ש העיריה בפנקסי הרישום.</t>
  </si>
  <si>
    <t>פיצויי הפקעה בפארק.</t>
  </si>
  <si>
    <t>פיצויי הפקעה בפארק תוכנית הר' 1941.</t>
  </si>
  <si>
    <t>שיפוץ חלקי של בית משותף בו מצויים הספריה והחניון בבעלות העיריה.</t>
  </si>
  <si>
    <t>פיצויי הפקעה בעקבות פס"ד. טרם הושלם הדיון מול רשויות המס.</t>
  </si>
  <si>
    <t>תשלום פיצויי הפקעה בקשר עם תוכנית  הר' 1940 6664/105.</t>
  </si>
  <si>
    <t>הכנת תוכנית לצרכי רישום מתחם מלון דניאל.</t>
  </si>
  <si>
    <t>סה"כ אגף תקשוב ומערכות מידע</t>
  </si>
  <si>
    <t>שדרוג תשתיות אינטרנט במוס"ח.</t>
  </si>
  <si>
    <t xml:space="preserve">תוכנית הצטיידות למיחשוב כל מוס"ח ביחס של 1:5.החלפת מחשבים ניידים והשלמה למורים חדשים,החלפת מקרנים מעבדות, החלפת מחשבים מזכירויות, מקרנים גנ"י. תוכנית רב שנתית. </t>
  </si>
  <si>
    <t>מימון משרד הפנים.</t>
  </si>
  <si>
    <t>מימון חלקי משרד הפנים.</t>
  </si>
  <si>
    <r>
      <t xml:space="preserve">רכישת מיול תחזוקת חופי רחצה </t>
    </r>
    <r>
      <rPr>
        <b/>
        <sz val="11"/>
        <rFont val="David"/>
        <family val="2"/>
      </rPr>
      <t>נסגר 2018</t>
    </r>
  </si>
  <si>
    <t>עבודות הגנה מצוקים וגידור חופי הים</t>
  </si>
  <si>
    <t>רכישת מיול נוסף לפיקוח והצלה. מימון משרד הפנים.</t>
  </si>
  <si>
    <t>רכישת אופנוע ים כולל זיווד. מימון משרד הפנים.</t>
  </si>
  <si>
    <t>החלפה והוספת ציוד הצלה ובטיחות. מימון משרד הפנים.</t>
  </si>
  <si>
    <t xml:space="preserve"> אגף ת.ב.ל</t>
  </si>
  <si>
    <t>סה"כ מינהל הנדסה</t>
  </si>
  <si>
    <t xml:space="preserve">מינהל  הנדסה </t>
  </si>
  <si>
    <t>מינהל הנדסה</t>
  </si>
  <si>
    <t>פיתוח  ברח' העפרוני וזאב במתחם.
אומדן ביצוע כולל תאורה וסלילת רחוב משולב .</t>
  </si>
  <si>
    <t>סל עבודות פיתוח קטנות מזדמנות הנדרשות במהלך השנה.</t>
  </si>
  <si>
    <t>סל תכנון של תוכניות ופרויקטים, מדידות ותכנון ראשוני.</t>
  </si>
  <si>
    <t>הכנת תב"עות לשימור אתרים.</t>
  </si>
  <si>
    <t>סל תכנון של תב"עות הנדרשות במהלך השנה.</t>
  </si>
  <si>
    <t>תכנון התחדשות עירונית ביד התשעה.</t>
  </si>
  <si>
    <t>הערכות להתנגדות לתוכנית שמקדם מינהל התכנון והועדה המחוזית לכל צפון הרצליה ללא שיתוף העירייה.</t>
  </si>
  <si>
    <t>עלויות אכיפה צווי בית משפט במרינה.</t>
  </si>
  <si>
    <t>עבודות פיתוח במתחם הרחובות והרחבתם.</t>
  </si>
  <si>
    <t>תכנון שינוי תב"ע משצ"פ למגורים בעקבות היתרים קיימים משנות ה - 90 שאינם תואמים למצב הסטטוטורי הקיים.</t>
  </si>
  <si>
    <t>תכנון מתחם מעונות שרה לפינוי ובינוי.מימון משרד הבינוי.</t>
  </si>
  <si>
    <t>תכנון מתחם צומת כדורי לפינוי ובינוי.מימון משרד הבינוי.</t>
  </si>
  <si>
    <t>הכנת תב"ע לבניית חניון מתחת לשצ"פ במתחם "מרינה לי".</t>
  </si>
  <si>
    <t>להשלים תאור העבודות.</t>
  </si>
  <si>
    <t>טרם הופקעו כל החלקות.</t>
  </si>
  <si>
    <t>הסדרת דרכי גישה למבני מגורים והסדרת פלישות לשטחי ציבור. המשך תכנון וביצוע השצ"פים כ - 1,300 מ"ר.</t>
  </si>
  <si>
    <t>תכנון תב"ע לשטח התחנה המרכזית החדשה.</t>
  </si>
  <si>
    <t>.תכנון שצ"פים במתחם  הר' 1960 רחוב קורן,דן שומרון ,דורי ומשה שמיר.</t>
  </si>
  <si>
    <t>סה"כ אגף ש.א.י.פ.ה</t>
  </si>
  <si>
    <t>סה"כ אגף ת.נ.ו.ס</t>
  </si>
  <si>
    <t>סה"כ אגף בטחון פיקוח וסדר ציבורי</t>
  </si>
  <si>
    <t>סה"כ אגף ת.ב.ל</t>
  </si>
  <si>
    <t>הכנת פרוגרמות עירוניות : שטחים מבונים,איזור תעשיה, מרחב ציבורי,תוכניות תמ"א 38, סוקולוב.</t>
  </si>
  <si>
    <t>הכנת פרוגרמות עירוניות עפ"י הנדרש</t>
  </si>
  <si>
    <t xml:space="preserve">סך התקציב הנדרש בשנת 2019 במינהל הכללי  מסתכם ב - </t>
  </si>
  <si>
    <t>פרויקטים עיקריים בשנת 2019 :</t>
  </si>
  <si>
    <t>פרק 73</t>
  </si>
  <si>
    <t>פרק 74</t>
  </si>
  <si>
    <t>פרק 76</t>
  </si>
  <si>
    <t>פרק 99</t>
  </si>
  <si>
    <t xml:space="preserve">סך התקציב הנדרש בשנת 2019 ע"י האגף  מסתכם ב - </t>
  </si>
  <si>
    <t xml:space="preserve">סך התקציב הנדרש בשנת 2019 ע"י היחידה מסתכם ב - </t>
  </si>
  <si>
    <t>התקציב מיועד לפיתוח חופי רחצה היערכות לקראת עונת הרחצה.</t>
  </si>
  <si>
    <r>
      <t>תב"ר 2043 : פיתוח חופי רחצה 2018/2019-</t>
    </r>
    <r>
      <rPr>
        <b/>
        <sz val="12"/>
        <color theme="1"/>
        <rFont val="David"/>
        <family val="2"/>
      </rPr>
      <t xml:space="preserve"> פיתוח חופי רחצה</t>
    </r>
    <r>
      <rPr>
        <b/>
        <sz val="12"/>
        <color theme="1"/>
        <rFont val="David"/>
        <family val="2"/>
        <charset val="177"/>
      </rPr>
      <t>.</t>
    </r>
  </si>
  <si>
    <t>פרק 82</t>
  </si>
  <si>
    <t>פרק 93</t>
  </si>
  <si>
    <t>התקציב מיועד לשיפוץ מבני תרבות ונוער , עבודות התאמה לתקן מגרשי ספורט ,</t>
  </si>
  <si>
    <t>פרק 61</t>
  </si>
  <si>
    <t>פרק 72</t>
  </si>
  <si>
    <t>פרק 81</t>
  </si>
  <si>
    <t>פרק 747 חופים</t>
  </si>
  <si>
    <t>פרק 71</t>
  </si>
  <si>
    <t>פרק 747</t>
  </si>
  <si>
    <t>פרק 84</t>
  </si>
  <si>
    <t>פרק 87</t>
  </si>
  <si>
    <r>
      <t>תב"ר 2037 : הקמת פינות מיחזור ברחבי העיר-</t>
    </r>
    <r>
      <rPr>
        <b/>
        <sz val="12"/>
        <color theme="1"/>
        <rFont val="David"/>
        <family val="2"/>
      </rPr>
      <t xml:space="preserve"> הקמת פינות מיחזור וגזם ברחבי העיר</t>
    </r>
    <r>
      <rPr>
        <b/>
        <sz val="12"/>
        <color theme="1"/>
        <rFont val="David"/>
        <family val="2"/>
        <charset val="177"/>
      </rPr>
      <t>.</t>
    </r>
  </si>
  <si>
    <r>
      <t>תב"ר 2038 : הסדרת שטחי בי"ס ברחבי העיר-</t>
    </r>
    <r>
      <rPr>
        <b/>
        <sz val="12"/>
        <color theme="1"/>
        <rFont val="David"/>
        <family val="2"/>
      </rPr>
      <t xml:space="preserve"> הסדרת שטחי מוס"ח ברחבי העיר</t>
    </r>
    <r>
      <rPr>
        <b/>
        <sz val="12"/>
        <color theme="1"/>
        <rFont val="David"/>
        <family val="2"/>
        <charset val="177"/>
      </rPr>
      <t>.</t>
    </r>
  </si>
  <si>
    <r>
      <t xml:space="preserve">תב"ר 1435 : שיקום שכונות עירוני וטיפול במרחב הציבורי - </t>
    </r>
    <r>
      <rPr>
        <b/>
        <sz val="12"/>
        <color theme="1"/>
        <rFont val="David"/>
        <family val="2"/>
      </rPr>
      <t>שדרוג וטיפול במרחב הציבורי.</t>
    </r>
  </si>
  <si>
    <t>פרק 85</t>
  </si>
  <si>
    <t>התאמות נגישות מוס"ח</t>
  </si>
  <si>
    <t>בניית בי"ס ירוק ברח' משה</t>
  </si>
  <si>
    <t>פרק 749</t>
  </si>
  <si>
    <t xml:space="preserve">סך התקציב הנדרש בשנת 2019 ע"י החברה לפיתוח הרצליה  מסתכם ב - </t>
  </si>
  <si>
    <t xml:space="preserve">סך התקציב הנדרש בשנת 2019 ע"י החברה לפיתוח התיירות מסתכם ב - </t>
  </si>
  <si>
    <t>מתחם הנוריות</t>
  </si>
  <si>
    <t>פרויקט : שיפוץ ותוספת בניה בר אילן</t>
  </si>
  <si>
    <r>
      <t xml:space="preserve">תב"ר 1477 : הצללות בי"ס וגנ"י - </t>
    </r>
    <r>
      <rPr>
        <b/>
        <sz val="12"/>
        <color theme="1"/>
        <rFont val="David"/>
        <family val="2"/>
      </rPr>
      <t>הצללות בי"ס, גנ"י מתנ"סים.</t>
    </r>
  </si>
  <si>
    <t>לקראת סיום</t>
  </si>
  <si>
    <t>פרויקט שד' חן</t>
  </si>
  <si>
    <t>פרויקט שהסתיים</t>
  </si>
  <si>
    <t>פרויקט : גליל ים</t>
  </si>
  <si>
    <t>הארכת דרך ירושלים  עד לרחוב הנגב ויחיבור רבי עקיבא, פיתוח רח' יבנה . ב - 2019 : תחילת תכנון.</t>
  </si>
  <si>
    <t>הארכת דרך ירושלים והתחברות אליה</t>
  </si>
  <si>
    <t>צומת הבריגדה היהודית -מנחם בגין- בטיחות</t>
  </si>
  <si>
    <t>הרב גורן מוהליבר - בטיחות</t>
  </si>
  <si>
    <t>השרון בר אילן -בטיחות</t>
  </si>
  <si>
    <t>תכנון צומת הבריגדה היהודית -מנחם בגין עקב ריבוי תאונות דרכים עפ"י נתוני הרלב"ד. מימון מ. התחבורה</t>
  </si>
  <si>
    <t>תכנון צומת הרב גורן מוהליבר עקב ריבוי תאונות דרכים עפ"י נתוני הרלב"ד. מימון מ. התחבורה</t>
  </si>
  <si>
    <t>תכנון צומת השרון בר אילן בגין עקב ריבוי תאונות דרכים עפ"י נתוני הרלב"ד. מימון מ. התחבורה</t>
  </si>
  <si>
    <t>פיתוח רחוב גבעת החלומות לרבות עבודות ניקוז ותאורה.</t>
  </si>
  <si>
    <t>פיתוח מתחם הרחובות אוצר הצמחים, אבן אודם, הראשונים. 
ב - 2019 : תכנון.</t>
  </si>
  <si>
    <t>תכנון שבילי אופנים וביצוע ברחבי העיר. מימון מ. התחבורה.</t>
  </si>
  <si>
    <t>פיתוח מתחם הרחובות יהודה המכבי, זוהר טל, האצל, הגבורה. תכנון ותחילת ביצוע.</t>
  </si>
  <si>
    <t xml:space="preserve">ליווי יועצי תנועה, איכות הסביבה, במסגרת סלילת כביש 531 וכביש 20. </t>
  </si>
  <si>
    <t>תכנון פיתוח מתחם התחנה.</t>
  </si>
  <si>
    <r>
      <t xml:space="preserve">תב"ר 1527 : הר' 2159 התחדשות  עירונית יד התשעה - </t>
    </r>
    <r>
      <rPr>
        <b/>
        <sz val="12"/>
        <color theme="1"/>
        <rFont val="David"/>
        <family val="2"/>
      </rPr>
      <t>התחדשות עירונית יד התשעה.</t>
    </r>
  </si>
  <si>
    <r>
      <t xml:space="preserve">תב"ר 1620 : קשר גשר - </t>
    </r>
    <r>
      <rPr>
        <b/>
        <sz val="12"/>
        <color theme="1"/>
        <rFont val="David"/>
        <family val="2"/>
      </rPr>
      <t>תכנון חיבוריות בין מזרח ומערב.</t>
    </r>
  </si>
  <si>
    <r>
      <t xml:space="preserve">תב"ר 1952 : איצטדיון כדורסל - </t>
    </r>
    <r>
      <rPr>
        <b/>
        <sz val="12"/>
        <color theme="1"/>
        <rFont val="David"/>
        <family val="2"/>
      </rPr>
      <t>היכל ספורט רב תכליתי.</t>
    </r>
  </si>
  <si>
    <r>
      <t>תב"ר 1486 : שיפוץ מבני תנו"ס-</t>
    </r>
    <r>
      <rPr>
        <b/>
        <sz val="12"/>
        <color theme="1"/>
        <rFont val="David"/>
        <family val="2"/>
      </rPr>
      <t xml:space="preserve"> שיפוץ מבני תרבות ונוער</t>
    </r>
    <r>
      <rPr>
        <b/>
        <sz val="12"/>
        <color theme="1"/>
        <rFont val="David"/>
        <family val="2"/>
        <charset val="177"/>
      </rPr>
      <t>.</t>
    </r>
  </si>
  <si>
    <r>
      <t xml:space="preserve">תב"ר 1409 : חידוש תוקף תוכנית מתאר - </t>
    </r>
    <r>
      <rPr>
        <b/>
        <sz val="12"/>
        <color theme="1"/>
        <rFont val="David"/>
        <family val="2"/>
      </rPr>
      <t>תוכנית המיתאר הכוללנית.</t>
    </r>
  </si>
  <si>
    <t xml:space="preserve">המשך עבודות פיתוח במתחם. </t>
  </si>
  <si>
    <r>
      <t>המשך עבודות פיתוח רחוב צה"ל כולל סובה להורדת והעלאת תלמידים ליד ביה"ס.</t>
    </r>
    <r>
      <rPr>
        <sz val="11"/>
        <color rgb="FFFF0000"/>
        <rFont val="David"/>
        <family val="2"/>
      </rPr>
      <t xml:space="preserve"> </t>
    </r>
  </si>
  <si>
    <t xml:space="preserve">הקמת אולם ספורט חדש בחטיבת זאב. </t>
  </si>
  <si>
    <r>
      <t>הקמת מתנ"ס חדש בשכונת נווה ישראל.</t>
    </r>
    <r>
      <rPr>
        <sz val="11"/>
        <color rgb="FFFF0000"/>
        <rFont val="David"/>
        <family val="2"/>
      </rPr>
      <t xml:space="preserve"> </t>
    </r>
  </si>
  <si>
    <r>
      <rPr>
        <sz val="11"/>
        <color rgb="FFFF0000"/>
        <rFont val="David"/>
        <family val="2"/>
      </rPr>
      <t>לקבל אומדן ופרוט</t>
    </r>
    <r>
      <rPr>
        <sz val="11"/>
        <rFont val="David"/>
        <family val="2"/>
        <charset val="177"/>
      </rPr>
      <t xml:space="preserve">.
</t>
    </r>
  </si>
  <si>
    <t>תכנון צומת אבא אבן הצדף,עקב ריבוי תאונות דרכים עפ"י נתוני הרלב"ד. מימון מ. התחבורה.</t>
  </si>
  <si>
    <t>תכנון צומת הרב גורן מוהליבר עקב ריבוי תאונות דרכים עפ"י נתוני הרלב"ד. מימון מ. התחבורה.</t>
  </si>
  <si>
    <t>תכנון צומת הבריגדה היהודית -מנחם בגין עקב ריבוי תאונות דרכים עפ"י נתוני הרלב"ד. מימון מ. התחבורה.</t>
  </si>
  <si>
    <t>הנגשה מוזיאון בית ראשונים</t>
  </si>
  <si>
    <t>תקשורת ברחבי העיר ומוסדות חינוך, תוכנית הצטיידות מיחשוב מוסדות חינוך.</t>
  </si>
  <si>
    <t>התקציב הבלתי רגיל לשנת 2018 - ביצוע</t>
  </si>
  <si>
    <t>מימוש תקציב בלתי רגיל במסגרת תוכנית הפיתוח השנתית 2018</t>
  </si>
  <si>
    <t>תקציב בלתי רגיל שאושר מעבר לתוכנית הפיתוח השנתית במהלך 2018</t>
  </si>
  <si>
    <r>
      <rPr>
        <strike/>
        <sz val="11"/>
        <rFont val="David"/>
        <family val="2"/>
      </rPr>
      <t>חידוש תוקף תכנית המתאר</t>
    </r>
    <r>
      <rPr>
        <sz val="11"/>
        <rFont val="David"/>
        <family val="2"/>
        <charset val="177"/>
      </rPr>
      <t xml:space="preserve"> </t>
    </r>
    <r>
      <rPr>
        <b/>
        <sz val="11"/>
        <rFont val="David"/>
        <family val="2"/>
      </rPr>
      <t xml:space="preserve"> תוכנית המתאר הכוללנית (*) עדכון שם</t>
    </r>
  </si>
  <si>
    <r>
      <rPr>
        <strike/>
        <sz val="11"/>
        <rFont val="David"/>
        <family val="2"/>
      </rPr>
      <t>הר' 2159</t>
    </r>
    <r>
      <rPr>
        <sz val="11"/>
        <rFont val="David"/>
        <family val="2"/>
        <charset val="177"/>
      </rPr>
      <t xml:space="preserve"> התחדשות עירונית יד  התשעה</t>
    </r>
    <r>
      <rPr>
        <b/>
        <sz val="11"/>
        <rFont val="David"/>
        <family val="2"/>
      </rPr>
      <t xml:space="preserve"> (*) עדכון שם</t>
    </r>
  </si>
  <si>
    <r>
      <rPr>
        <strike/>
        <sz val="11"/>
        <rFont val="David"/>
        <family val="2"/>
      </rPr>
      <t>קשר גש</t>
    </r>
    <r>
      <rPr>
        <sz val="11"/>
        <rFont val="David"/>
        <family val="2"/>
        <charset val="177"/>
      </rPr>
      <t xml:space="preserve">ר </t>
    </r>
    <r>
      <rPr>
        <b/>
        <sz val="11"/>
        <rFont val="David"/>
        <family val="2"/>
      </rPr>
      <t>תכנון חיבוריות בין מזרח למערב (*) עדכון שם</t>
    </r>
  </si>
  <si>
    <r>
      <t xml:space="preserve">תוכנית אסטרטגית </t>
    </r>
    <r>
      <rPr>
        <strike/>
        <sz val="11"/>
        <rFont val="David"/>
        <family val="2"/>
      </rPr>
      <t>להתי' עירונית</t>
    </r>
    <r>
      <rPr>
        <sz val="11"/>
        <rFont val="David"/>
        <family val="2"/>
        <charset val="177"/>
      </rPr>
      <t xml:space="preserve">  באזהת"ש</t>
    </r>
    <r>
      <rPr>
        <b/>
        <sz val="11"/>
        <rFont val="David"/>
        <family val="2"/>
      </rPr>
      <t xml:space="preserve"> (*) עדכון שם</t>
    </r>
  </si>
  <si>
    <r>
      <rPr>
        <strike/>
        <sz val="11"/>
        <rFont val="David"/>
        <family val="2"/>
      </rPr>
      <t xml:space="preserve"> איצטדיון כדורסל</t>
    </r>
    <r>
      <rPr>
        <b/>
        <sz val="11"/>
        <rFont val="David"/>
        <family val="2"/>
      </rPr>
      <t xml:space="preserve"> היכל ספורט רב תכליתי </t>
    </r>
    <r>
      <rPr>
        <sz val="11"/>
        <rFont val="David"/>
        <family val="2"/>
        <charset val="177"/>
      </rPr>
      <t xml:space="preserve">  </t>
    </r>
    <r>
      <rPr>
        <b/>
        <sz val="11"/>
        <rFont val="David"/>
        <family val="2"/>
      </rPr>
      <t>(*) עדכון שם</t>
    </r>
  </si>
  <si>
    <r>
      <t xml:space="preserve">תב"ר 1975 : פרויקט לווין משותף הרצליה שער הנגב - </t>
    </r>
    <r>
      <rPr>
        <b/>
        <sz val="12"/>
        <color theme="1"/>
        <rFont val="David"/>
        <family val="2"/>
      </rPr>
      <t>פרויקט שיגור לווין דוכיפת 3.</t>
    </r>
  </si>
  <si>
    <r>
      <t xml:space="preserve">שיפוץ מבני </t>
    </r>
    <r>
      <rPr>
        <strike/>
        <sz val="11"/>
        <rFont val="David"/>
        <family val="2"/>
      </rPr>
      <t>תנו"ס</t>
    </r>
    <r>
      <rPr>
        <sz val="11"/>
        <rFont val="David"/>
        <family val="2"/>
      </rPr>
      <t xml:space="preserve"> </t>
    </r>
    <r>
      <rPr>
        <b/>
        <sz val="11"/>
        <rFont val="David"/>
        <family val="2"/>
      </rPr>
      <t>תרבות ונוער (*) עדכון שם</t>
    </r>
  </si>
  <si>
    <r>
      <rPr>
        <strike/>
        <sz val="11"/>
        <rFont val="David"/>
        <family val="2"/>
      </rPr>
      <t>שיקום שכונות עירוני</t>
    </r>
    <r>
      <rPr>
        <sz val="11"/>
        <rFont val="David"/>
        <family val="2"/>
        <charset val="177"/>
      </rPr>
      <t xml:space="preserve"> </t>
    </r>
    <r>
      <rPr>
        <b/>
        <sz val="11"/>
        <rFont val="David"/>
        <family val="2"/>
      </rPr>
      <t>שדרוג</t>
    </r>
    <r>
      <rPr>
        <sz val="11"/>
        <rFont val="David"/>
        <family val="2"/>
        <charset val="177"/>
      </rPr>
      <t xml:space="preserve"> וטיפול המרחב הציבורי </t>
    </r>
    <r>
      <rPr>
        <b/>
        <sz val="11"/>
        <rFont val="David"/>
        <family val="2"/>
      </rPr>
      <t>(*) עדכון שם</t>
    </r>
  </si>
  <si>
    <r>
      <t xml:space="preserve">הקמת פינות מיחזור </t>
    </r>
    <r>
      <rPr>
        <b/>
        <sz val="11"/>
        <rFont val="David"/>
        <family val="2"/>
      </rPr>
      <t xml:space="preserve">וגזם </t>
    </r>
    <r>
      <rPr>
        <sz val="11"/>
        <rFont val="David"/>
        <family val="2"/>
        <charset val="177"/>
      </rPr>
      <t xml:space="preserve">ברחבי העיר </t>
    </r>
    <r>
      <rPr>
        <b/>
        <sz val="11"/>
        <rFont val="David"/>
        <family val="2"/>
      </rPr>
      <t>(*) עדכון שם</t>
    </r>
  </si>
  <si>
    <r>
      <t>פיתוח חופי רחצה</t>
    </r>
    <r>
      <rPr>
        <strike/>
        <sz val="11"/>
        <rFont val="David"/>
        <family val="2"/>
      </rPr>
      <t xml:space="preserve"> 2018/2019</t>
    </r>
    <r>
      <rPr>
        <b/>
        <sz val="11"/>
        <rFont val="David"/>
        <family val="2"/>
      </rPr>
      <t xml:space="preserve"> (*) עדכון שם</t>
    </r>
  </si>
  <si>
    <t>פרק 848</t>
  </si>
  <si>
    <t>הארכת דרך ירושלים  עד לרחוב הנגב וחיבור רבי עקיבא, פיתוח רח' יבנה . ב - 2019 : תחילת תכנון.</t>
  </si>
  <si>
    <r>
      <t>תוכנית אסטרטגית להתייעלות עירונית במרכז העיר</t>
    </r>
    <r>
      <rPr>
        <b/>
        <sz val="11"/>
        <rFont val="David"/>
        <family val="2"/>
      </rPr>
      <t xml:space="preserve"> ובשכונות (*) עדכון שם</t>
    </r>
  </si>
  <si>
    <t>פינוי בינוי סוקולוב רח' ירושלים</t>
  </si>
  <si>
    <t>תב"ע משולש המנהרה הר' 2350</t>
  </si>
  <si>
    <t>ביצוע  עבודות סלילה ופיתוח סופי רח' דן שומרון. פיתוח שצ"פ האקליפטוס. תכנון רח' דורי.</t>
  </si>
  <si>
    <r>
      <t xml:space="preserve">תכנון </t>
    </r>
    <r>
      <rPr>
        <strike/>
        <sz val="11"/>
        <rFont val="David"/>
        <family val="2"/>
      </rPr>
      <t xml:space="preserve">ועדכון </t>
    </r>
    <r>
      <rPr>
        <sz val="11"/>
        <rFont val="David"/>
        <family val="2"/>
        <charset val="177"/>
      </rPr>
      <t xml:space="preserve">וביצוע  תוכנית אב לשבילי אופניים </t>
    </r>
    <r>
      <rPr>
        <b/>
        <sz val="11"/>
        <rFont val="David"/>
        <family val="2"/>
      </rPr>
      <t>(*) עדכון שם</t>
    </r>
  </si>
  <si>
    <r>
      <t xml:space="preserve">תב"ר 626 : תכנון ועדכון תוכנית אב  לשבילי אופניים - </t>
    </r>
    <r>
      <rPr>
        <b/>
        <sz val="12"/>
        <color theme="1"/>
        <rFont val="David"/>
        <family val="2"/>
      </rPr>
      <t>תכנון וביצוע תוכנית אב לשבילי אופניים.</t>
    </r>
  </si>
  <si>
    <t>תכנון מתחם צומת כדורי לפינוי ובינוי.עדכון מימון מ. הבינוי.</t>
  </si>
  <si>
    <t>תכנון תב"ע לשכונה חדשה בהרצליה הצעירה. שטח בגודל של כ - 50 דונם , כ - 300 יח"ד.</t>
  </si>
  <si>
    <t>הקמת מערכת בקרת רמזורים ברחבי העיר.</t>
  </si>
  <si>
    <t>תכנון איזור תעשיה ושכונת מגורים במשולש התחבורה. מקודם בותמ"ל .</t>
  </si>
  <si>
    <t>העסקת צוות יועצים לתכנון התב"ע  לדיור בר השגה רח' בן ציון.</t>
  </si>
  <si>
    <t>פינוי בינוי סוקולוב רח' ירושלים . מימון מ. הבינוי.</t>
  </si>
  <si>
    <t>פיתוח מתחם אולפני הרצליה תב"ע הר' 2180.</t>
  </si>
  <si>
    <t>תוכנית מתארית ומפורטת חלקית לאורך רחוב המנהרה ועד פארק הואדי. התוכנית כוללת מתחם לשימור. יש עתירה לבימ"ש של בעלי קרקע פרטיים.</t>
  </si>
  <si>
    <t>עבודות השלמה סופיות  לרבות מתכננים ופיקוח עקב התארכות תקופת הביצוע של הפרויקט.</t>
  </si>
  <si>
    <t xml:space="preserve">פיתוח קטע הרחוב מרבי עקיבא עד דוד רזיאל. 2019 - תכנון. </t>
  </si>
  <si>
    <t>עבודות עק פרויקט " מהיר לעיר" כולל תוספת חיפוי קיר בטון.</t>
  </si>
  <si>
    <t>סל  עבודות תכנון , בדיקות, סקרים ודרישות  מכח החלטות של ועדות סטטוטוריות בלתי צפויות.</t>
  </si>
  <si>
    <t>לאור החלטת בימ"ש שהעיריה תבצע שינויים גיאומטרים וקיר.</t>
  </si>
  <si>
    <t>תכנון שצ"פים במתחם  הר' 1960 : קורן,דן שומרון ,דורי ומשה שמיר.</t>
  </si>
  <si>
    <r>
      <t>הפיכת תוכנית אסטרטגית  לתוכנית סטטוטורית, לתוכנית מתאר בועדה המחוזית בהתאם ליו"ר הועדה המחוזית.</t>
    </r>
    <r>
      <rPr>
        <sz val="11"/>
        <color rgb="FFFF0000"/>
        <rFont val="David"/>
        <family val="2"/>
      </rPr>
      <t xml:space="preserve"> </t>
    </r>
  </si>
  <si>
    <t>תכנון צומת השרון בר אילן  עקב ריבוי תאונות דרכים עפ"י נתוני הרלב"ד. מימון מ. התחבורה.</t>
  </si>
  <si>
    <t xml:space="preserve">השלמת רח' משכית, פיתוח החושלים, השלמת שצ"פים . </t>
  </si>
  <si>
    <t>המשך עבודות הקמת חדרי פעילויות, בית קפה לרבות תוספת שרותים.</t>
  </si>
  <si>
    <t>הקמת מבנה תרבות כולל חדרי מחול וקונסבטוריון . מימון מפעל הפייס.</t>
  </si>
  <si>
    <t>ב - 2019: תכנון צומת אבא אבן הצדף,עקב ריבוי תאונות דרכים עפ"י נתוני הרלב"ד. מימון מ. התחבורה.</t>
  </si>
  <si>
    <t>הקמת מסוף תחבורה חדש , חניון ל -60 אוטובוסים , הסדרת ציר תנועה  רחוב בן ציון מיכאלי. מימון משרד התחבורה.</t>
  </si>
  <si>
    <t>עבודות פיתוח כולל קו ניקוז רחוב שער הים. מימון תאגיד המים.</t>
  </si>
  <si>
    <t xml:space="preserve">הקמה של קמפוס המדעים הכולל:בי"ס להנדסאים ותיכון חדש. </t>
  </si>
  <si>
    <t>פיתוח שצ"פ בגבעת הפרחים כולל הנגשה.</t>
  </si>
  <si>
    <t>תכנון מתנ"ס ברחוב המסילה.</t>
  </si>
  <si>
    <t>בניית ביכנ"ס ברח' מקדש מלך. ב - 2019: תכנון.</t>
  </si>
  <si>
    <t>עבודות הקמת אולם ספורט בנגיד ובנדיב  כולל הריסת אולמות ומקלט קיימים.</t>
  </si>
  <si>
    <t xml:space="preserve">שיפוץ אולם ספורט היובל כולל פיתוח המבואה והמתחם. </t>
  </si>
  <si>
    <t>עבודות פיתוח. מימון רמ"י במסגרת הסכם "הגג".</t>
  </si>
  <si>
    <t>בניית החניון במימון  חברת אפריקה ישראל.</t>
  </si>
  <si>
    <t>מתחם המשתלה  תב"ע 1874</t>
  </si>
  <si>
    <t>הקמת בריכה ומרכז לאומנויות לחימה</t>
  </si>
  <si>
    <t>הקמת בריכה ומרכז לאומנויות  לחימה</t>
  </si>
  <si>
    <t>פיתוח מתחם מתנ"ס נווה עמל ומגרשי טניס</t>
  </si>
  <si>
    <t>הסדרת צומת ברנר בר כוכבא בן גוריון</t>
  </si>
  <si>
    <t>קירוי והצללה מגרשי ספורט עירוניים</t>
  </si>
  <si>
    <t>השקעה בתשתיות והרחבת  חניונים</t>
  </si>
  <si>
    <t>הקמת אולם ספורט הנגיד הנדיב</t>
  </si>
  <si>
    <t>שדרוג והנגשה אולם ספורט אילנות</t>
  </si>
  <si>
    <t>מימון רמ"י במסגרת הסכם "הגג".</t>
  </si>
  <si>
    <t>איטום גגות (מוס"ח,מוס' עיריה)</t>
  </si>
  <si>
    <t>תיקון ליקויים סקר כיבוי אש בי"ס</t>
  </si>
  <si>
    <t>החלפת צילרים אולמות ספורט נ. ישראל,סמדר ,נוף ים</t>
  </si>
  <si>
    <t>החלפת צילריםאומות ספורט נ. ישראל,סמדר ,נוף ים</t>
  </si>
  <si>
    <t>התק.ספרינקלרים אולם ספורט ראשונים</t>
  </si>
  <si>
    <t>סל לשדרוג כבישים במקביל לעבודת תאגיד המים ומדרכות ברחבי העיר עפ"י תוכנית עבודה שתאושר ע"י הנהלת העיר.</t>
  </si>
  <si>
    <t>ב - 2019: הצטיידות אולם הספורט בר אילן.</t>
  </si>
  <si>
    <t xml:space="preserve">עבודות במסגרת מערכות כיבוי אש והמשך שדרוג מערכת מיזוג במוזיאון. </t>
  </si>
  <si>
    <t>בנית פיר מעלית חיצוני בעקבות ביקורת של יועץ נגישות וקושי הנדסי לבנות את הפיר בתוך המבנה.</t>
  </si>
  <si>
    <t>התקנת מעליות, שרותים ,רמפות בבי"ס עפ"י תוכנית רב שנתית.</t>
  </si>
  <si>
    <t>שיפוץ קומת הקרקע במבנה לטובת פעילות  יחידת הבריאות העירונית.</t>
  </si>
  <si>
    <t>תוספת כיתות וחדרי ספח בקומת המסד בבי"ס ברנדיס.</t>
  </si>
  <si>
    <t>התאמת מבנה ושיפוץ יסודי של 2 גנ"י.</t>
  </si>
  <si>
    <t>התקנת ספרינקלרים אולם ספורט ראשונים</t>
  </si>
  <si>
    <t>התקנת מערכת ספרינקלרים באולם הספורט עפ"י דרישות רשות כיבוי אש.</t>
  </si>
  <si>
    <t>עבודות מיזוג, חשמל, נגרות תקשורת  והצטיידות לחמ"ל האחורי.</t>
  </si>
  <si>
    <t>פרויקט שיגור לווין 3  בשיתוף פעולה עם המועצה האזורית שער הנגב  הנמצא בשלבים הסופיים לפני שיגור.</t>
  </si>
  <si>
    <t>המשך הצטיידות בי"סחדש  יצחק נבון.</t>
  </si>
  <si>
    <t xml:space="preserve">הצטיידות מעבדה בהנדסאים הנמצא בבניה. </t>
  </si>
  <si>
    <t>פרויקט לווינים - ישראל 70</t>
  </si>
  <si>
    <t>פרויקט שיגור 70 לווינים בשיתוף עם 70 ערים ומועצות עירוניות. מימון מ. המדע.</t>
  </si>
  <si>
    <t>הקמת מתקנים בחוף כוכבים וחוף זבולון. בשנת 2019 מתוכנן בחוף הנכים והשרון.</t>
  </si>
  <si>
    <t>הצטיידות כלי שייט עבור המרכז לחינוך וספורט ימי כולל החינוך המיוחד.</t>
  </si>
  <si>
    <t>הקמה שיפוץ רצפות פרקט אולמות ספורט</t>
  </si>
  <si>
    <t>עבודות התאמה לתקן חדש מגרשי  ספורט</t>
  </si>
  <si>
    <t>עבודות התאמה לתקן חדש מגרשי ספורט</t>
  </si>
  <si>
    <t>עבודות שיפוץ במתקנים במגרשי הספורט בהתאם לדוחות מכון התקנים.</t>
  </si>
  <si>
    <t>הקמת גינה קהילתית בהרצליה הירוקה. שדרוג תשתיות בגינות קהילתיות. איתור מקום ליער עירוני נוסף בעיר.</t>
  </si>
  <si>
    <t>ב - 2019 יהיה במסגרת תב"ר 1254.</t>
  </si>
  <si>
    <t>ב - 2019 יהיה במסגרת תב"ר 2038.</t>
  </si>
  <si>
    <t>תוכנית  אב להפחתת זיהום אויר</t>
  </si>
  <si>
    <t>פיתוח נופי דרך ירושלים כביש 531</t>
  </si>
  <si>
    <t>הרצליה ב' שצ" פ המסילה, מ.מסחרי</t>
  </si>
  <si>
    <t>הקמה ושדרוג סככות המתנה לאוטובוס. מימון מ. התחבורה.</t>
  </si>
  <si>
    <t>הסדרת השטח לאורך רח' ארלוזרוב קטע: בית"ר-דרך ירושלים. ייצוב פני הקרקע למניעת סחף והסדרת שיפועים וניקוזים, הסדרת המדרכה וגינון והשקייה.</t>
  </si>
  <si>
    <t>נטיעת עצים ברחבי העיר לרבות פתיחת ריצוף קיים במדרכה,  והתקנת מגן סביב העץ במקרה הצורך.</t>
  </si>
  <si>
    <t>חינוך לקיימות. קול קורא לשנים 2018-2019. מימון מ. להגנת הסביבה</t>
  </si>
  <si>
    <t>ביצוע מיפוי וסקר עצים מסוכנים ברחבי העיר, בגינות ציבוריות,במוס"ח לטיפול ומניעת ארועים בטיחותיים, סימון וסקר ממוחשב.</t>
  </si>
  <si>
    <t>רכישה והתקנת שילוט מסוגים שונים ברחבי העיר: שלטי רחוב, מספור על הבתים, שלטי הכוונה למוסדות מקומיים ואזוריים, שלטי כניסה לשכונות וכו'.</t>
  </si>
  <si>
    <t>הקמת מערכת להשכרת אופניים ברחבי העיר ובאיזור התעסוקה כחלק מתוכנית האב להפחתת פליטות גזי חממה. מימון מ. להגנת הסביבה.</t>
  </si>
  <si>
    <t>המשך הסדרת שטחי בי"ס ,תוספת הסדרת שטחי גנ"י כולל: עצי הצללה, דשא סינטטי, מערכות השקייה חסכוניות במים והסדרת שטחים מוזנחים. עפ"י תוכנית עבודה שתאושר ע"י הנהלת עיר.</t>
  </si>
  <si>
    <t>הסדרת הגן המרכזי בשכונת גן רש"ל כולל: מתקני משחק, משטח גומי, עבודות גינון, השקייה, פיתוח והנגשה.</t>
  </si>
  <si>
    <t>מימון מ. להגנת הסביבה.</t>
  </si>
  <si>
    <t>עבודות גידור בהתאם לנדרש.</t>
  </si>
  <si>
    <t>הכנת תב"ע .</t>
  </si>
  <si>
    <t>שיקום ופיתוח המצודה בתל מיכל.</t>
  </si>
  <si>
    <t>עבודות פיתוח בחוף הדרומי.</t>
  </si>
  <si>
    <t>מימון רמ"י.</t>
  </si>
  <si>
    <t>עבודות פיתוח בחוף הכוכבים.</t>
  </si>
  <si>
    <t>תכנון להסדרת ייעודיי קרקע בטיילת החוף.</t>
  </si>
  <si>
    <t xml:space="preserve">עבודות פיתוח מתחם מבואות השרון. </t>
  </si>
  <si>
    <t>פריסת תשתיות תקשורת ברחבי העיר ומוס"ח</t>
  </si>
  <si>
    <t>התקנת מערכות  שו"ב מצלמות מוס"ח מבני ציבור</t>
  </si>
  <si>
    <t>הקמת מרכז שליטה ובקרה  במיקום שיקבע ע"י הנהלת העיר כולל אמצעי מולטי מדיה למתן מענה לתשתית העיר החכמה. הההקמה כוללת עבודות בינוי, מולטימדיה וריהוט.</t>
  </si>
  <si>
    <t>הקמת אתר עירוני חדש מתקדם , ידידותי ומותאם לכלל הצרכים העירוניים כולל מימשקים לתושבים ומימשקים למערכות התפעוליות . האתר יהיה רספונסיבי  בנוסף מתן מענה לפורטל האירגוני על בסיס אותה תשתית.</t>
  </si>
  <si>
    <t>רכישת חנויות במרכז דגניה</t>
  </si>
  <si>
    <t>הכנת תצ"ר רישום זכויות תבע 574א</t>
  </si>
  <si>
    <t>מינהל כללי (61)</t>
  </si>
  <si>
    <t>תכנון ובנין עיר (73)</t>
  </si>
  <si>
    <t>נכסים ציבוריים (74)</t>
  </si>
  <si>
    <t>חופים (747)</t>
  </si>
  <si>
    <t>שרותים עירוניים שונים (76)</t>
  </si>
  <si>
    <t>חינוך (81)</t>
  </si>
  <si>
    <t>ספורט (82)</t>
  </si>
  <si>
    <t>מבני דת ציבוריים (85)</t>
  </si>
  <si>
    <t>איכות הסביבה (87)</t>
  </si>
  <si>
    <t>העברה מתקציב רגיל 2018</t>
  </si>
  <si>
    <t>מס' פרק</t>
  </si>
  <si>
    <t>רווחה (84)</t>
  </si>
  <si>
    <t>נכסים (93)</t>
  </si>
  <si>
    <t>תשלומים בלתי רגילים (99)</t>
  </si>
  <si>
    <t>מוין מחדש בשנת 2018</t>
  </si>
  <si>
    <t>טיפול במרחב ציבורי (848)</t>
  </si>
  <si>
    <t>טיפול במרחב ציבורי</t>
  </si>
  <si>
    <r>
      <t xml:space="preserve">תרבות וספורט </t>
    </r>
    <r>
      <rPr>
        <b/>
        <sz val="12"/>
        <color theme="1"/>
        <rFont val="David"/>
        <family val="2"/>
      </rPr>
      <t>(*)</t>
    </r>
  </si>
  <si>
    <t>מויין מחדש בשנת 2018</t>
  </si>
  <si>
    <r>
      <t xml:space="preserve">אגף ש.א.י.פ.ה </t>
    </r>
    <r>
      <rPr>
        <b/>
        <sz val="12"/>
        <color theme="1"/>
        <rFont val="David"/>
        <family val="2"/>
      </rPr>
      <t xml:space="preserve">(*) </t>
    </r>
  </si>
  <si>
    <r>
      <t xml:space="preserve">איכות הסביבה </t>
    </r>
    <r>
      <rPr>
        <b/>
        <sz val="12"/>
        <color theme="1"/>
        <rFont val="David"/>
        <family val="2"/>
      </rPr>
      <t>(*)</t>
    </r>
  </si>
  <si>
    <r>
      <t>שיפוץ חזיתות/עמידר</t>
    </r>
    <r>
      <rPr>
        <b/>
        <sz val="12"/>
        <color theme="1"/>
        <rFont val="David"/>
        <family val="2"/>
      </rPr>
      <t xml:space="preserve"> (*)</t>
    </r>
  </si>
  <si>
    <r>
      <t xml:space="preserve">חינוך </t>
    </r>
    <r>
      <rPr>
        <b/>
        <sz val="12"/>
        <color theme="1"/>
        <rFont val="David"/>
        <family val="2"/>
      </rPr>
      <t>(*)</t>
    </r>
  </si>
  <si>
    <r>
      <t xml:space="preserve">רווחה </t>
    </r>
    <r>
      <rPr>
        <b/>
        <sz val="12"/>
        <color theme="1"/>
        <rFont val="David"/>
        <family val="2"/>
      </rPr>
      <t>(*)</t>
    </r>
  </si>
  <si>
    <t>תוכנית המתאר הכוללנית</t>
  </si>
  <si>
    <t>פיתוח שצ"פים מורדי הגטאות</t>
  </si>
  <si>
    <t>פרויקט : ז'בוטינסקי אלתרמן הבריגדה</t>
  </si>
  <si>
    <t>פרויקט בביצוע</t>
  </si>
  <si>
    <t xml:space="preserve">פיתוח גן לאומי אפולוניה , פיתוח מתחם מבואות השרון </t>
  </si>
  <si>
    <t>ותכנון תב"עות  -  טיילת החוף, כיכר דה שליט.</t>
  </si>
  <si>
    <t>סה"כ אגף הנדסה</t>
  </si>
  <si>
    <t>סה"כ אגף תקשוב ומע. מידע</t>
  </si>
  <si>
    <t xml:space="preserve">תוכנית פיתוח שנתית 2018 : מימוש - החברה לפיתוח תיירות </t>
  </si>
  <si>
    <t xml:space="preserve">סה"כ החברה לפיתוח תיירות </t>
  </si>
  <si>
    <t>תוכנית פיתוח שנתית 2018 : מימוש - מחלקת נכסים וביטוח</t>
  </si>
  <si>
    <t>סה"כ מחלקת נכסים וביטוח</t>
  </si>
  <si>
    <t>סה"כ שיפוץ חזיתות/בתים עמידר</t>
  </si>
  <si>
    <t xml:space="preserve">אגף תקשוב ומע. מידע </t>
  </si>
  <si>
    <t>תקצוב תב"רים שאושרו במועצה מעבר לתוכנית הפיתוח השנתית 2018</t>
  </si>
  <si>
    <t xml:space="preserve">הפרויקטים הבולטים לשנת 2019 הינם :   </t>
  </si>
  <si>
    <t>פיתוח מתחם נוריות.</t>
  </si>
  <si>
    <t xml:space="preserve">פיתוח קמפוס יד גיורא. </t>
  </si>
  <si>
    <t xml:space="preserve">תרבות הדיור </t>
  </si>
  <si>
    <t xml:space="preserve">ראה פרוט נוסף בעמוד 15 </t>
  </si>
  <si>
    <t xml:space="preserve">אגף נכסים וביטוח </t>
  </si>
  <si>
    <t xml:space="preserve">אגף תקשוב ומערכות מידע </t>
  </si>
  <si>
    <t>תרבות הדיור (764)</t>
  </si>
  <si>
    <t>מינהל הנדסה : תאור הפרויקטים</t>
  </si>
  <si>
    <t>תוכנית פיתוח שנתית 2018 : מימוש - החברה לפיתוח הרצליה</t>
  </si>
  <si>
    <t>השלמת עבודות במתחם.</t>
  </si>
  <si>
    <t>פיתוח שביל כניסה והסדרת גישה לבתים.</t>
  </si>
  <si>
    <t>פיתוח תשתיות.</t>
  </si>
  <si>
    <t>השלמת חיבור כניסה מכביש 2 לרח' החרש.</t>
  </si>
  <si>
    <t>הסדרת ניקוז בצומת הרחובות.</t>
  </si>
  <si>
    <t>שיפוץ הספרייה בבי"ס היובל. מימון תרומה.</t>
  </si>
  <si>
    <t>הכשרת סינמטק בבניין העיריה החדש.</t>
  </si>
  <si>
    <t>תכנון מבנה מעונות לסטודנטים ברח' בן שפרוט.</t>
  </si>
  <si>
    <t>תוספת קומה בביכנ"ס אור זרוע ברח' אבן עזרא.</t>
  </si>
  <si>
    <t>הקמת מועדון טלויזיה קהילתית במרכז יום לקשיש בצמרות.</t>
  </si>
  <si>
    <r>
      <rPr>
        <sz val="11"/>
        <rFont val="David"/>
        <family val="2"/>
      </rPr>
      <t>תכנון שיפוץ/הריסה ובניה מחדש של בי"ס.</t>
    </r>
    <r>
      <rPr>
        <sz val="11"/>
        <rFont val="David"/>
        <family val="2"/>
        <charset val="177"/>
      </rPr>
      <t xml:space="preserve">
ב - 2019 : תכנון</t>
    </r>
  </si>
  <si>
    <r>
      <t>סל עבודות</t>
    </r>
    <r>
      <rPr>
        <sz val="11"/>
        <color rgb="FFFF0000"/>
        <rFont val="David"/>
        <family val="2"/>
      </rPr>
      <t xml:space="preserve"> </t>
    </r>
    <r>
      <rPr>
        <sz val="11"/>
        <rFont val="David"/>
        <family val="2"/>
      </rPr>
      <t>לשדרוג במרחב הציבורי כולל ריהוט רחוב באיזור התעשיה.</t>
    </r>
  </si>
  <si>
    <t xml:space="preserve">בניית אולם ספורט חדש בחטיבה. </t>
  </si>
  <si>
    <r>
      <t>בניית מתנ"ס חדש בשכונה.</t>
    </r>
    <r>
      <rPr>
        <sz val="11"/>
        <color rgb="FFFF0000"/>
        <rFont val="David"/>
        <family val="2"/>
      </rPr>
      <t xml:space="preserve"> </t>
    </r>
  </si>
  <si>
    <t xml:space="preserve"> תכנון בניית מתנ"ס חדש בשכונת נווה עמל, פיתוח מגרשי טניס.</t>
  </si>
  <si>
    <t>השקעה בתשתיות ובמערכות מיכון בחניונים ברחבי העיר.</t>
  </si>
  <si>
    <t>החברה לפיתוח  הרצליה : תאור הפרויקטים</t>
  </si>
  <si>
    <t>תאור הפרויקטים מובא בעמודים 68-72</t>
  </si>
  <si>
    <t>שיפוצים שונים מוס"ח</t>
  </si>
  <si>
    <t>סל להקמת מערכות בטחוניות.</t>
  </si>
  <si>
    <t>התקציב מיועד ברובו לשדרוג מקלטים ציבוריים והקמת חפ"ק עירוני חדש.</t>
  </si>
  <si>
    <t>ובהצטיידות מוסדות חינוך חדשים ולאחר שיפוץ.</t>
  </si>
  <si>
    <t xml:space="preserve">התקציב מיועד לפרויקטים של שיגור לוויין, השקעה במרחבי למידה </t>
  </si>
  <si>
    <t>בניית מרחבי למידה  ב - 30 בי"ס לפי אומדן ממוצע של 50 אלפי ₪ לבי"ס בשנים 2019 -2020.יתכן השתתפות מ. החינוך.</t>
  </si>
  <si>
    <t>17-36</t>
  </si>
  <si>
    <t>37-60</t>
  </si>
  <si>
    <t>61-72</t>
  </si>
  <si>
    <t>73-74</t>
  </si>
  <si>
    <t>75-77</t>
  </si>
  <si>
    <t>78-79</t>
  </si>
  <si>
    <t xml:space="preserve">אגף נכסים וביטוח         </t>
  </si>
  <si>
    <t>סככות הצללה בגני משחקים , שדרוג וטיפול המרחב הציבורי ,</t>
  </si>
  <si>
    <t xml:space="preserve">שיקום ושדרוג גינות ציבוריות כולל  הנגשה, שדרוג מע. השקייה, מתקני משחק. </t>
  </si>
  <si>
    <t xml:space="preserve">פרויקט השכרת אופניים , הקמת פינות מיחזור, </t>
  </si>
  <si>
    <t>הסדרה נופית של דרכים ושל שטחי מוס"ח.</t>
  </si>
  <si>
    <t xml:space="preserve">פרויקט שיפוצי חזיתות בתים במסגרת אגודת תרבות הדיור. </t>
  </si>
  <si>
    <t>מרבית הפרויקטים של האגף הינם פיצויי הפקעה. פרויקטים אלו נמשכים זמן רב</t>
  </si>
  <si>
    <r>
      <t>קיריית החינוך ( מגרש 406)-</t>
    </r>
    <r>
      <rPr>
        <b/>
        <sz val="11"/>
        <rFont val="David"/>
        <family val="2"/>
      </rPr>
      <t xml:space="preserve">ספריה, מרכז קהילתי </t>
    </r>
  </si>
  <si>
    <t xml:space="preserve">פיתוח מתחם גליל ים הר' 1985 א' </t>
  </si>
  <si>
    <r>
      <rPr>
        <strike/>
        <sz val="11"/>
        <rFont val="David"/>
        <family val="2"/>
      </rPr>
      <t>כיתות גן  5</t>
    </r>
    <r>
      <rPr>
        <sz val="11"/>
        <rFont val="David"/>
        <family val="2"/>
        <charset val="177"/>
      </rPr>
      <t xml:space="preserve"> שטח 408 גליל ים ב'-</t>
    </r>
    <r>
      <rPr>
        <b/>
        <sz val="11"/>
        <rFont val="David"/>
        <family val="2"/>
      </rPr>
      <t xml:space="preserve">גנ"י, בי"ס, ספריה </t>
    </r>
  </si>
  <si>
    <t>אגף ת.ב.ל : תאר הפרויקטים</t>
  </si>
  <si>
    <t>אגף ש.א.י.פ.ה : תאור הפרויקטים</t>
  </si>
  <si>
    <t>פיתוח מתחם המכללות הר' 1920/1 .</t>
  </si>
  <si>
    <t>פרויקטים שהיקפם עולה על 14,750 אלפי ₪ בביצוע החברה לפיתוח הרצליה.</t>
  </si>
  <si>
    <t>ערך הסף נכון להיום עומד על יותר מ  - 14,750 אלפי ₪.</t>
  </si>
  <si>
    <t xml:space="preserve">סך התקציב הנדרש בשנת 2019 ע"י מינהל הנדסה מסתכם ב - </t>
  </si>
  <si>
    <t>עדכון שם תב"ר : מסומן (*)</t>
  </si>
  <si>
    <t>עירונית במרכז העיר ובשכונות.</t>
  </si>
  <si>
    <r>
      <t xml:space="preserve">תב"ר 1759 : תוכנית אסטרטגית להתייעלות עירונית במרכז העיר - </t>
    </r>
    <r>
      <rPr>
        <b/>
        <sz val="12"/>
        <color theme="1"/>
        <rFont val="David"/>
        <family val="2"/>
      </rPr>
      <t xml:space="preserve">תוכנית אסטרטגית להתייעלות </t>
    </r>
  </si>
  <si>
    <t>התעשייה.</t>
  </si>
  <si>
    <r>
      <t xml:space="preserve">תב"ר 1760 : תוכנית אסטרטגית להתייעלות עירונית באיזור התעשייה - </t>
    </r>
    <r>
      <rPr>
        <b/>
        <sz val="12"/>
        <color theme="1"/>
        <rFont val="David"/>
        <family val="2"/>
      </rPr>
      <t xml:space="preserve">תוכנית אסטרטגית באיזור </t>
    </r>
  </si>
  <si>
    <t>תאור הפרויקטים מובא בעמודים 36 -28</t>
  </si>
  <si>
    <t>פינוי בינוי סוקולוב - רח' ירושלים</t>
  </si>
  <si>
    <t>פיתוח מתחם רזיאל מע' תב"ע 1706</t>
  </si>
  <si>
    <t>אוצר הצמחים ,הראשונים ואבן אודם</t>
  </si>
  <si>
    <t>צומת הרב גורן מוהליבר - בטיחות</t>
  </si>
  <si>
    <t>צומת השרון בר אילן -בטיחות</t>
  </si>
  <si>
    <t>תכנון כולל לסוגיית חיזוק הקשר בין מזרח העיר למערבה באמצעות תוספות של גשרים להולכי רגל ורכב דו גלגלי.</t>
  </si>
  <si>
    <t>הסדרת שבילי גישה רגלית וכניסת כלי רכב לחניות,שביל פינוי אשפה,פיתוח כולל גינון ותאורה</t>
  </si>
  <si>
    <t>הסדרת שבילי גישה רגלית וכניסת כלי רכב לחניות,שביל פינוי אשפה,פיתוח כולל גינון ותאורה.</t>
  </si>
  <si>
    <t>הגדלת קו הניקוז ברח' דוד המלך בקטע קרן היסוד - מדינת היהודים בתאום עם עבודות מים וביוב של תאגיד המים.</t>
  </si>
  <si>
    <t>עפ"י תיקון לחוק הרשויות, נדרש לבצע סקר חריגות בניה.</t>
  </si>
  <si>
    <t>סקר חריגות בניה ברחבי העיר</t>
  </si>
  <si>
    <t>בהמשך לסקר חריגות בניה, הרשות נדרשת לבצע צווים שיפוטיים ולבצע הריסות במקרים בהם לא בוצעו.</t>
  </si>
  <si>
    <t>שינוי לתוכנית הר' 1985 ב' עקב ריבוי י"ד והצורך לספק שטחים ציבוריים בגינם.</t>
  </si>
  <si>
    <t>תוכנית לצורך מידע מה וכמה ניתן לבנות  בהתאם לתשתיות הקיימות במרכז ותוכנית לבחינת הנדרש לאוכלוסיה בשכונות עפ"י תחזיות גידול האוכלוסיה.</t>
  </si>
  <si>
    <t>בדיקת התכנות והכנת תב"עות של מתחמים מפוצלים בין מס' בעלים באיזהת"ש החשובים מבחינה ציבורית.</t>
  </si>
  <si>
    <t>תכנון החניון מתחת לשצ"פ במתחם המרינה לי.</t>
  </si>
  <si>
    <t>תכנון פיתוח רחוב הפרטיזנים.</t>
  </si>
  <si>
    <t>תכנון פיתוח מתחם שיכון דרום.</t>
  </si>
  <si>
    <t>תכנון פיתוח הרחובות הר מירון בר כוכבא בעקבות אישור תוכנית התחדשות עירונית.</t>
  </si>
  <si>
    <t>תאור הפרויקטים מובא בעמודים 50-60</t>
  </si>
  <si>
    <t>מערכת כבישים ותשתיות אזתע"ש מערבי</t>
  </si>
  <si>
    <t>פיתוח רח' צ.ה.ל</t>
  </si>
  <si>
    <t>הקמת אולם ספורט - הנגיד והנדיב</t>
  </si>
  <si>
    <t>סינמטק בבנין העיריה החדש</t>
  </si>
  <si>
    <r>
      <t>מערכת כבישים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  <charset val="177"/>
      </rPr>
      <t xml:space="preserve">  באזור תעשייה מערבי </t>
    </r>
  </si>
  <si>
    <t>שדרוג כבישים מדרכות ,תשתיות</t>
  </si>
  <si>
    <t>(3) גנ"י מדעיים באלתרמן</t>
  </si>
  <si>
    <t>(3) גנ"י  במתחם אלתרמן</t>
  </si>
  <si>
    <t>יתרת עבודות השלמה שינויים קומה 4  ומחלקת הגיל הרך.</t>
  </si>
  <si>
    <r>
      <t>המשך עבודות פיתוח רחוב צ.ה.ל כולל סובה להורדת והעלאת תלמידים ליד ביה"ס.</t>
    </r>
    <r>
      <rPr>
        <sz val="11"/>
        <color rgb="FFFF0000"/>
        <rFont val="David"/>
        <family val="2"/>
      </rPr>
      <t xml:space="preserve"> </t>
    </r>
  </si>
  <si>
    <t>תכנון בניית מתנ"ס חדש בשכונת נווה עמל, פיתוח מגרשי טניס.</t>
  </si>
  <si>
    <r>
      <t>עבודות בניה ופיתוח גנ"י ילדים מדעיים באלתרמן.</t>
    </r>
    <r>
      <rPr>
        <sz val="11"/>
        <color rgb="FFFF0000"/>
        <rFont val="David"/>
        <family val="2"/>
      </rPr>
      <t xml:space="preserve"> </t>
    </r>
  </si>
  <si>
    <t>עבודות הכשרת החוף הנפרד, מעברים ושיפוץ כולל גשר מעבר.</t>
  </si>
  <si>
    <t>התקנה שדרוג מזגנים במוסדות העיריה</t>
  </si>
  <si>
    <t>איטום גגות (מוס"ח,מוסדות עיריה)</t>
  </si>
  <si>
    <t>עבודות שיפוץ כללי למשרדי האגפים כולל חדר ישיבות.</t>
  </si>
  <si>
    <r>
      <t xml:space="preserve">פרויקט </t>
    </r>
    <r>
      <rPr>
        <strike/>
        <sz val="11"/>
        <rFont val="David"/>
        <family val="2"/>
      </rPr>
      <t xml:space="preserve">לווין משותף הרצליה שער הנגב </t>
    </r>
    <r>
      <rPr>
        <b/>
        <sz val="11"/>
        <rFont val="David"/>
        <family val="2"/>
      </rPr>
      <t>(*)  שיגור לווין דוכיפת 3 עדכון שם</t>
    </r>
  </si>
  <si>
    <t>ב-2019 צפויים להפתח 3 גנים (כולל ח"מ 1). מימון מ. החינוך.</t>
  </si>
  <si>
    <t>הקמה ושיפוץ רצפות פרקט באולמות הספורט, סירות מועדון הימי, מקרן לסינמטק.</t>
  </si>
  <si>
    <t xml:space="preserve">מערכות הקרנה דיגיטליות, באמצעות מקרןdcp, במטרה לאפשר הקרנת סרטים בשיטה חדשנית שתגרום להרחבת היצע התכנים לקהל. </t>
  </si>
  <si>
    <t>סל עבודות איטום מקלטים  עפ"י תוכנית.</t>
  </si>
  <si>
    <t>המשך חידוש ציפוי מגרשי הספורט לפי התוכנית השנתית.</t>
  </si>
  <si>
    <t>עבודות נגישות לאנשים עם מוגבלויות, מדידות נכסים ובדיקות נכסים לצורך גביית היטלי פיתוח,</t>
  </si>
  <si>
    <t>היקפי פרויקט מעל 14,750,000 ₪</t>
  </si>
  <si>
    <t>עירית הרצליה/המינהל הכספי - אגף חוזים ותב"ר</t>
  </si>
  <si>
    <t>80-90</t>
  </si>
  <si>
    <t>91-93</t>
  </si>
  <si>
    <t>94-95</t>
  </si>
  <si>
    <t>96-99</t>
  </si>
  <si>
    <t>100-102</t>
  </si>
  <si>
    <t>103-105</t>
  </si>
  <si>
    <t>106-138</t>
  </si>
  <si>
    <t>139-140</t>
  </si>
  <si>
    <t xml:space="preserve">דו"ח מפורט מובא בעמודים  106-138 </t>
  </si>
  <si>
    <t>פרוט הפרויקטים מובא בעמוד 140 - 139</t>
  </si>
  <si>
    <t>תאור הפרויקטים מובא בעמודים 86-90</t>
  </si>
  <si>
    <t>119 - 117</t>
  </si>
  <si>
    <t>111 - 108</t>
  </si>
  <si>
    <t>116 - 112</t>
  </si>
  <si>
    <t>124 - 123</t>
  </si>
  <si>
    <t>126 - 125</t>
  </si>
  <si>
    <t>138 - 133</t>
  </si>
  <si>
    <t>טבת תשע"ט , דצמבר 2018</t>
  </si>
  <si>
    <r>
      <t>סל עבודות</t>
    </r>
    <r>
      <rPr>
        <sz val="11"/>
        <color rgb="FFFF0000"/>
        <rFont val="David"/>
        <family val="2"/>
      </rPr>
      <t xml:space="preserve"> </t>
    </r>
    <r>
      <rPr>
        <sz val="11"/>
        <rFont val="David"/>
        <family val="2"/>
      </rPr>
      <t>לשדרוג המרחב הציבורי כולל ריהוט רחוב באיזור התעשיה.</t>
    </r>
  </si>
  <si>
    <t>הקמה ושיפוץ רצפות פרקט:אולם ראשונים אולם אילנות. ב - 2019 :אולמות אלון ורעות, סמדר והיובל.</t>
  </si>
  <si>
    <t>שיפוץ חזיתות בתים כולל: פיתוח חצרות, חדרי מדרגות, מעלית (רכוש משותף).בשיתוף האגודה לתרבות הדיור.</t>
  </si>
  <si>
    <t>קידום אמנת ברית ערים כתוכנית המשך לתוכנית להפחתת פליטות של פורום ה-15.</t>
  </si>
  <si>
    <t xml:space="preserve">סל עבודות פיתוח והיערכות לקראת פתיחת עונת הרחצה ובמהלכה. </t>
  </si>
  <si>
    <t>פרויקט : הקמת מרכז שליטה ובקרה עירוני - "עיר חכמה"</t>
  </si>
  <si>
    <r>
      <t xml:space="preserve">תב"ר 2073 : אולם ספורט ויצמן תכנון - </t>
    </r>
    <r>
      <rPr>
        <b/>
        <sz val="12"/>
        <color theme="1"/>
        <rFont val="David"/>
        <family val="2"/>
      </rPr>
      <t>אולם ספורט ויצמן תכנון וביצוע.</t>
    </r>
  </si>
  <si>
    <r>
      <t xml:space="preserve">תב"ר 1827 : פארק גליל ים שלב א' - </t>
    </r>
    <r>
      <rPr>
        <b/>
        <sz val="12"/>
        <color theme="1"/>
        <rFont val="David"/>
        <family val="2"/>
      </rPr>
      <t>פארק גליל ים.</t>
    </r>
  </si>
  <si>
    <r>
      <t xml:space="preserve">תב"ר 1909 : כיתות גן 5 שטח 408 גליל ים ב' - </t>
    </r>
    <r>
      <rPr>
        <b/>
        <sz val="12"/>
        <color theme="1"/>
        <rFont val="David"/>
        <family val="2"/>
      </rPr>
      <t>שטח 408 גליל ים ב' -גנ"י, בי"ס ,ספריה.</t>
    </r>
  </si>
  <si>
    <r>
      <t xml:space="preserve">תב"ר 1912 : קרית חינוך מגרש 406  - </t>
    </r>
    <r>
      <rPr>
        <b/>
        <sz val="12"/>
        <color theme="1"/>
        <rFont val="David"/>
        <family val="2"/>
      </rPr>
      <t>קרית חינוך מגרש 406 ספריה, מרכז קהילתי.</t>
    </r>
  </si>
  <si>
    <t xml:space="preserve">סירות מתקנים מועדון ימי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</si>
</sst>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#0"/>
    <numFmt numFmtId="165" formatCode="0.0%"/>
    <numFmt numFmtId="166" formatCode="_ * #,##0_ ;_ * \-#,##0_ ;_ * &quot;-&quot;??_ ;_ @_ "/>
    <numFmt numFmtId="167" formatCode="mmmm\ yyyy"/>
  </numFmts>
  <fonts count="75">
    <font>
      <sz val="10"/>
      <name val="Arial"/>
      <charset val="177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4"/>
      <name val="David"/>
      <family val="2"/>
      <charset val="177"/>
    </font>
    <font>
      <b/>
      <sz val="11"/>
      <name val="David"/>
      <family val="2"/>
      <charset val="177"/>
    </font>
    <font>
      <sz val="11"/>
      <name val="David"/>
      <family val="2"/>
      <charset val="177"/>
    </font>
    <font>
      <sz val="8"/>
      <color rgb="FF000000"/>
      <name val="Tahoma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sz val="10"/>
      <name val="Arial"/>
      <family val="2"/>
      <scheme val="minor"/>
    </font>
    <font>
      <sz val="10"/>
      <name val="Arial"/>
      <family val="2"/>
    </font>
    <font>
      <b/>
      <u/>
      <sz val="18"/>
      <name val="David"/>
      <family val="2"/>
      <charset val="177"/>
    </font>
    <font>
      <b/>
      <u/>
      <sz val="14"/>
      <name val="David"/>
      <family val="2"/>
      <charset val="177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rgb="FFFF0000"/>
      <name val="David"/>
      <family val="2"/>
      <charset val="177"/>
    </font>
    <font>
      <sz val="11"/>
      <color rgb="FFFF0000"/>
      <name val="David"/>
      <family val="2"/>
      <charset val="177"/>
    </font>
    <font>
      <b/>
      <sz val="11"/>
      <color theme="1"/>
      <name val="Arial"/>
      <family val="2"/>
      <charset val="177"/>
      <scheme val="minor"/>
    </font>
    <font>
      <strike/>
      <sz val="11"/>
      <name val="David"/>
      <family val="2"/>
      <charset val="177"/>
    </font>
    <font>
      <sz val="10"/>
      <name val="Arial"/>
      <family val="2"/>
    </font>
    <font>
      <sz val="11"/>
      <name val="David"/>
      <family val="2"/>
    </font>
    <font>
      <b/>
      <sz val="11"/>
      <name val="David"/>
      <family val="2"/>
    </font>
    <font>
      <b/>
      <sz val="12"/>
      <name val="David"/>
      <family val="2"/>
    </font>
    <font>
      <sz val="12"/>
      <name val="David"/>
      <family val="2"/>
    </font>
    <font>
      <sz val="11"/>
      <color rgb="FF000000"/>
      <name val="Nachlieli CLM"/>
      <family val="2"/>
      <charset val="1"/>
    </font>
    <font>
      <sz val="11"/>
      <name val="David"/>
      <family val="2"/>
      <charset val="1"/>
    </font>
    <font>
      <sz val="9"/>
      <color rgb="FF000000"/>
      <name val="Nachlieli CLM"/>
      <family val="2"/>
      <charset val="1"/>
    </font>
    <font>
      <sz val="9"/>
      <color rgb="FF000000"/>
      <name val="Arial"/>
      <family val="2"/>
      <charset val="177"/>
    </font>
    <font>
      <sz val="8"/>
      <color theme="1"/>
      <name val="Andale WT"/>
      <family val="2"/>
    </font>
    <font>
      <b/>
      <u/>
      <sz val="16"/>
      <name val="David"/>
      <family val="2"/>
      <charset val="177"/>
    </font>
    <font>
      <b/>
      <u/>
      <sz val="16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sz val="12"/>
      <color theme="1"/>
      <name val="Wingdings"/>
      <charset val="2"/>
    </font>
    <font>
      <strike/>
      <sz val="12"/>
      <color theme="1"/>
      <name val="Times New Roman"/>
      <family val="1"/>
    </font>
    <font>
      <sz val="14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4"/>
      <color theme="1"/>
      <name val="Arial"/>
      <family val="2"/>
      <charset val="177"/>
      <scheme val="minor"/>
    </font>
    <font>
      <u val="singleAccounting"/>
      <sz val="12"/>
      <color theme="1"/>
      <name val="David"/>
      <family val="2"/>
      <charset val="177"/>
    </font>
    <font>
      <b/>
      <u val="doubleAccounting"/>
      <sz val="12"/>
      <color theme="1"/>
      <name val="David"/>
      <family val="2"/>
      <charset val="177"/>
    </font>
    <font>
      <b/>
      <sz val="11"/>
      <color theme="1"/>
      <name val="Arial"/>
      <family val="2"/>
      <scheme val="minor"/>
    </font>
    <font>
      <b/>
      <sz val="18"/>
      <color rgb="FFFF0000"/>
      <name val="David"/>
      <family val="2"/>
      <charset val="177"/>
    </font>
    <font>
      <b/>
      <u/>
      <sz val="36"/>
      <color theme="1"/>
      <name val="David"/>
      <family val="2"/>
      <charset val="177"/>
    </font>
    <font>
      <b/>
      <strike/>
      <sz val="11"/>
      <name val="David"/>
      <family val="2"/>
    </font>
    <font>
      <b/>
      <sz val="12"/>
      <color theme="1"/>
      <name val="David"/>
      <family val="2"/>
    </font>
    <font>
      <b/>
      <sz val="12"/>
      <color rgb="FFFF0000"/>
      <name val="David"/>
      <family val="2"/>
      <charset val="177"/>
    </font>
    <font>
      <b/>
      <sz val="12"/>
      <color rgb="FFFF0000"/>
      <name val="David"/>
      <family val="2"/>
    </font>
    <font>
      <b/>
      <sz val="11"/>
      <color rgb="FF000000"/>
      <name val="Nachlieli CLM"/>
      <family val="2"/>
      <charset val="1"/>
    </font>
    <font>
      <b/>
      <sz val="12"/>
      <color theme="1"/>
      <name val="Arial"/>
      <family val="2"/>
      <charset val="177"/>
      <scheme val="minor"/>
    </font>
    <font>
      <sz val="11"/>
      <color theme="1"/>
      <name val="Wingdings"/>
      <charset val="2"/>
    </font>
    <font>
      <sz val="12"/>
      <color theme="1"/>
      <name val="David"/>
      <family val="2"/>
    </font>
    <font>
      <sz val="11"/>
      <color rgb="FFFF0000"/>
      <name val="David"/>
      <family val="2"/>
    </font>
    <font>
      <strike/>
      <sz val="11"/>
      <name val="David"/>
      <family val="2"/>
    </font>
    <font>
      <b/>
      <u/>
      <sz val="11"/>
      <name val="David"/>
      <family val="2"/>
      <charset val="177"/>
    </font>
    <font>
      <b/>
      <sz val="18"/>
      <color theme="1"/>
      <name val="David"/>
      <family val="2"/>
    </font>
    <font>
      <b/>
      <u/>
      <sz val="18"/>
      <name val="David"/>
      <family val="2"/>
    </font>
    <font>
      <b/>
      <sz val="14"/>
      <name val="David"/>
      <family val="2"/>
    </font>
    <font>
      <b/>
      <sz val="16"/>
      <color theme="1"/>
      <name val="David"/>
      <family val="2"/>
    </font>
    <font>
      <b/>
      <sz val="16"/>
      <color theme="1"/>
      <name val="Arial"/>
      <family val="2"/>
      <scheme val="minor"/>
    </font>
    <font>
      <b/>
      <u/>
      <sz val="12"/>
      <color theme="1"/>
      <name val="David"/>
      <family val="2"/>
    </font>
    <font>
      <b/>
      <u/>
      <sz val="18"/>
      <color rgb="FF000000"/>
      <name val="David"/>
      <family val="2"/>
    </font>
    <font>
      <b/>
      <u/>
      <sz val="11"/>
      <color theme="1"/>
      <name val="Arial"/>
      <family val="2"/>
      <scheme val="minor"/>
    </font>
    <font>
      <b/>
      <sz val="11"/>
      <color theme="1"/>
      <name val="Wingdings"/>
      <charset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1">
    <xf numFmtId="0" fontId="0" fillId="0" borderId="0"/>
    <xf numFmtId="0" fontId="13" fillId="0" borderId="0"/>
    <xf numFmtId="0" fontId="20" fillId="0" borderId="0">
      <alignment vertical="top"/>
    </xf>
    <xf numFmtId="0" fontId="13" fillId="2" borderId="1" applyNumberFormat="0" applyFont="0" applyAlignment="0" applyProtection="0"/>
    <xf numFmtId="0" fontId="21" fillId="0" borderId="0"/>
    <xf numFmtId="0" fontId="12" fillId="0" borderId="0"/>
    <xf numFmtId="0" fontId="12" fillId="0" borderId="0"/>
    <xf numFmtId="0" fontId="12" fillId="2" borderId="1" applyNumberFormat="0" applyFont="0" applyAlignment="0" applyProtection="0"/>
    <xf numFmtId="0" fontId="12" fillId="2" borderId="1" applyNumberFormat="0" applyFont="0" applyAlignment="0" applyProtection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1" fillId="0" borderId="0"/>
    <xf numFmtId="43" fontId="30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10" fillId="0" borderId="0"/>
    <xf numFmtId="0" fontId="21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9" fillId="0" borderId="0"/>
    <xf numFmtId="43" fontId="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4" fillId="0" borderId="0"/>
    <xf numFmtId="0" fontId="3" fillId="0" borderId="0"/>
  </cellStyleXfs>
  <cellXfs count="744">
    <xf numFmtId="0" fontId="0" fillId="0" borderId="0" xfId="0"/>
    <xf numFmtId="0" fontId="16" fillId="0" borderId="0" xfId="0" applyFont="1" applyFill="1" applyAlignment="1">
      <alignment wrapText="1"/>
    </xf>
    <xf numFmtId="3" fontId="15" fillId="0" borderId="2" xfId="4" applyNumberFormat="1" applyFont="1" applyBorder="1" applyAlignment="1">
      <alignment horizontal="right" vertical="center" wrapText="1"/>
    </xf>
    <xf numFmtId="0" fontId="16" fillId="0" borderId="2" xfId="4" applyFont="1" applyFill="1" applyBorder="1" applyAlignment="1">
      <alignment vertical="center" wrapText="1"/>
    </xf>
    <xf numFmtId="3" fontId="16" fillId="0" borderId="2" xfId="4" applyNumberFormat="1" applyFont="1" applyFill="1" applyBorder="1" applyAlignment="1">
      <alignment vertical="center" wrapText="1"/>
    </xf>
    <xf numFmtId="0" fontId="16" fillId="0" borderId="0" xfId="4" applyFont="1" applyFill="1" applyAlignment="1">
      <alignment vertical="center" wrapText="1"/>
    </xf>
    <xf numFmtId="0" fontId="15" fillId="0" borderId="0" xfId="4" applyFont="1" applyFill="1" applyAlignment="1">
      <alignment vertical="center" wrapText="1"/>
    </xf>
    <xf numFmtId="0" fontId="18" fillId="0" borderId="0" xfId="4" applyFont="1" applyFill="1" applyAlignment="1">
      <alignment vertical="center" wrapText="1"/>
    </xf>
    <xf numFmtId="0" fontId="15" fillId="0" borderId="2" xfId="4" applyFont="1" applyBorder="1" applyAlignment="1">
      <alignment horizontal="right" vertical="center" wrapText="1"/>
    </xf>
    <xf numFmtId="0" fontId="15" fillId="0" borderId="2" xfId="4" applyFont="1" applyFill="1" applyBorder="1" applyAlignment="1">
      <alignment vertical="center" wrapText="1"/>
    </xf>
    <xf numFmtId="3" fontId="15" fillId="0" borderId="2" xfId="4" applyNumberFormat="1" applyFont="1" applyFill="1" applyBorder="1" applyAlignment="1">
      <alignment vertical="center" wrapText="1"/>
    </xf>
    <xf numFmtId="3" fontId="15" fillId="0" borderId="2" xfId="4" applyNumberFormat="1" applyFont="1" applyFill="1" applyBorder="1" applyAlignment="1">
      <alignment horizontal="right" vertical="center" wrapText="1"/>
    </xf>
    <xf numFmtId="3" fontId="16" fillId="0" borderId="4" xfId="4" applyNumberFormat="1" applyFont="1" applyFill="1" applyBorder="1" applyAlignment="1">
      <alignment vertical="center" wrapText="1"/>
    </xf>
    <xf numFmtId="3" fontId="19" fillId="0" borderId="2" xfId="4" applyNumberFormat="1" applyFont="1" applyFill="1" applyBorder="1" applyAlignment="1">
      <alignment vertical="center" wrapText="1"/>
    </xf>
    <xf numFmtId="3" fontId="18" fillId="0" borderId="2" xfId="4" applyNumberFormat="1" applyFont="1" applyFill="1" applyBorder="1" applyAlignment="1">
      <alignment vertical="center" wrapText="1"/>
    </xf>
    <xf numFmtId="0" fontId="16" fillId="0" borderId="0" xfId="4" applyFont="1" applyFill="1"/>
    <xf numFmtId="3" fontId="16" fillId="0" borderId="0" xfId="4" applyNumberFormat="1" applyFont="1" applyFill="1" applyAlignment="1">
      <alignment horizontal="center" vertical="center"/>
    </xf>
    <xf numFmtId="3" fontId="16" fillId="0" borderId="0" xfId="4" applyNumberFormat="1" applyFont="1" applyFill="1"/>
    <xf numFmtId="3" fontId="15" fillId="0" borderId="2" xfId="0" applyNumberFormat="1" applyFont="1" applyFill="1" applyBorder="1" applyAlignment="1">
      <alignment horizontal="right" vertical="center" wrapText="1"/>
    </xf>
    <xf numFmtId="0" fontId="15" fillId="0" borderId="2" xfId="4" applyFont="1" applyFill="1" applyBorder="1" applyAlignment="1">
      <alignment horizontal="right" vertical="center" wrapText="1"/>
    </xf>
    <xf numFmtId="0" fontId="16" fillId="0" borderId="0" xfId="4" applyFont="1" applyFill="1" applyBorder="1"/>
    <xf numFmtId="0" fontId="16" fillId="0" borderId="0" xfId="4" applyFont="1" applyFill="1" applyAlignment="1">
      <alignment wrapText="1"/>
    </xf>
    <xf numFmtId="165" fontId="16" fillId="0" borderId="0" xfId="4" applyNumberFormat="1" applyFont="1" applyFill="1"/>
    <xf numFmtId="3" fontId="19" fillId="0" borderId="2" xfId="4" applyNumberFormat="1" applyFont="1" applyFill="1" applyBorder="1" applyAlignment="1">
      <alignment horizontal="right" vertical="center" wrapText="1"/>
    </xf>
    <xf numFmtId="3" fontId="16" fillId="0" borderId="2" xfId="4" applyNumberFormat="1" applyFont="1" applyFill="1" applyBorder="1"/>
    <xf numFmtId="0" fontId="15" fillId="0" borderId="2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right" vertical="center" wrapText="1"/>
    </xf>
    <xf numFmtId="3" fontId="16" fillId="0" borderId="0" xfId="4" applyNumberFormat="1" applyFont="1" applyFill="1" applyBorder="1"/>
    <xf numFmtId="0" fontId="16" fillId="0" borderId="0" xfId="4" applyNumberFormat="1" applyFont="1" applyFill="1"/>
    <xf numFmtId="3" fontId="15" fillId="0" borderId="0" xfId="4" applyNumberFormat="1" applyFont="1" applyFill="1" applyAlignment="1">
      <alignment vertical="center" wrapText="1"/>
    </xf>
    <xf numFmtId="3" fontId="16" fillId="0" borderId="0" xfId="4" applyNumberFormat="1" applyFont="1" applyFill="1" applyBorder="1" applyAlignment="1">
      <alignment vertical="center" wrapText="1"/>
    </xf>
    <xf numFmtId="0" fontId="16" fillId="0" borderId="0" xfId="4" applyFont="1" applyFill="1" applyBorder="1" applyAlignment="1">
      <alignment vertical="center" wrapText="1"/>
    </xf>
    <xf numFmtId="3" fontId="15" fillId="0" borderId="0" xfId="4" applyNumberFormat="1" applyFont="1" applyFill="1" applyBorder="1" applyAlignment="1">
      <alignment vertical="center" wrapText="1"/>
    </xf>
    <xf numFmtId="0" fontId="14" fillId="0" borderId="0" xfId="4" applyFont="1" applyFill="1" applyBorder="1"/>
    <xf numFmtId="0" fontId="15" fillId="0" borderId="0" xfId="4" applyFont="1" applyFill="1" applyBorder="1" applyAlignment="1">
      <alignment horizontal="right" vertical="center" wrapText="1"/>
    </xf>
    <xf numFmtId="164" fontId="17" fillId="0" borderId="0" xfId="4" applyNumberFormat="1" applyFont="1" applyFill="1" applyBorder="1" applyAlignment="1">
      <alignment vertical="top"/>
    </xf>
    <xf numFmtId="3" fontId="19" fillId="0" borderId="0" xfId="4" applyNumberFormat="1" applyFont="1" applyFill="1" applyBorder="1" applyAlignment="1">
      <alignment vertical="center" wrapText="1"/>
    </xf>
    <xf numFmtId="3" fontId="18" fillId="0" borderId="0" xfId="4" applyNumberFormat="1" applyFont="1" applyFill="1" applyBorder="1" applyAlignment="1">
      <alignment vertical="center" wrapText="1"/>
    </xf>
    <xf numFmtId="0" fontId="14" fillId="0" borderId="0" xfId="4" applyFont="1" applyFill="1" applyAlignment="1"/>
    <xf numFmtId="0" fontId="14" fillId="0" borderId="0" xfId="4" applyFont="1" applyFill="1"/>
    <xf numFmtId="0" fontId="16" fillId="0" borderId="0" xfId="4" applyFont="1" applyFill="1" applyAlignment="1"/>
    <xf numFmtId="3" fontId="15" fillId="0" borderId="0" xfId="4" applyNumberFormat="1" applyFont="1" applyFill="1" applyBorder="1" applyAlignment="1">
      <alignment horizontal="right" vertical="center" wrapText="1"/>
    </xf>
    <xf numFmtId="0" fontId="31" fillId="0" borderId="2" xfId="4" applyFont="1" applyFill="1" applyBorder="1" applyAlignment="1">
      <alignment vertical="center" wrapText="1"/>
    </xf>
    <xf numFmtId="3" fontId="16" fillId="0" borderId="0" xfId="4" applyNumberFormat="1" applyFont="1" applyFill="1" applyAlignment="1">
      <alignment vertical="center" wrapText="1"/>
    </xf>
    <xf numFmtId="0" fontId="32" fillId="0" borderId="2" xfId="4" applyFont="1" applyFill="1" applyBorder="1" applyAlignment="1">
      <alignment vertical="center" wrapText="1"/>
    </xf>
    <xf numFmtId="0" fontId="16" fillId="0" borderId="0" xfId="4" applyNumberFormat="1" applyFont="1" applyFill="1" applyBorder="1"/>
    <xf numFmtId="0" fontId="15" fillId="0" borderId="2" xfId="4" applyFont="1" applyFill="1" applyBorder="1" applyAlignment="1">
      <alignment horizontal="right" vertical="center"/>
    </xf>
    <xf numFmtId="0" fontId="27" fillId="0" borderId="2" xfId="4" applyFont="1" applyFill="1" applyBorder="1" applyAlignment="1">
      <alignment vertical="center" wrapText="1"/>
    </xf>
    <xf numFmtId="0" fontId="19" fillId="0" borderId="2" xfId="4" applyFont="1" applyFill="1" applyBorder="1" applyAlignment="1">
      <alignment vertical="center" wrapText="1"/>
    </xf>
    <xf numFmtId="0" fontId="16" fillId="0" borderId="0" xfId="4" applyFont="1" applyFill="1" applyBorder="1" applyAlignment="1">
      <alignment wrapText="1"/>
    </xf>
    <xf numFmtId="0" fontId="16" fillId="0" borderId="0" xfId="4" applyFont="1" applyFill="1" applyBorder="1" applyAlignment="1"/>
    <xf numFmtId="3" fontId="16" fillId="0" borderId="0" xfId="4" applyNumberFormat="1" applyFont="1" applyFill="1" applyBorder="1" applyAlignment="1">
      <alignment wrapText="1"/>
    </xf>
    <xf numFmtId="165" fontId="16" fillId="0" borderId="0" xfId="9" applyNumberFormat="1" applyFont="1" applyFill="1" applyBorder="1"/>
    <xf numFmtId="0" fontId="16" fillId="0" borderId="3" xfId="4" applyFont="1" applyFill="1" applyBorder="1" applyAlignment="1">
      <alignment vertical="center" wrapText="1"/>
    </xf>
    <xf numFmtId="0" fontId="15" fillId="0" borderId="6" xfId="0" applyFont="1" applyFill="1" applyBorder="1" applyAlignment="1">
      <alignment horizontal="right" vertical="center" wrapText="1"/>
    </xf>
    <xf numFmtId="0" fontId="15" fillId="0" borderId="6" xfId="4" applyFont="1" applyFill="1" applyBorder="1" applyAlignment="1">
      <alignment horizontal="right" vertical="center" wrapText="1"/>
    </xf>
    <xf numFmtId="0" fontId="19" fillId="0" borderId="0" xfId="4" applyFont="1" applyFill="1" applyAlignment="1">
      <alignment vertical="center" wrapText="1"/>
    </xf>
    <xf numFmtId="0" fontId="16" fillId="0" borderId="2" xfId="4" applyFont="1" applyFill="1" applyBorder="1"/>
    <xf numFmtId="0" fontId="16" fillId="0" borderId="6" xfId="4" applyFont="1" applyFill="1" applyBorder="1" applyAlignment="1">
      <alignment vertical="center" wrapText="1"/>
    </xf>
    <xf numFmtId="0" fontId="16" fillId="0" borderId="0" xfId="4" applyFont="1" applyFill="1" applyBorder="1" applyAlignment="1">
      <alignment vertical="center"/>
    </xf>
    <xf numFmtId="3" fontId="16" fillId="0" borderId="0" xfId="4" applyNumberFormat="1" applyFont="1" applyFill="1" applyAlignment="1">
      <alignment wrapText="1"/>
    </xf>
    <xf numFmtId="165" fontId="16" fillId="0" borderId="0" xfId="9" applyNumberFormat="1" applyFont="1" applyFill="1"/>
    <xf numFmtId="0" fontId="19" fillId="0" borderId="0" xfId="4" applyFont="1" applyFill="1" applyBorder="1" applyAlignment="1">
      <alignment vertical="center" wrapText="1"/>
    </xf>
    <xf numFmtId="3" fontId="15" fillId="0" borderId="0" xfId="4" applyNumberFormat="1" applyFont="1" applyFill="1" applyBorder="1" applyAlignment="1">
      <alignment wrapText="1"/>
    </xf>
    <xf numFmtId="0" fontId="15" fillId="0" borderId="0" xfId="4" applyFont="1" applyFill="1" applyBorder="1" applyAlignment="1">
      <alignment wrapText="1"/>
    </xf>
    <xf numFmtId="0" fontId="16" fillId="0" borderId="15" xfId="4" applyFont="1" applyFill="1" applyBorder="1" applyAlignment="1">
      <alignment wrapText="1"/>
    </xf>
    <xf numFmtId="0" fontId="14" fillId="0" borderId="0" xfId="4" applyNumberFormat="1" applyFont="1" applyFill="1" applyBorder="1"/>
    <xf numFmtId="0" fontId="16" fillId="0" borderId="0" xfId="4" applyNumberFormat="1" applyFont="1" applyFill="1" applyBorder="1" applyAlignment="1">
      <alignment vertical="center" wrapText="1"/>
    </xf>
    <xf numFmtId="0" fontId="16" fillId="0" borderId="0" xfId="4" applyNumberFormat="1" applyFont="1" applyFill="1" applyBorder="1" applyAlignment="1">
      <alignment wrapText="1"/>
    </xf>
    <xf numFmtId="0" fontId="15" fillId="0" borderId="0" xfId="4" applyNumberFormat="1" applyFont="1" applyFill="1" applyBorder="1" applyAlignment="1">
      <alignment wrapText="1"/>
    </xf>
    <xf numFmtId="164" fontId="16" fillId="0" borderId="0" xfId="4" applyNumberFormat="1" applyFont="1" applyFill="1" applyAlignment="1">
      <alignment vertical="center" wrapText="1"/>
    </xf>
    <xf numFmtId="0" fontId="22" fillId="0" borderId="0" xfId="4" applyFont="1" applyFill="1" applyBorder="1"/>
    <xf numFmtId="0" fontId="22" fillId="0" borderId="0" xfId="4" applyFont="1" applyFill="1" applyBorder="1" applyAlignment="1">
      <alignment horizontal="right" vertical="center" wrapText="1"/>
    </xf>
    <xf numFmtId="0" fontId="22" fillId="0" borderId="0" xfId="4" applyFont="1" applyFill="1" applyBorder="1" applyAlignment="1">
      <alignment horizontal="right" vertical="center"/>
    </xf>
    <xf numFmtId="0" fontId="22" fillId="0" borderId="0" xfId="4" applyFont="1" applyFill="1" applyBorder="1" applyAlignment="1">
      <alignment vertical="center"/>
    </xf>
    <xf numFmtId="0" fontId="19" fillId="0" borderId="2" xfId="4" applyFont="1" applyFill="1" applyBorder="1" applyAlignment="1">
      <alignment horizontal="right" vertical="center" wrapText="1"/>
    </xf>
    <xf numFmtId="0" fontId="19" fillId="0" borderId="2" xfId="4" applyFont="1" applyFill="1" applyBorder="1" applyAlignment="1">
      <alignment horizontal="center" vertical="center"/>
    </xf>
    <xf numFmtId="0" fontId="19" fillId="0" borderId="2" xfId="4" applyFont="1" applyFill="1" applyBorder="1"/>
    <xf numFmtId="0" fontId="19" fillId="0" borderId="0" xfId="4" applyFont="1" applyFill="1" applyBorder="1"/>
    <xf numFmtId="0" fontId="19" fillId="0" borderId="4" xfId="4" applyFont="1" applyFill="1" applyBorder="1" applyAlignment="1">
      <alignment horizontal="right" vertical="center" wrapText="1"/>
    </xf>
    <xf numFmtId="3" fontId="18" fillId="0" borderId="2" xfId="4" applyNumberFormat="1" applyFont="1" applyFill="1" applyBorder="1" applyAlignment="1">
      <alignment vertical="center"/>
    </xf>
    <xf numFmtId="3" fontId="18" fillId="0" borderId="0" xfId="4" applyNumberFormat="1" applyFont="1" applyFill="1" applyBorder="1" applyAlignment="1">
      <alignment vertical="center"/>
    </xf>
    <xf numFmtId="0" fontId="18" fillId="0" borderId="0" xfId="4" applyFont="1" applyFill="1" applyBorder="1" applyAlignment="1">
      <alignment vertical="center"/>
    </xf>
    <xf numFmtId="0" fontId="18" fillId="0" borderId="6" xfId="4" applyFont="1" applyFill="1" applyBorder="1" applyAlignment="1">
      <alignment vertical="center"/>
    </xf>
    <xf numFmtId="0" fontId="18" fillId="0" borderId="0" xfId="4" applyFont="1" applyFill="1" applyBorder="1"/>
    <xf numFmtId="3" fontId="18" fillId="0" borderId="0" xfId="4" applyNumberFormat="1" applyFont="1" applyFill="1" applyBorder="1"/>
    <xf numFmtId="0" fontId="18" fillId="0" borderId="0" xfId="4" applyFont="1" applyFill="1" applyBorder="1" applyAlignment="1">
      <alignment horizontal="right" vertical="center" wrapText="1"/>
    </xf>
    <xf numFmtId="0" fontId="18" fillId="0" borderId="0" xfId="4" applyFont="1" applyFill="1" applyBorder="1" applyAlignment="1">
      <alignment horizontal="right" vertical="center"/>
    </xf>
    <xf numFmtId="0" fontId="18" fillId="0" borderId="8" xfId="4" applyFont="1" applyFill="1" applyBorder="1" applyAlignment="1">
      <alignment horizontal="right" vertical="center"/>
    </xf>
    <xf numFmtId="0" fontId="18" fillId="0" borderId="9" xfId="4" applyFont="1" applyFill="1" applyBorder="1" applyAlignment="1">
      <alignment horizontal="right" vertical="center"/>
    </xf>
    <xf numFmtId="0" fontId="18" fillId="0" borderId="10" xfId="4" applyFont="1" applyFill="1" applyBorder="1" applyAlignment="1">
      <alignment horizontal="right" vertical="center"/>
    </xf>
    <xf numFmtId="0" fontId="19" fillId="0" borderId="2" xfId="4" applyFont="1" applyFill="1" applyBorder="1" applyAlignment="1">
      <alignment horizontal="right" vertical="center"/>
    </xf>
    <xf numFmtId="0" fontId="18" fillId="0" borderId="5" xfId="4" applyFont="1" applyFill="1" applyBorder="1" applyAlignment="1">
      <alignment vertical="center"/>
    </xf>
    <xf numFmtId="0" fontId="19" fillId="0" borderId="6" xfId="4" applyFont="1" applyFill="1" applyBorder="1" applyAlignment="1">
      <alignment horizontal="right" vertical="center"/>
    </xf>
    <xf numFmtId="3" fontId="19" fillId="0" borderId="2" xfId="4" applyNumberFormat="1" applyFont="1" applyFill="1" applyBorder="1" applyAlignment="1">
      <alignment horizontal="right" vertical="center"/>
    </xf>
    <xf numFmtId="3" fontId="19" fillId="0" borderId="0" xfId="4" applyNumberFormat="1" applyFont="1" applyFill="1" applyBorder="1" applyAlignment="1">
      <alignment horizontal="right" vertical="center"/>
    </xf>
    <xf numFmtId="166" fontId="18" fillId="0" borderId="0" xfId="12" applyNumberFormat="1" applyFont="1" applyFill="1" applyBorder="1" applyAlignment="1">
      <alignment horizontal="right" vertical="center"/>
    </xf>
    <xf numFmtId="0" fontId="19" fillId="0" borderId="0" xfId="4" applyFont="1" applyFill="1" applyBorder="1" applyAlignment="1">
      <alignment horizontal="right" vertical="center"/>
    </xf>
    <xf numFmtId="3" fontId="18" fillId="0" borderId="0" xfId="4" applyNumberFormat="1" applyFont="1" applyFill="1" applyBorder="1" applyAlignment="1">
      <alignment horizontal="right" vertical="center"/>
    </xf>
    <xf numFmtId="0" fontId="33" fillId="0" borderId="2" xfId="4" applyFont="1" applyFill="1" applyBorder="1" applyAlignment="1">
      <alignment vertical="center" wrapText="1"/>
    </xf>
    <xf numFmtId="3" fontId="33" fillId="0" borderId="2" xfId="4" applyNumberFormat="1" applyFont="1" applyFill="1" applyBorder="1" applyAlignment="1">
      <alignment vertical="center" wrapText="1"/>
    </xf>
    <xf numFmtId="0" fontId="32" fillId="0" borderId="0" xfId="4" applyFont="1" applyFill="1" applyAlignment="1">
      <alignment vertical="center" wrapText="1"/>
    </xf>
    <xf numFmtId="0" fontId="14" fillId="0" borderId="0" xfId="13" applyFont="1" applyBorder="1" applyAlignment="1"/>
    <xf numFmtId="3" fontId="16" fillId="0" borderId="0" xfId="13" applyNumberFormat="1" applyFont="1" applyBorder="1" applyAlignment="1">
      <alignment vertical="center" wrapText="1"/>
    </xf>
    <xf numFmtId="0" fontId="35" fillId="0" borderId="0" xfId="13"/>
    <xf numFmtId="0" fontId="16" fillId="0" borderId="0" xfId="13" applyFont="1" applyAlignment="1"/>
    <xf numFmtId="0" fontId="16" fillId="0" borderId="0" xfId="13" applyFont="1"/>
    <xf numFmtId="3" fontId="15" fillId="0" borderId="2" xfId="13" applyNumberFormat="1" applyFont="1" applyBorder="1" applyAlignment="1">
      <alignment horizontal="right" vertical="center" wrapText="1"/>
    </xf>
    <xf numFmtId="3" fontId="15" fillId="0" borderId="0" xfId="13" applyNumberFormat="1" applyFont="1" applyBorder="1" applyAlignment="1">
      <alignment horizontal="right" vertical="center" wrapText="1"/>
    </xf>
    <xf numFmtId="0" fontId="16" fillId="0" borderId="2" xfId="13" applyFont="1" applyBorder="1" applyAlignment="1">
      <alignment vertical="center" wrapText="1"/>
    </xf>
    <xf numFmtId="3" fontId="16" fillId="0" borderId="2" xfId="13" applyNumberFormat="1" applyFont="1" applyBorder="1" applyAlignment="1">
      <alignment vertical="center" wrapText="1"/>
    </xf>
    <xf numFmtId="3" fontId="16" fillId="0" borderId="2" xfId="13" applyNumberFormat="1" applyFont="1" applyBorder="1" applyAlignment="1">
      <alignment horizontal="right" vertical="center" wrapText="1"/>
    </xf>
    <xf numFmtId="0" fontId="15" fillId="0" borderId="2" xfId="13" applyFont="1" applyBorder="1" applyAlignment="1">
      <alignment vertical="center" wrapText="1"/>
    </xf>
    <xf numFmtId="0" fontId="16" fillId="0" borderId="2" xfId="13" applyFont="1" applyFill="1" applyBorder="1" applyAlignment="1">
      <alignment vertical="center" wrapText="1"/>
    </xf>
    <xf numFmtId="3" fontId="15" fillId="0" borderId="2" xfId="13" applyNumberFormat="1" applyFont="1" applyBorder="1" applyAlignment="1">
      <alignment vertical="center" wrapText="1"/>
    </xf>
    <xf numFmtId="0" fontId="15" fillId="0" borderId="2" xfId="13" applyFont="1" applyFill="1" applyBorder="1" applyAlignment="1">
      <alignment vertical="center" wrapText="1"/>
    </xf>
    <xf numFmtId="0" fontId="36" fillId="0" borderId="2" xfId="13" applyFont="1" applyFill="1" applyBorder="1" applyAlignment="1">
      <alignment vertical="center" wrapText="1"/>
    </xf>
    <xf numFmtId="3" fontId="16" fillId="0" borderId="2" xfId="13" applyNumberFormat="1" applyFont="1" applyFill="1" applyBorder="1" applyAlignment="1">
      <alignment vertical="center" wrapText="1"/>
    </xf>
    <xf numFmtId="3" fontId="15" fillId="0" borderId="2" xfId="13" applyNumberFormat="1" applyFont="1" applyFill="1" applyBorder="1" applyAlignment="1">
      <alignment horizontal="right" vertical="center" wrapText="1"/>
    </xf>
    <xf numFmtId="3" fontId="16" fillId="0" borderId="0" xfId="13" applyNumberFormat="1" applyFont="1"/>
    <xf numFmtId="3" fontId="16" fillId="0" borderId="0" xfId="13" applyNumberFormat="1" applyFont="1" applyAlignment="1"/>
    <xf numFmtId="0" fontId="16" fillId="0" borderId="0" xfId="13" applyFont="1" applyAlignment="1">
      <alignment horizontal="right"/>
    </xf>
    <xf numFmtId="0" fontId="23" fillId="0" borderId="0" xfId="4" applyFont="1" applyFill="1" applyAlignment="1"/>
    <xf numFmtId="0" fontId="16" fillId="0" borderId="5" xfId="4" applyFont="1" applyFill="1" applyBorder="1" applyAlignment="1">
      <alignment vertical="center" wrapText="1"/>
    </xf>
    <xf numFmtId="3" fontId="16" fillId="0" borderId="2" xfId="4" applyNumberFormat="1" applyFont="1" applyFill="1" applyBorder="1" applyAlignment="1">
      <alignment horizontal="right" vertical="center" wrapText="1"/>
    </xf>
    <xf numFmtId="3" fontId="32" fillId="0" borderId="2" xfId="4" applyNumberFormat="1" applyFont="1" applyFill="1" applyBorder="1" applyAlignment="1">
      <alignment vertical="center" wrapText="1"/>
    </xf>
    <xf numFmtId="3" fontId="27" fillId="0" borderId="2" xfId="4" applyNumberFormat="1" applyFont="1" applyFill="1" applyBorder="1" applyAlignment="1">
      <alignment vertical="center" wrapText="1"/>
    </xf>
    <xf numFmtId="0" fontId="16" fillId="0" borderId="7" xfId="4" applyFont="1" applyFill="1" applyBorder="1" applyAlignment="1">
      <alignment vertical="center" wrapText="1"/>
    </xf>
    <xf numFmtId="0" fontId="18" fillId="0" borderId="2" xfId="4" applyFont="1" applyFill="1" applyBorder="1" applyAlignment="1">
      <alignment horizontal="right" vertical="center" wrapText="1"/>
    </xf>
    <xf numFmtId="3" fontId="16" fillId="0" borderId="0" xfId="9" applyNumberFormat="1" applyFont="1" applyFill="1"/>
    <xf numFmtId="0" fontId="16" fillId="0" borderId="2" xfId="4" applyFont="1" applyBorder="1" applyAlignment="1">
      <alignment wrapText="1"/>
    </xf>
    <xf numFmtId="3" fontId="16" fillId="0" borderId="2" xfId="4" applyNumberFormat="1" applyFont="1" applyBorder="1"/>
    <xf numFmtId="3" fontId="19" fillId="0" borderId="2" xfId="4" applyNumberFormat="1" applyFont="1" applyFill="1" applyBorder="1" applyAlignment="1">
      <alignment vertical="center"/>
    </xf>
    <xf numFmtId="0" fontId="33" fillId="0" borderId="2" xfId="4" applyFont="1" applyFill="1" applyBorder="1"/>
    <xf numFmtId="3" fontId="27" fillId="0" borderId="0" xfId="4" applyNumberFormat="1" applyFont="1" applyFill="1"/>
    <xf numFmtId="0" fontId="16" fillId="0" borderId="0" xfId="4" applyFont="1"/>
    <xf numFmtId="0" fontId="15" fillId="0" borderId="0" xfId="4" applyFont="1" applyBorder="1" applyAlignment="1">
      <alignment horizontal="right" vertical="center" wrapText="1"/>
    </xf>
    <xf numFmtId="0" fontId="16" fillId="0" borderId="2" xfId="4" applyFont="1" applyBorder="1" applyAlignment="1">
      <alignment vertical="center" wrapText="1"/>
    </xf>
    <xf numFmtId="3" fontId="16" fillId="0" borderId="2" xfId="4" applyNumberFormat="1" applyFont="1" applyBorder="1" applyAlignment="1">
      <alignment vertical="center" wrapText="1"/>
    </xf>
    <xf numFmtId="0" fontId="16" fillId="0" borderId="0" xfId="4" applyFont="1" applyAlignment="1">
      <alignment vertical="center" wrapText="1"/>
    </xf>
    <xf numFmtId="0" fontId="31" fillId="0" borderId="2" xfId="4" applyFont="1" applyBorder="1" applyAlignment="1">
      <alignment vertical="center" wrapText="1"/>
    </xf>
    <xf numFmtId="0" fontId="19" fillId="0" borderId="2" xfId="4" applyFont="1" applyBorder="1" applyAlignment="1">
      <alignment vertical="center" wrapText="1"/>
    </xf>
    <xf numFmtId="3" fontId="19" fillId="0" borderId="2" xfId="4" applyNumberFormat="1" applyFont="1" applyBorder="1" applyAlignment="1">
      <alignment vertical="center" wrapText="1"/>
    </xf>
    <xf numFmtId="0" fontId="19" fillId="0" borderId="0" xfId="4" applyFont="1" applyAlignment="1">
      <alignment vertical="center" wrapText="1"/>
    </xf>
    <xf numFmtId="3" fontId="16" fillId="0" borderId="0" xfId="4" applyNumberFormat="1" applyFont="1"/>
    <xf numFmtId="0" fontId="16" fillId="0" borderId="0" xfId="4" applyFont="1" applyAlignment="1"/>
    <xf numFmtId="0" fontId="18" fillId="0" borderId="0" xfId="16" applyFont="1"/>
    <xf numFmtId="49" fontId="18" fillId="0" borderId="0" xfId="16" applyNumberFormat="1" applyFont="1"/>
    <xf numFmtId="3" fontId="18" fillId="0" borderId="0" xfId="16" applyNumberFormat="1" applyFont="1"/>
    <xf numFmtId="0" fontId="18" fillId="0" borderId="12" xfId="16" applyFont="1" applyBorder="1"/>
    <xf numFmtId="0" fontId="18" fillId="0" borderId="13" xfId="16" applyFont="1" applyBorder="1"/>
    <xf numFmtId="0" fontId="18" fillId="0" borderId="20" xfId="16" applyFont="1" applyBorder="1"/>
    <xf numFmtId="3" fontId="18" fillId="0" borderId="2" xfId="16" applyNumberFormat="1" applyFont="1" applyBorder="1"/>
    <xf numFmtId="3" fontId="18" fillId="0" borderId="21" xfId="16" applyNumberFormat="1" applyFont="1" applyBorder="1"/>
    <xf numFmtId="0" fontId="19" fillId="0" borderId="13" xfId="16" applyFont="1" applyBorder="1"/>
    <xf numFmtId="3" fontId="18" fillId="0" borderId="20" xfId="16" applyNumberFormat="1" applyFont="1" applyBorder="1"/>
    <xf numFmtId="3" fontId="18" fillId="0" borderId="20" xfId="16" applyNumberFormat="1" applyFont="1" applyFill="1" applyBorder="1"/>
    <xf numFmtId="0" fontId="19" fillId="0" borderId="0" xfId="16" applyFont="1"/>
    <xf numFmtId="3" fontId="19" fillId="0" borderId="20" xfId="16" applyNumberFormat="1" applyFont="1" applyBorder="1"/>
    <xf numFmtId="3" fontId="19" fillId="0" borderId="2" xfId="16" applyNumberFormat="1" applyFont="1" applyBorder="1"/>
    <xf numFmtId="3" fontId="19" fillId="0" borderId="21" xfId="16" applyNumberFormat="1" applyFont="1" applyBorder="1"/>
    <xf numFmtId="3" fontId="18" fillId="0" borderId="19" xfId="16" applyNumberFormat="1" applyFont="1" applyBorder="1"/>
    <xf numFmtId="3" fontId="18" fillId="0" borderId="6" xfId="16" applyNumberFormat="1" applyFont="1" applyBorder="1"/>
    <xf numFmtId="0" fontId="19" fillId="0" borderId="14" xfId="16" applyFont="1" applyBorder="1"/>
    <xf numFmtId="3" fontId="19" fillId="0" borderId="22" xfId="16" applyNumberFormat="1" applyFont="1" applyBorder="1"/>
    <xf numFmtId="3" fontId="19" fillId="0" borderId="23" xfId="16" applyNumberFormat="1" applyFont="1" applyBorder="1"/>
    <xf numFmtId="3" fontId="19" fillId="0" borderId="24" xfId="16" applyNumberFormat="1" applyFont="1" applyBorder="1"/>
    <xf numFmtId="0" fontId="10" fillId="0" borderId="0" xfId="17"/>
    <xf numFmtId="0" fontId="41" fillId="0" borderId="0" xfId="17" applyFont="1" applyAlignment="1">
      <alignment horizontal="right" vertical="center" readingOrder="2"/>
    </xf>
    <xf numFmtId="0" fontId="42" fillId="0" borderId="0" xfId="17" applyFont="1" applyAlignment="1">
      <alignment horizontal="right" vertical="center" readingOrder="2"/>
    </xf>
    <xf numFmtId="0" fontId="43" fillId="0" borderId="0" xfId="17" applyFont="1" applyAlignment="1">
      <alignment horizontal="right" vertical="center" readingOrder="2"/>
    </xf>
    <xf numFmtId="0" fontId="44" fillId="0" borderId="0" xfId="17" applyFont="1" applyAlignment="1">
      <alignment horizontal="right" vertical="center" readingOrder="2"/>
    </xf>
    <xf numFmtId="0" fontId="45" fillId="0" borderId="0" xfId="17" applyFont="1" applyAlignment="1">
      <alignment horizontal="right" vertical="center" readingOrder="2"/>
    </xf>
    <xf numFmtId="166" fontId="44" fillId="0" borderId="32" xfId="10" applyNumberFormat="1" applyFont="1" applyBorder="1" applyAlignment="1">
      <alignment horizontal="right" vertical="center" readingOrder="2"/>
    </xf>
    <xf numFmtId="0" fontId="42" fillId="0" borderId="0" xfId="17" applyFont="1" applyBorder="1" applyAlignment="1">
      <alignment horizontal="right" vertical="center" readingOrder="2"/>
    </xf>
    <xf numFmtId="0" fontId="46" fillId="0" borderId="0" xfId="17" applyFont="1" applyAlignment="1">
      <alignment horizontal="right" vertical="center" readingOrder="2"/>
    </xf>
    <xf numFmtId="0" fontId="42" fillId="0" borderId="0" xfId="17" quotePrefix="1" applyFont="1" applyAlignment="1">
      <alignment horizontal="right" vertical="center" readingOrder="2"/>
    </xf>
    <xf numFmtId="0" fontId="47" fillId="0" borderId="0" xfId="17" applyFont="1" applyAlignment="1">
      <alignment horizontal="right" vertical="center" readingOrder="2"/>
    </xf>
    <xf numFmtId="0" fontId="48" fillId="0" borderId="0" xfId="17" applyFont="1" applyAlignment="1">
      <alignment horizontal="right" vertical="center" readingOrder="2"/>
    </xf>
    <xf numFmtId="0" fontId="49" fillId="0" borderId="0" xfId="17" applyFont="1"/>
    <xf numFmtId="166" fontId="42" fillId="0" borderId="0" xfId="18" applyNumberFormat="1" applyFont="1" applyAlignment="1">
      <alignment horizontal="right" vertical="center" readingOrder="2"/>
    </xf>
    <xf numFmtId="166" fontId="50" fillId="0" borderId="0" xfId="18" applyNumberFormat="1" applyFont="1" applyAlignment="1">
      <alignment horizontal="right" vertical="center" readingOrder="2"/>
    </xf>
    <xf numFmtId="166" fontId="51" fillId="0" borderId="0" xfId="17" applyNumberFormat="1" applyFont="1" applyAlignment="1">
      <alignment horizontal="right" vertical="center" readingOrder="2"/>
    </xf>
    <xf numFmtId="0" fontId="44" fillId="0" borderId="2" xfId="17" applyFont="1" applyBorder="1" applyAlignment="1">
      <alignment horizontal="center" vertical="center" readingOrder="2"/>
    </xf>
    <xf numFmtId="0" fontId="44" fillId="0" borderId="2" xfId="17" applyFont="1" applyBorder="1" applyAlignment="1">
      <alignment horizontal="center" vertical="center" wrapText="1" readingOrder="2"/>
    </xf>
    <xf numFmtId="0" fontId="44" fillId="0" borderId="2" xfId="17" applyFont="1" applyBorder="1" applyAlignment="1">
      <alignment horizontal="right" vertical="center" readingOrder="2"/>
    </xf>
    <xf numFmtId="166" fontId="42" fillId="0" borderId="2" xfId="18" applyNumberFormat="1" applyFont="1" applyBorder="1" applyAlignment="1">
      <alignment horizontal="right" vertical="center" readingOrder="2"/>
    </xf>
    <xf numFmtId="0" fontId="44" fillId="0" borderId="2" xfId="17" applyFont="1" applyBorder="1" applyAlignment="1">
      <alignment horizontal="right" vertical="center" wrapText="1" readingOrder="2"/>
    </xf>
    <xf numFmtId="3" fontId="44" fillId="0" borderId="0" xfId="17" applyNumberFormat="1" applyFont="1" applyBorder="1" applyAlignment="1">
      <alignment horizontal="right" vertical="center" readingOrder="2"/>
    </xf>
    <xf numFmtId="3" fontId="44" fillId="0" borderId="32" xfId="17" applyNumberFormat="1" applyFont="1" applyBorder="1" applyAlignment="1">
      <alignment horizontal="right" vertical="center" readingOrder="2"/>
    </xf>
    <xf numFmtId="0" fontId="44" fillId="0" borderId="33" xfId="17" applyFont="1" applyBorder="1" applyAlignment="1">
      <alignment horizontal="right" vertical="center" readingOrder="2"/>
    </xf>
    <xf numFmtId="0" fontId="52" fillId="0" borderId="34" xfId="17" applyFont="1" applyBorder="1"/>
    <xf numFmtId="0" fontId="10" fillId="0" borderId="35" xfId="17" applyBorder="1"/>
    <xf numFmtId="166" fontId="44" fillId="0" borderId="17" xfId="18" applyNumberFormat="1" applyFont="1" applyBorder="1" applyAlignment="1">
      <alignment horizontal="right" vertical="center" readingOrder="2"/>
    </xf>
    <xf numFmtId="166" fontId="44" fillId="0" borderId="18" xfId="18" applyNumberFormat="1" applyFont="1" applyBorder="1" applyAlignment="1">
      <alignment horizontal="right" vertical="center" readingOrder="2"/>
    </xf>
    <xf numFmtId="0" fontId="42" fillId="0" borderId="30" xfId="17" applyFont="1" applyBorder="1" applyAlignment="1">
      <alignment horizontal="right" vertical="center" readingOrder="2"/>
    </xf>
    <xf numFmtId="0" fontId="42" fillId="0" borderId="5" xfId="17" applyFont="1" applyBorder="1" applyAlignment="1">
      <alignment horizontal="right" vertical="center" readingOrder="2"/>
    </xf>
    <xf numFmtId="0" fontId="10" fillId="0" borderId="6" xfId="17" applyBorder="1"/>
    <xf numFmtId="3" fontId="42" fillId="0" borderId="2" xfId="17" applyNumberFormat="1" applyFont="1" applyBorder="1" applyAlignment="1">
      <alignment horizontal="right" vertical="center" readingOrder="2"/>
    </xf>
    <xf numFmtId="3" fontId="42" fillId="0" borderId="26" xfId="17" applyNumberFormat="1" applyFont="1" applyBorder="1" applyAlignment="1">
      <alignment horizontal="right" vertical="center" readingOrder="2"/>
    </xf>
    <xf numFmtId="9" fontId="10" fillId="0" borderId="0" xfId="9" applyFont="1"/>
    <xf numFmtId="0" fontId="42" fillId="0" borderId="4" xfId="17" applyFont="1" applyBorder="1" applyAlignment="1">
      <alignment horizontal="right" vertical="center" readingOrder="2"/>
    </xf>
    <xf numFmtId="0" fontId="42" fillId="0" borderId="36" xfId="17" applyFont="1" applyBorder="1" applyAlignment="1">
      <alignment horizontal="right" vertical="center" readingOrder="2"/>
    </xf>
    <xf numFmtId="0" fontId="42" fillId="0" borderId="10" xfId="17" applyFont="1" applyBorder="1" applyAlignment="1">
      <alignment horizontal="right" vertical="center" readingOrder="2"/>
    </xf>
    <xf numFmtId="0" fontId="10" fillId="0" borderId="9" xfId="17" applyBorder="1"/>
    <xf numFmtId="0" fontId="42" fillId="0" borderId="26" xfId="17" applyFont="1" applyBorder="1" applyAlignment="1">
      <alignment horizontal="right" vertical="center" readingOrder="2"/>
    </xf>
    <xf numFmtId="3" fontId="42" fillId="0" borderId="0" xfId="17" applyNumberFormat="1" applyFont="1" applyAlignment="1">
      <alignment horizontal="right" vertical="center" readingOrder="2"/>
    </xf>
    <xf numFmtId="0" fontId="44" fillId="0" borderId="37" xfId="17" applyFont="1" applyBorder="1" applyAlignment="1">
      <alignment horizontal="right" vertical="center" readingOrder="2"/>
    </xf>
    <xf numFmtId="0" fontId="42" fillId="0" borderId="38" xfId="17" applyFont="1" applyBorder="1" applyAlignment="1">
      <alignment horizontal="right" vertical="center" readingOrder="2"/>
    </xf>
    <xf numFmtId="0" fontId="10" fillId="0" borderId="39" xfId="17" applyBorder="1"/>
    <xf numFmtId="166" fontId="44" fillId="0" borderId="23" xfId="18" applyNumberFormat="1" applyFont="1" applyBorder="1" applyAlignment="1">
      <alignment vertical="center" readingOrder="2"/>
    </xf>
    <xf numFmtId="9" fontId="44" fillId="0" borderId="24" xfId="9" applyFont="1" applyBorder="1" applyAlignment="1">
      <alignment vertical="center" readingOrder="2"/>
    </xf>
    <xf numFmtId="0" fontId="44" fillId="0" borderId="0" xfId="17" applyFont="1" applyBorder="1" applyAlignment="1">
      <alignment horizontal="right" vertical="center" readingOrder="2"/>
    </xf>
    <xf numFmtId="0" fontId="10" fillId="0" borderId="0" xfId="17" applyBorder="1"/>
    <xf numFmtId="166" fontId="44" fillId="0" borderId="0" xfId="18" applyNumberFormat="1" applyFont="1" applyBorder="1" applyAlignment="1">
      <alignment horizontal="right" vertical="center" readingOrder="2"/>
    </xf>
    <xf numFmtId="166" fontId="44" fillId="0" borderId="25" xfId="18" applyNumberFormat="1" applyFont="1" applyBorder="1" applyAlignment="1">
      <alignment horizontal="right" vertical="center" readingOrder="2"/>
    </xf>
    <xf numFmtId="0" fontId="44" fillId="0" borderId="5" xfId="17" applyFont="1" applyBorder="1" applyAlignment="1">
      <alignment horizontal="right" vertical="center" readingOrder="2"/>
    </xf>
    <xf numFmtId="0" fontId="28" fillId="0" borderId="6" xfId="17" applyFont="1" applyBorder="1"/>
    <xf numFmtId="166" fontId="44" fillId="0" borderId="28" xfId="18" applyNumberFormat="1" applyFont="1" applyBorder="1" applyAlignment="1">
      <alignment horizontal="right" vertical="center" readingOrder="2"/>
    </xf>
    <xf numFmtId="9" fontId="44" fillId="0" borderId="24" xfId="9" applyFont="1" applyBorder="1" applyAlignment="1">
      <alignment horizontal="right" vertical="center" readingOrder="2"/>
    </xf>
    <xf numFmtId="0" fontId="53" fillId="0" borderId="0" xfId="17" applyFont="1" applyAlignment="1">
      <alignment horizontal="right" vertical="center" readingOrder="2"/>
    </xf>
    <xf numFmtId="0" fontId="19" fillId="0" borderId="2" xfId="16" applyFont="1" applyBorder="1" applyAlignment="1">
      <alignment horizontal="center" vertical="center"/>
    </xf>
    <xf numFmtId="3" fontId="19" fillId="0" borderId="2" xfId="16" applyNumberFormat="1" applyFont="1" applyBorder="1" applyAlignment="1">
      <alignment horizontal="center" vertical="center" wrapText="1"/>
    </xf>
    <xf numFmtId="3" fontId="19" fillId="0" borderId="6" xfId="16" applyNumberFormat="1" applyFont="1" applyBorder="1" applyAlignment="1">
      <alignment horizontal="center" vertical="center" wrapText="1"/>
    </xf>
    <xf numFmtId="0" fontId="18" fillId="0" borderId="0" xfId="16" applyFont="1" applyAlignment="1">
      <alignment horizontal="center" vertical="center"/>
    </xf>
    <xf numFmtId="0" fontId="18" fillId="0" borderId="2" xfId="16" applyFont="1" applyBorder="1"/>
    <xf numFmtId="0" fontId="18" fillId="0" borderId="2" xfId="16" applyFont="1" applyBorder="1" applyAlignment="1">
      <alignment vertical="center"/>
    </xf>
    <xf numFmtId="3" fontId="18" fillId="0" borderId="2" xfId="16" applyNumberFormat="1" applyFont="1" applyBorder="1" applyAlignment="1">
      <alignment vertical="center"/>
    </xf>
    <xf numFmtId="3" fontId="16" fillId="0" borderId="2" xfId="16" applyNumberFormat="1" applyFont="1" applyBorder="1" applyAlignment="1">
      <alignment vertical="center" wrapText="1"/>
    </xf>
    <xf numFmtId="3" fontId="18" fillId="0" borderId="6" xfId="16" applyNumberFormat="1" applyFont="1" applyBorder="1" applyAlignment="1">
      <alignment vertical="center"/>
    </xf>
    <xf numFmtId="3" fontId="19" fillId="0" borderId="2" xfId="16" applyNumberFormat="1" applyFont="1" applyBorder="1" applyAlignment="1">
      <alignment vertical="center"/>
    </xf>
    <xf numFmtId="0" fontId="18" fillId="0" borderId="0" xfId="16" applyFont="1" applyAlignment="1">
      <alignment vertical="center"/>
    </xf>
    <xf numFmtId="0" fontId="18" fillId="0" borderId="0" xfId="16" applyFont="1" applyBorder="1" applyAlignment="1">
      <alignment vertical="center"/>
    </xf>
    <xf numFmtId="3" fontId="18" fillId="0" borderId="0" xfId="16" applyNumberFormat="1" applyFont="1" applyBorder="1" applyAlignment="1">
      <alignment vertical="center"/>
    </xf>
    <xf numFmtId="0" fontId="19" fillId="0" borderId="2" xfId="16" applyFont="1" applyBorder="1" applyAlignment="1">
      <alignment vertical="center"/>
    </xf>
    <xf numFmtId="3" fontId="19" fillId="0" borderId="2" xfId="16" applyNumberFormat="1" applyFont="1" applyFill="1" applyBorder="1" applyAlignment="1">
      <alignment vertical="center"/>
    </xf>
    <xf numFmtId="3" fontId="19" fillId="0" borderId="6" xfId="16" applyNumberFormat="1" applyFont="1" applyBorder="1" applyAlignment="1">
      <alignment vertical="center"/>
    </xf>
    <xf numFmtId="0" fontId="10" fillId="0" borderId="0" xfId="17" applyAlignment="1">
      <alignment horizontal="left"/>
    </xf>
    <xf numFmtId="0" fontId="48" fillId="0" borderId="0" xfId="17" applyFont="1" applyAlignment="1">
      <alignment horizontal="center" vertical="center" readingOrder="2"/>
    </xf>
    <xf numFmtId="0" fontId="42" fillId="0" borderId="0" xfId="17" quotePrefix="1" applyFont="1" applyAlignment="1">
      <alignment horizontal="left" vertical="center" readingOrder="2"/>
    </xf>
    <xf numFmtId="16" fontId="42" fillId="0" borderId="0" xfId="17" quotePrefix="1" applyNumberFormat="1" applyFont="1" applyAlignment="1">
      <alignment horizontal="left" vertical="center" readingOrder="2"/>
    </xf>
    <xf numFmtId="0" fontId="42" fillId="0" borderId="0" xfId="17" applyFont="1" applyAlignment="1">
      <alignment horizontal="left" vertical="center" readingOrder="2"/>
    </xf>
    <xf numFmtId="0" fontId="42" fillId="0" borderId="0" xfId="17" applyFont="1" applyAlignment="1">
      <alignment vertical="center" readingOrder="2"/>
    </xf>
    <xf numFmtId="0" fontId="15" fillId="0" borderId="2" xfId="16" applyFont="1" applyBorder="1" applyAlignment="1">
      <alignment horizontal="right" vertical="center" wrapText="1"/>
    </xf>
    <xf numFmtId="0" fontId="29" fillId="0" borderId="2" xfId="4" applyFont="1" applyFill="1" applyBorder="1" applyAlignment="1">
      <alignment vertical="center" wrapText="1"/>
    </xf>
    <xf numFmtId="0" fontId="16" fillId="0" borderId="0" xfId="16" applyFont="1"/>
    <xf numFmtId="0" fontId="16" fillId="0" borderId="0" xfId="16" applyFont="1" applyAlignment="1"/>
    <xf numFmtId="0" fontId="16" fillId="0" borderId="0" xfId="16" applyFont="1" applyFill="1"/>
    <xf numFmtId="3" fontId="16" fillId="0" borderId="0" xfId="16" applyNumberFormat="1" applyFont="1" applyFill="1"/>
    <xf numFmtId="3" fontId="16" fillId="0" borderId="0" xfId="16" applyNumberFormat="1" applyFont="1"/>
    <xf numFmtId="3" fontId="15" fillId="0" borderId="2" xfId="16" applyNumberFormat="1" applyFont="1" applyFill="1" applyBorder="1" applyAlignment="1">
      <alignment horizontal="right" vertical="center" wrapText="1"/>
    </xf>
    <xf numFmtId="0" fontId="16" fillId="0" borderId="3" xfId="16" applyFont="1" applyFill="1" applyBorder="1" applyAlignment="1">
      <alignment vertical="center" wrapText="1"/>
    </xf>
    <xf numFmtId="0" fontId="16" fillId="0" borderId="0" xfId="16" applyFont="1" applyAlignment="1">
      <alignment vertical="center" wrapText="1"/>
    </xf>
    <xf numFmtId="0" fontId="16" fillId="0" borderId="2" xfId="16" applyFont="1" applyBorder="1" applyAlignment="1">
      <alignment vertical="center" wrapText="1"/>
    </xf>
    <xf numFmtId="0" fontId="16" fillId="0" borderId="2" xfId="16" applyFont="1" applyFill="1" applyBorder="1" applyAlignment="1">
      <alignment vertical="center" wrapText="1"/>
    </xf>
    <xf numFmtId="3" fontId="16" fillId="0" borderId="2" xfId="16" applyNumberFormat="1" applyFont="1" applyFill="1" applyBorder="1" applyAlignment="1">
      <alignment vertical="center" wrapText="1"/>
    </xf>
    <xf numFmtId="0" fontId="15" fillId="0" borderId="0" xfId="16" applyFont="1" applyAlignment="1">
      <alignment vertical="center" wrapText="1"/>
    </xf>
    <xf numFmtId="0" fontId="15" fillId="0" borderId="2" xfId="16" applyFont="1" applyBorder="1" applyAlignment="1">
      <alignment vertical="center" wrapText="1"/>
    </xf>
    <xf numFmtId="0" fontId="16" fillId="0" borderId="0" xfId="16" applyFont="1" applyFill="1" applyAlignment="1">
      <alignment vertical="center" wrapText="1"/>
    </xf>
    <xf numFmtId="0" fontId="15" fillId="0" borderId="0" xfId="16" applyFont="1" applyFill="1" applyAlignment="1">
      <alignment vertical="center" wrapText="1"/>
    </xf>
    <xf numFmtId="0" fontId="15" fillId="0" borderId="2" xfId="16" applyFont="1" applyFill="1" applyBorder="1" applyAlignment="1">
      <alignment vertical="center" wrapText="1"/>
    </xf>
    <xf numFmtId="3" fontId="16" fillId="0" borderId="0" xfId="16" applyNumberFormat="1" applyFont="1" applyFill="1" applyBorder="1" applyAlignment="1">
      <alignment vertical="center" wrapText="1"/>
    </xf>
    <xf numFmtId="3" fontId="15" fillId="0" borderId="2" xfId="16" applyNumberFormat="1" applyFont="1" applyFill="1" applyBorder="1" applyAlignment="1">
      <alignment vertical="center" wrapText="1"/>
    </xf>
    <xf numFmtId="3" fontId="15" fillId="0" borderId="2" xfId="16" applyNumberFormat="1" applyFont="1" applyBorder="1" applyAlignment="1">
      <alignment vertical="center" wrapText="1"/>
    </xf>
    <xf numFmtId="0" fontId="16" fillId="0" borderId="2" xfId="16" applyFont="1" applyFill="1" applyBorder="1" applyAlignment="1"/>
    <xf numFmtId="0" fontId="19" fillId="0" borderId="0" xfId="16" applyFont="1" applyFill="1" applyAlignment="1">
      <alignment vertical="center" wrapText="1"/>
    </xf>
    <xf numFmtId="0" fontId="16" fillId="0" borderId="0" xfId="16" applyFont="1" applyFill="1" applyAlignment="1">
      <alignment wrapText="1"/>
    </xf>
    <xf numFmtId="0" fontId="16" fillId="0" borderId="2" xfId="16" applyFont="1" applyFill="1" applyBorder="1"/>
    <xf numFmtId="0" fontId="16" fillId="0" borderId="2" xfId="16" quotePrefix="1" applyFont="1" applyFill="1" applyBorder="1" applyAlignment="1">
      <alignment vertical="center" wrapText="1"/>
    </xf>
    <xf numFmtId="3" fontId="16" fillId="3" borderId="2" xfId="16" applyNumberFormat="1" applyFont="1" applyFill="1" applyBorder="1" applyAlignment="1">
      <alignment vertical="center" wrapText="1"/>
    </xf>
    <xf numFmtId="0" fontId="19" fillId="0" borderId="2" xfId="16" applyFont="1" applyFill="1" applyBorder="1" applyAlignment="1">
      <alignment vertical="center" wrapText="1"/>
    </xf>
    <xf numFmtId="3" fontId="19" fillId="0" borderId="2" xfId="16" applyNumberFormat="1" applyFont="1" applyFill="1" applyBorder="1" applyAlignment="1">
      <alignment vertical="center" wrapText="1"/>
    </xf>
    <xf numFmtId="0" fontId="19" fillId="0" borderId="0" xfId="16" applyFont="1" applyFill="1" applyBorder="1" applyAlignment="1">
      <alignment vertical="center" wrapText="1"/>
    </xf>
    <xf numFmtId="3" fontId="19" fillId="0" borderId="0" xfId="16" applyNumberFormat="1" applyFont="1" applyFill="1" applyBorder="1" applyAlignment="1">
      <alignment vertical="center" wrapText="1"/>
    </xf>
    <xf numFmtId="3" fontId="16" fillId="0" borderId="0" xfId="16" applyNumberFormat="1" applyFont="1" applyFill="1" applyAlignment="1">
      <alignment wrapText="1"/>
    </xf>
    <xf numFmtId="3" fontId="16" fillId="0" borderId="2" xfId="16" applyNumberFormat="1" applyFont="1" applyFill="1" applyBorder="1"/>
    <xf numFmtId="3" fontId="16" fillId="0" borderId="2" xfId="16" applyNumberFormat="1" applyFont="1" applyBorder="1"/>
    <xf numFmtId="165" fontId="16" fillId="0" borderId="0" xfId="9" applyNumberFormat="1" applyFont="1" applyFill="1" applyAlignment="1">
      <alignment wrapText="1"/>
    </xf>
    <xf numFmtId="0" fontId="14" fillId="0" borderId="0" xfId="16" applyFont="1"/>
    <xf numFmtId="0" fontId="15" fillId="0" borderId="0" xfId="16" applyFont="1" applyBorder="1" applyAlignment="1">
      <alignment horizontal="right" vertical="center" wrapText="1"/>
    </xf>
    <xf numFmtId="0" fontId="18" fillId="0" borderId="2" xfId="16" applyFont="1" applyFill="1" applyBorder="1" applyAlignment="1">
      <alignment horizontal="right" vertical="center" wrapText="1"/>
    </xf>
    <xf numFmtId="0" fontId="18" fillId="0" borderId="2" xfId="16" applyFont="1" applyFill="1" applyBorder="1"/>
    <xf numFmtId="3" fontId="18" fillId="0" borderId="2" xfId="16" applyNumberFormat="1" applyFont="1" applyFill="1" applyBorder="1" applyAlignment="1">
      <alignment vertical="center"/>
    </xf>
    <xf numFmtId="0" fontId="15" fillId="0" borderId="2" xfId="16" applyFont="1" applyFill="1" applyBorder="1" applyAlignment="1">
      <alignment horizontal="right" vertical="center" wrapText="1"/>
    </xf>
    <xf numFmtId="166" fontId="42" fillId="0" borderId="21" xfId="18" applyNumberFormat="1" applyFont="1" applyBorder="1" applyAlignment="1">
      <alignment horizontal="right" vertical="center" readingOrder="2"/>
    </xf>
    <xf numFmtId="0" fontId="42" fillId="0" borderId="8" xfId="17" applyFont="1" applyBorder="1" applyAlignment="1">
      <alignment horizontal="right" vertical="center" readingOrder="2"/>
    </xf>
    <xf numFmtId="0" fontId="44" fillId="0" borderId="22" xfId="17" applyFont="1" applyBorder="1" applyAlignment="1">
      <alignment horizontal="right" vertical="center" readingOrder="2"/>
    </xf>
    <xf numFmtId="0" fontId="42" fillId="0" borderId="40" xfId="17" applyFont="1" applyBorder="1" applyAlignment="1">
      <alignment horizontal="right" vertical="center" readingOrder="2"/>
    </xf>
    <xf numFmtId="0" fontId="10" fillId="0" borderId="27" xfId="17" applyBorder="1"/>
    <xf numFmtId="9" fontId="44" fillId="0" borderId="2" xfId="9" applyFont="1" applyBorder="1" applyAlignment="1">
      <alignment horizontal="right" vertical="center" readingOrder="2"/>
    </xf>
    <xf numFmtId="0" fontId="18" fillId="0" borderId="0" xfId="16" applyFont="1" applyFill="1"/>
    <xf numFmtId="0" fontId="22" fillId="0" borderId="0" xfId="16" applyFont="1" applyFill="1" applyAlignment="1">
      <alignment horizontal="center"/>
    </xf>
    <xf numFmtId="3" fontId="22" fillId="0" borderId="0" xfId="16" applyNumberFormat="1" applyFont="1" applyAlignment="1">
      <alignment horizontal="center"/>
    </xf>
    <xf numFmtId="0" fontId="18" fillId="0" borderId="2" xfId="16" applyFont="1" applyBorder="1" applyAlignment="1">
      <alignment horizontal="center" vertical="center" wrapText="1"/>
    </xf>
    <xf numFmtId="0" fontId="19" fillId="0" borderId="2" xfId="16" applyFont="1" applyBorder="1" applyAlignment="1">
      <alignment horizontal="center" vertical="center" wrapText="1"/>
    </xf>
    <xf numFmtId="0" fontId="19" fillId="0" borderId="2" xfId="16" applyFont="1" applyFill="1" applyBorder="1" applyAlignment="1">
      <alignment horizontal="center" vertical="center" wrapText="1"/>
    </xf>
    <xf numFmtId="0" fontId="18" fillId="0" borderId="0" xfId="16" applyFont="1" applyAlignment="1">
      <alignment horizontal="center" vertical="center" wrapText="1"/>
    </xf>
    <xf numFmtId="0" fontId="19" fillId="0" borderId="2" xfId="16" applyFont="1" applyFill="1" applyBorder="1" applyAlignment="1">
      <alignment horizontal="right" vertical="center"/>
    </xf>
    <xf numFmtId="0" fontId="18" fillId="0" borderId="0" xfId="16" applyFont="1" applyFill="1" applyAlignment="1">
      <alignment horizontal="center" vertical="center" wrapText="1"/>
    </xf>
    <xf numFmtId="0" fontId="19" fillId="0" borderId="2" xfId="16" applyFont="1" applyBorder="1" applyAlignment="1">
      <alignment wrapText="1"/>
    </xf>
    <xf numFmtId="0" fontId="18" fillId="0" borderId="2" xfId="16" applyFont="1" applyBorder="1" applyAlignment="1">
      <alignment horizontal="right" vertical="center" wrapText="1"/>
    </xf>
    <xf numFmtId="0" fontId="19" fillId="0" borderId="2" xfId="16" applyFont="1" applyBorder="1"/>
    <xf numFmtId="14" fontId="18" fillId="0" borderId="2" xfId="16" applyNumberFormat="1" applyFont="1" applyBorder="1" applyAlignment="1">
      <alignment horizontal="right"/>
    </xf>
    <xf numFmtId="0" fontId="19" fillId="0" borderId="0" xfId="16" applyFont="1" applyFill="1"/>
    <xf numFmtId="3" fontId="18" fillId="4" borderId="2" xfId="16" applyNumberFormat="1" applyFont="1" applyFill="1" applyBorder="1" applyAlignment="1">
      <alignment vertical="center"/>
    </xf>
    <xf numFmtId="0" fontId="14" fillId="0" borderId="2" xfId="16" applyFont="1" applyBorder="1" applyAlignment="1">
      <alignment wrapText="1"/>
    </xf>
    <xf numFmtId="0" fontId="57" fillId="0" borderId="0" xfId="16" applyFont="1"/>
    <xf numFmtId="3" fontId="16" fillId="0" borderId="0" xfId="4" quotePrefix="1" applyNumberFormat="1" applyFont="1" applyFill="1"/>
    <xf numFmtId="0" fontId="16" fillId="0" borderId="0" xfId="13" applyFont="1" applyFill="1"/>
    <xf numFmtId="3" fontId="19" fillId="0" borderId="2" xfId="13" applyNumberFormat="1" applyFont="1" applyFill="1" applyBorder="1" applyAlignment="1">
      <alignment vertical="center" wrapText="1"/>
    </xf>
    <xf numFmtId="43" fontId="16" fillId="0" borderId="2" xfId="14" applyFont="1" applyFill="1" applyBorder="1" applyAlignment="1">
      <alignment vertical="center" wrapText="1"/>
    </xf>
    <xf numFmtId="3" fontId="15" fillId="0" borderId="2" xfId="13" applyNumberFormat="1" applyFont="1" applyFill="1" applyBorder="1" applyAlignment="1">
      <alignment vertical="center" wrapText="1"/>
    </xf>
    <xf numFmtId="3" fontId="16" fillId="0" borderId="0" xfId="13" applyNumberFormat="1" applyFont="1" applyFill="1"/>
    <xf numFmtId="0" fontId="14" fillId="0" borderId="0" xfId="0" applyFont="1" applyFill="1" applyAlignment="1"/>
    <xf numFmtId="3" fontId="56" fillId="0" borderId="23" xfId="17" applyNumberFormat="1" applyFont="1" applyBorder="1" applyAlignment="1">
      <alignment horizontal="right" vertical="center" readingOrder="2"/>
    </xf>
    <xf numFmtId="3" fontId="56" fillId="0" borderId="24" xfId="17" applyNumberFormat="1" applyFont="1" applyBorder="1" applyAlignment="1">
      <alignment horizontal="right" vertical="center" readingOrder="2"/>
    </xf>
    <xf numFmtId="0" fontId="44" fillId="0" borderId="41" xfId="17" applyFont="1" applyBorder="1" applyAlignment="1">
      <alignment horizontal="right" vertical="center" readingOrder="2"/>
    </xf>
    <xf numFmtId="0" fontId="52" fillId="0" borderId="33" xfId="17" applyFont="1" applyBorder="1"/>
    <xf numFmtId="0" fontId="42" fillId="0" borderId="41" xfId="17" applyFont="1" applyBorder="1" applyAlignment="1">
      <alignment horizontal="right" vertical="center" readingOrder="2"/>
    </xf>
    <xf numFmtId="3" fontId="16" fillId="0" borderId="0" xfId="13" quotePrefix="1" applyNumberFormat="1" applyFont="1" applyAlignment="1">
      <alignment horizontal="center" vertical="center"/>
    </xf>
    <xf numFmtId="0" fontId="23" fillId="0" borderId="0" xfId="4" applyFont="1" applyAlignment="1"/>
    <xf numFmtId="0" fontId="22" fillId="0" borderId="0" xfId="16" applyFont="1" applyAlignment="1">
      <alignment horizontal="center"/>
    </xf>
    <xf numFmtId="3" fontId="14" fillId="0" borderId="0" xfId="13" applyNumberFormat="1" applyFont="1" applyBorder="1" applyAlignment="1"/>
    <xf numFmtId="0" fontId="23" fillId="0" borderId="0" xfId="16" applyFont="1" applyAlignment="1"/>
    <xf numFmtId="0" fontId="22" fillId="0" borderId="0" xfId="16" applyFont="1" applyAlignment="1"/>
    <xf numFmtId="166" fontId="16" fillId="0" borderId="2" xfId="10" applyNumberFormat="1" applyFont="1" applyFill="1" applyBorder="1" applyAlignment="1">
      <alignment vertical="center" wrapText="1"/>
    </xf>
    <xf numFmtId="0" fontId="16" fillId="0" borderId="2" xfId="4" applyNumberFormat="1" applyFont="1" applyFill="1" applyBorder="1" applyAlignment="1">
      <alignment vertical="center" wrapText="1"/>
    </xf>
    <xf numFmtId="0" fontId="56" fillId="0" borderId="0" xfId="17" applyFont="1" applyFill="1" applyAlignment="1">
      <alignment horizontal="right" vertical="center" readingOrder="2"/>
    </xf>
    <xf numFmtId="166" fontId="42" fillId="0" borderId="2" xfId="18" applyNumberFormat="1" applyFont="1" applyFill="1" applyBorder="1" applyAlignment="1">
      <alignment horizontal="right" vertical="center" readingOrder="2"/>
    </xf>
    <xf numFmtId="0" fontId="56" fillId="0" borderId="0" xfId="17" applyFont="1" applyAlignment="1">
      <alignment horizontal="right" vertical="center" readingOrder="2"/>
    </xf>
    <xf numFmtId="0" fontId="21" fillId="0" borderId="0" xfId="16"/>
    <xf numFmtId="0" fontId="43" fillId="0" borderId="0" xfId="16" applyFont="1" applyAlignment="1">
      <alignment horizontal="right" vertical="center" readingOrder="2"/>
    </xf>
    <xf numFmtId="0" fontId="42" fillId="0" borderId="0" xfId="16" applyFont="1" applyAlignment="1">
      <alignment horizontal="right" vertical="center" readingOrder="2"/>
    </xf>
    <xf numFmtId="0" fontId="42" fillId="0" borderId="0" xfId="16" quotePrefix="1" applyFont="1" applyAlignment="1">
      <alignment horizontal="right" vertical="center" readingOrder="2"/>
    </xf>
    <xf numFmtId="0" fontId="56" fillId="0" borderId="0" xfId="17" quotePrefix="1" applyFont="1" applyAlignment="1">
      <alignment horizontal="right" vertical="center" readingOrder="2"/>
    </xf>
    <xf numFmtId="0" fontId="44" fillId="0" borderId="30" xfId="17" applyFont="1" applyBorder="1" applyAlignment="1">
      <alignment horizontal="right" vertical="center" readingOrder="2"/>
    </xf>
    <xf numFmtId="3" fontId="19" fillId="0" borderId="6" xfId="16" applyNumberFormat="1" applyFont="1" applyBorder="1" applyAlignment="1">
      <alignment horizontal="center" vertical="center" wrapText="1"/>
    </xf>
    <xf numFmtId="0" fontId="18" fillId="0" borderId="2" xfId="4" applyFont="1" applyFill="1" applyBorder="1" applyAlignment="1">
      <alignment vertical="center" wrapText="1"/>
    </xf>
    <xf numFmtId="0" fontId="33" fillId="0" borderId="0" xfId="4" applyFont="1" applyFill="1" applyAlignment="1">
      <alignment vertical="center" wrapText="1"/>
    </xf>
    <xf numFmtId="0" fontId="34" fillId="0" borderId="0" xfId="4" applyFont="1" applyFill="1" applyAlignment="1">
      <alignment vertical="center" wrapText="1"/>
    </xf>
    <xf numFmtId="0" fontId="9" fillId="0" borderId="0" xfId="20" applyBorder="1"/>
    <xf numFmtId="0" fontId="41" fillId="0" borderId="0" xfId="20" applyFont="1" applyBorder="1" applyAlignment="1">
      <alignment horizontal="right" vertical="center" readingOrder="2"/>
    </xf>
    <xf numFmtId="0" fontId="42" fillId="0" borderId="0" xfId="20" applyFont="1" applyBorder="1" applyAlignment="1">
      <alignment horizontal="right" vertical="center" readingOrder="2"/>
    </xf>
    <xf numFmtId="0" fontId="44" fillId="0" borderId="0" xfId="20" applyFont="1" applyBorder="1" applyAlignment="1">
      <alignment horizontal="right" vertical="center" readingOrder="2"/>
    </xf>
    <xf numFmtId="0" fontId="52" fillId="0" borderId="0" xfId="20" applyFont="1" applyBorder="1"/>
    <xf numFmtId="166" fontId="44" fillId="0" borderId="0" xfId="21" applyNumberFormat="1" applyFont="1" applyBorder="1" applyAlignment="1">
      <alignment horizontal="right" vertical="center" readingOrder="2"/>
    </xf>
    <xf numFmtId="3" fontId="42" fillId="0" borderId="0" xfId="20" applyNumberFormat="1" applyFont="1" applyBorder="1" applyAlignment="1">
      <alignment horizontal="right" vertical="center" readingOrder="2"/>
    </xf>
    <xf numFmtId="0" fontId="28" fillId="0" borderId="0" xfId="20" applyFont="1" applyBorder="1"/>
    <xf numFmtId="166" fontId="44" fillId="0" borderId="0" xfId="21" applyNumberFormat="1" applyFont="1" applyBorder="1" applyAlignment="1">
      <alignment vertical="center" readingOrder="2"/>
    </xf>
    <xf numFmtId="0" fontId="42" fillId="0" borderId="0" xfId="20" quotePrefix="1" applyFont="1" applyBorder="1" applyAlignment="1">
      <alignment horizontal="right" vertical="center" readingOrder="2"/>
    </xf>
    <xf numFmtId="0" fontId="43" fillId="0" borderId="0" xfId="20" applyFont="1" applyBorder="1" applyAlignment="1">
      <alignment horizontal="right" vertical="center" readingOrder="2"/>
    </xf>
    <xf numFmtId="0" fontId="53" fillId="0" borderId="0" xfId="20" applyFont="1" applyBorder="1" applyAlignment="1">
      <alignment horizontal="right" vertical="center" readingOrder="2"/>
    </xf>
    <xf numFmtId="0" fontId="42" fillId="0" borderId="0" xfId="22" applyFont="1" applyAlignment="1">
      <alignment horizontal="right" vertical="center" readingOrder="2"/>
    </xf>
    <xf numFmtId="0" fontId="8" fillId="0" borderId="0" xfId="22"/>
    <xf numFmtId="0" fontId="41" fillId="0" borderId="0" xfId="22" applyFont="1" applyAlignment="1">
      <alignment horizontal="right" vertical="center" readingOrder="2"/>
    </xf>
    <xf numFmtId="0" fontId="61" fillId="0" borderId="0" xfId="22" applyFont="1"/>
    <xf numFmtId="3" fontId="44" fillId="0" borderId="32" xfId="22" applyNumberFormat="1" applyFont="1" applyBorder="1" applyAlignment="1">
      <alignment horizontal="right" vertical="center" readingOrder="2"/>
    </xf>
    <xf numFmtId="0" fontId="44" fillId="0" borderId="18" xfId="22" applyFont="1" applyBorder="1" applyAlignment="1">
      <alignment horizontal="center" vertical="center" readingOrder="2"/>
    </xf>
    <xf numFmtId="0" fontId="44" fillId="0" borderId="0" xfId="22" applyFont="1" applyBorder="1" applyAlignment="1">
      <alignment horizontal="right" vertical="center" readingOrder="2"/>
    </xf>
    <xf numFmtId="0" fontId="42" fillId="0" borderId="20" xfId="22" applyFont="1" applyBorder="1" applyAlignment="1">
      <alignment horizontal="right" vertical="center" readingOrder="2"/>
    </xf>
    <xf numFmtId="3" fontId="42" fillId="0" borderId="21" xfId="22" applyNumberFormat="1" applyFont="1" applyBorder="1" applyAlignment="1">
      <alignment horizontal="center" vertical="center" readingOrder="2"/>
    </xf>
    <xf numFmtId="0" fontId="42" fillId="0" borderId="0" xfId="22" applyFont="1" applyBorder="1" applyAlignment="1">
      <alignment horizontal="right" vertical="center" readingOrder="2"/>
    </xf>
    <xf numFmtId="0" fontId="44" fillId="0" borderId="22" xfId="22" applyFont="1" applyBorder="1" applyAlignment="1">
      <alignment horizontal="right" vertical="center" readingOrder="2"/>
    </xf>
    <xf numFmtId="0" fontId="42" fillId="0" borderId="0" xfId="22" quotePrefix="1" applyFont="1" applyAlignment="1">
      <alignment horizontal="right" vertical="center" readingOrder="2"/>
    </xf>
    <xf numFmtId="0" fontId="44" fillId="0" borderId="32" xfId="22" applyFont="1" applyBorder="1" applyAlignment="1">
      <alignment horizontal="right" vertical="center" readingOrder="2"/>
    </xf>
    <xf numFmtId="0" fontId="44" fillId="0" borderId="16" xfId="22" applyFont="1" applyBorder="1" applyAlignment="1">
      <alignment horizontal="right" vertical="center" readingOrder="2"/>
    </xf>
    <xf numFmtId="0" fontId="44" fillId="0" borderId="17" xfId="22" applyFont="1" applyBorder="1" applyAlignment="1">
      <alignment horizontal="center" vertical="center" readingOrder="2"/>
    </xf>
    <xf numFmtId="0" fontId="44" fillId="0" borderId="18" xfId="22" applyFont="1" applyBorder="1" applyAlignment="1">
      <alignment horizontal="right" vertical="center" readingOrder="2"/>
    </xf>
    <xf numFmtId="3" fontId="42" fillId="0" borderId="2" xfId="22" applyNumberFormat="1" applyFont="1" applyBorder="1" applyAlignment="1">
      <alignment horizontal="center" vertical="center" readingOrder="2"/>
    </xf>
    <xf numFmtId="9" fontId="42" fillId="0" borderId="21" xfId="9" applyFont="1" applyBorder="1" applyAlignment="1">
      <alignment horizontal="right" vertical="center" readingOrder="2"/>
    </xf>
    <xf numFmtId="3" fontId="44" fillId="0" borderId="23" xfId="22" applyNumberFormat="1" applyFont="1" applyBorder="1" applyAlignment="1">
      <alignment horizontal="center" vertical="center" readingOrder="2"/>
    </xf>
    <xf numFmtId="3" fontId="44" fillId="0" borderId="21" xfId="22" applyNumberFormat="1" applyFont="1" applyBorder="1" applyAlignment="1">
      <alignment horizontal="center" vertical="center" readingOrder="2"/>
    </xf>
    <xf numFmtId="0" fontId="42" fillId="0" borderId="45" xfId="22" applyFont="1" applyBorder="1" applyAlignment="1">
      <alignment horizontal="right" vertical="center" readingOrder="2"/>
    </xf>
    <xf numFmtId="3" fontId="42" fillId="0" borderId="46" xfId="22" applyNumberFormat="1" applyFont="1" applyBorder="1" applyAlignment="1">
      <alignment horizontal="center" vertical="center" readingOrder="2"/>
    </xf>
    <xf numFmtId="0" fontId="42" fillId="0" borderId="22" xfId="22" applyFont="1" applyBorder="1" applyAlignment="1">
      <alignment horizontal="right" vertical="center" readingOrder="2"/>
    </xf>
    <xf numFmtId="3" fontId="42" fillId="0" borderId="24" xfId="22" applyNumberFormat="1" applyFont="1" applyBorder="1" applyAlignment="1">
      <alignment horizontal="center" vertical="center" readingOrder="2"/>
    </xf>
    <xf numFmtId="165" fontId="42" fillId="0" borderId="21" xfId="9" applyNumberFormat="1" applyFont="1" applyBorder="1" applyAlignment="1">
      <alignment horizontal="right" vertical="center" readingOrder="2"/>
    </xf>
    <xf numFmtId="0" fontId="42" fillId="0" borderId="45" xfId="22" applyFont="1" applyBorder="1" applyAlignment="1">
      <alignment horizontal="right" vertical="center" wrapText="1" readingOrder="2"/>
    </xf>
    <xf numFmtId="0" fontId="43" fillId="0" borderId="0" xfId="22" applyFont="1" applyAlignment="1">
      <alignment horizontal="right" vertical="center" readingOrder="2"/>
    </xf>
    <xf numFmtId="3" fontId="44" fillId="0" borderId="0" xfId="22" applyNumberFormat="1" applyFont="1" applyBorder="1" applyAlignment="1">
      <alignment horizontal="center" vertical="center" readingOrder="2"/>
    </xf>
    <xf numFmtId="3" fontId="42" fillId="0" borderId="2" xfId="22" applyNumberFormat="1" applyFont="1" applyBorder="1" applyAlignment="1">
      <alignment horizontal="right" vertical="center" readingOrder="2"/>
    </xf>
    <xf numFmtId="3" fontId="44" fillId="0" borderId="23" xfId="22" applyNumberFormat="1" applyFont="1" applyBorder="1" applyAlignment="1">
      <alignment horizontal="right" vertical="center" readingOrder="2"/>
    </xf>
    <xf numFmtId="3" fontId="42" fillId="0" borderId="23" xfId="22" applyNumberFormat="1" applyFont="1" applyBorder="1" applyAlignment="1">
      <alignment horizontal="center" vertical="center" readingOrder="2"/>
    </xf>
    <xf numFmtId="9" fontId="44" fillId="0" borderId="0" xfId="9" applyFont="1" applyBorder="1" applyAlignment="1">
      <alignment horizontal="right" vertical="center" readingOrder="2"/>
    </xf>
    <xf numFmtId="3" fontId="16" fillId="0" borderId="0" xfId="9" applyNumberFormat="1" applyFont="1" applyFill="1" applyAlignment="1"/>
    <xf numFmtId="3" fontId="16" fillId="0" borderId="0" xfId="4" applyNumberFormat="1" applyFont="1" applyFill="1" applyAlignment="1"/>
    <xf numFmtId="0" fontId="33" fillId="0" borderId="0" xfId="4" applyFont="1" applyFill="1" applyBorder="1" applyAlignment="1">
      <alignment horizontal="right" vertical="center"/>
    </xf>
    <xf numFmtId="0" fontId="33" fillId="0" borderId="0" xfId="4" applyFont="1" applyFill="1" applyBorder="1" applyAlignment="1">
      <alignment vertical="center"/>
    </xf>
    <xf numFmtId="0" fontId="19" fillId="0" borderId="2" xfId="4" applyFont="1" applyFill="1" applyBorder="1" applyAlignment="1">
      <alignment horizontal="center" vertical="center"/>
    </xf>
    <xf numFmtId="0" fontId="32" fillId="0" borderId="0" xfId="4" applyNumberFormat="1" applyFont="1" applyFill="1" applyBorder="1" applyAlignment="1">
      <alignment vertical="center" wrapText="1"/>
    </xf>
    <xf numFmtId="3" fontId="32" fillId="0" borderId="0" xfId="4" applyNumberFormat="1" applyFont="1" applyFill="1" applyBorder="1" applyAlignment="1">
      <alignment vertical="center" wrapText="1"/>
    </xf>
    <xf numFmtId="0" fontId="32" fillId="0" borderId="0" xfId="4" applyFont="1" applyFill="1" applyBorder="1" applyAlignment="1">
      <alignment vertical="center" wrapText="1"/>
    </xf>
    <xf numFmtId="3" fontId="15" fillId="0" borderId="2" xfId="4" applyNumberFormat="1" applyFont="1" applyFill="1" applyBorder="1" applyAlignment="1">
      <alignment horizontal="right" vertical="center"/>
    </xf>
    <xf numFmtId="3" fontId="15" fillId="0" borderId="2" xfId="4" applyNumberFormat="1" applyFont="1" applyFill="1" applyBorder="1" applyAlignment="1">
      <alignment vertical="center"/>
    </xf>
    <xf numFmtId="3" fontId="42" fillId="0" borderId="0" xfId="22" applyNumberFormat="1" applyFont="1" applyBorder="1" applyAlignment="1">
      <alignment horizontal="center" vertical="center" readingOrder="2"/>
    </xf>
    <xf numFmtId="9" fontId="42" fillId="0" borderId="0" xfId="9" applyFont="1" applyBorder="1" applyAlignment="1">
      <alignment horizontal="right" vertical="center" readingOrder="2"/>
    </xf>
    <xf numFmtId="0" fontId="40" fillId="0" borderId="0" xfId="16" applyFont="1" applyAlignment="1"/>
    <xf numFmtId="0" fontId="23" fillId="0" borderId="0" xfId="4" applyFont="1" applyFill="1" applyBorder="1" applyAlignment="1">
      <alignment vertical="center"/>
    </xf>
    <xf numFmtId="165" fontId="10" fillId="0" borderId="0" xfId="9" applyNumberFormat="1" applyFont="1"/>
    <xf numFmtId="165" fontId="44" fillId="0" borderId="24" xfId="9" applyNumberFormat="1" applyFont="1" applyBorder="1" applyAlignment="1">
      <alignment horizontal="right" vertical="center" readingOrder="2"/>
    </xf>
    <xf numFmtId="0" fontId="44" fillId="0" borderId="18" xfId="22" applyFont="1" applyBorder="1" applyAlignment="1">
      <alignment vertical="center" readingOrder="2"/>
    </xf>
    <xf numFmtId="165" fontId="42" fillId="0" borderId="21" xfId="9" applyNumberFormat="1" applyFont="1" applyBorder="1" applyAlignment="1">
      <alignment vertical="center" readingOrder="2"/>
    </xf>
    <xf numFmtId="0" fontId="18" fillId="0" borderId="2" xfId="16" applyFont="1" applyFill="1" applyBorder="1" applyAlignment="1">
      <alignment vertical="center"/>
    </xf>
    <xf numFmtId="3" fontId="16" fillId="0" borderId="2" xfId="4" applyNumberFormat="1" applyFont="1" applyBorder="1" applyAlignment="1">
      <alignment horizontal="right" vertical="center" wrapText="1"/>
    </xf>
    <xf numFmtId="0" fontId="19" fillId="0" borderId="2" xfId="4" applyFont="1" applyFill="1" applyBorder="1" applyAlignment="1">
      <alignment horizontal="center" vertical="center"/>
    </xf>
    <xf numFmtId="0" fontId="14" fillId="0" borderId="0" xfId="4" applyFont="1" applyFill="1" applyAlignment="1">
      <alignment wrapText="1"/>
    </xf>
    <xf numFmtId="4" fontId="14" fillId="0" borderId="0" xfId="4" applyNumberFormat="1" applyFont="1" applyFill="1" applyAlignment="1"/>
    <xf numFmtId="0" fontId="16" fillId="0" borderId="0" xfId="4" applyFont="1" applyFill="1" applyAlignment="1">
      <alignment horizontal="center" vertical="center"/>
    </xf>
    <xf numFmtId="0" fontId="16" fillId="0" borderId="2" xfId="4" applyFont="1" applyFill="1" applyBorder="1" applyAlignment="1">
      <alignment vertical="center"/>
    </xf>
    <xf numFmtId="3" fontId="29" fillId="0" borderId="2" xfId="4" applyNumberFormat="1" applyFont="1" applyFill="1" applyBorder="1" applyAlignment="1">
      <alignment vertical="center" wrapText="1"/>
    </xf>
    <xf numFmtId="0" fontId="16" fillId="0" borderId="2" xfId="4" applyFont="1" applyFill="1" applyBorder="1" applyAlignment="1">
      <alignment horizontal="right" vertical="center" wrapText="1"/>
    </xf>
    <xf numFmtId="3" fontId="31" fillId="0" borderId="2" xfId="4" applyNumberFormat="1" applyFont="1" applyFill="1" applyBorder="1" applyAlignment="1">
      <alignment horizontal="right" vertical="center" wrapText="1"/>
    </xf>
    <xf numFmtId="3" fontId="19" fillId="0" borderId="0" xfId="4" applyNumberFormat="1" applyFont="1" applyFill="1" applyBorder="1" applyAlignment="1">
      <alignment horizontal="right" vertical="center" wrapText="1"/>
    </xf>
    <xf numFmtId="0" fontId="14" fillId="0" borderId="0" xfId="4" applyFont="1" applyFill="1" applyBorder="1" applyAlignment="1"/>
    <xf numFmtId="0" fontId="23" fillId="0" borderId="0" xfId="16" applyFont="1" applyFill="1" applyAlignment="1"/>
    <xf numFmtId="0" fontId="14" fillId="0" borderId="0" xfId="16" applyFont="1" applyFill="1" applyAlignment="1"/>
    <xf numFmtId="0" fontId="14" fillId="0" borderId="0" xfId="16" applyFont="1" applyFill="1"/>
    <xf numFmtId="0" fontId="14" fillId="0" borderId="0" xfId="16" applyFont="1" applyFill="1" applyAlignment="1">
      <alignment wrapText="1"/>
    </xf>
    <xf numFmtId="0" fontId="16" fillId="0" borderId="0" xfId="16" applyFont="1" applyFill="1" applyAlignment="1"/>
    <xf numFmtId="0" fontId="16" fillId="0" borderId="0" xfId="16" applyFont="1" applyFill="1" applyAlignment="1">
      <alignment vertical="center"/>
    </xf>
    <xf numFmtId="0" fontId="16" fillId="0" borderId="0" xfId="16" applyFont="1" applyFill="1" applyAlignment="1">
      <alignment horizontal="right"/>
    </xf>
    <xf numFmtId="3" fontId="15" fillId="0" borderId="2" xfId="26" applyNumberFormat="1" applyFont="1" applyBorder="1" applyAlignment="1">
      <alignment horizontal="right" vertical="center"/>
    </xf>
    <xf numFmtId="3" fontId="15" fillId="0" borderId="0" xfId="16" applyNumberFormat="1" applyFont="1" applyFill="1" applyBorder="1" applyAlignment="1">
      <alignment horizontal="right" vertical="center" wrapText="1"/>
    </xf>
    <xf numFmtId="3" fontId="16" fillId="4" borderId="2" xfId="16" applyNumberFormat="1" applyFont="1" applyFill="1" applyBorder="1" applyAlignment="1">
      <alignment vertical="center" wrapText="1"/>
    </xf>
    <xf numFmtId="0" fontId="31" fillId="0" borderId="2" xfId="16" applyFont="1" applyFill="1" applyBorder="1" applyAlignment="1">
      <alignment horizontal="right" vertical="center" wrapText="1"/>
    </xf>
    <xf numFmtId="3" fontId="16" fillId="0" borderId="0" xfId="16" applyNumberFormat="1" applyFont="1" applyFill="1" applyAlignment="1">
      <alignment horizontal="right"/>
    </xf>
    <xf numFmtId="0" fontId="32" fillId="0" borderId="2" xfId="16" applyFont="1" applyFill="1" applyBorder="1" applyAlignment="1">
      <alignment vertical="center" wrapText="1"/>
    </xf>
    <xf numFmtId="0" fontId="16" fillId="0" borderId="2" xfId="16" applyFont="1" applyFill="1" applyBorder="1" applyAlignment="1">
      <alignment vertical="center"/>
    </xf>
    <xf numFmtId="3" fontId="16" fillId="0" borderId="2" xfId="16" applyNumberFormat="1" applyFont="1" applyFill="1" applyBorder="1" applyAlignment="1">
      <alignment horizontal="right" vertical="center" wrapText="1"/>
    </xf>
    <xf numFmtId="0" fontId="16" fillId="0" borderId="0" xfId="16" applyFont="1" applyFill="1" applyBorder="1" applyAlignment="1">
      <alignment vertical="center" wrapText="1"/>
    </xf>
    <xf numFmtId="0" fontId="16" fillId="0" borderId="11" xfId="16" applyFont="1" applyFill="1" applyBorder="1" applyAlignment="1">
      <alignment vertical="center" wrapText="1"/>
    </xf>
    <xf numFmtId="0" fontId="15" fillId="0" borderId="2" xfId="16" applyFont="1" applyFill="1" applyBorder="1" applyAlignment="1">
      <alignment vertical="center"/>
    </xf>
    <xf numFmtId="0" fontId="15" fillId="0" borderId="0" xfId="16" applyFont="1" applyFill="1" applyAlignment="1">
      <alignment wrapText="1"/>
    </xf>
    <xf numFmtId="0" fontId="15" fillId="0" borderId="0" xfId="16" applyFont="1" applyFill="1"/>
    <xf numFmtId="0" fontId="31" fillId="0" borderId="2" xfId="16" applyFont="1" applyFill="1" applyBorder="1" applyAlignment="1">
      <alignment vertical="center" wrapText="1"/>
    </xf>
    <xf numFmtId="0" fontId="15" fillId="0" borderId="2" xfId="16" applyFont="1" applyFill="1" applyBorder="1" applyAlignment="1"/>
    <xf numFmtId="0" fontId="15" fillId="0" borderId="0" xfId="16" applyFont="1" applyFill="1" applyBorder="1" applyAlignment="1"/>
    <xf numFmtId="0" fontId="16" fillId="0" borderId="0" xfId="16" applyFont="1" applyFill="1" applyBorder="1"/>
    <xf numFmtId="3" fontId="16" fillId="0" borderId="0" xfId="16" applyNumberFormat="1" applyFont="1" applyFill="1" applyBorder="1"/>
    <xf numFmtId="3" fontId="15" fillId="0" borderId="0" xfId="16" applyNumberFormat="1" applyFont="1" applyFill="1" applyBorder="1"/>
    <xf numFmtId="0" fontId="31" fillId="0" borderId="0" xfId="4" applyFont="1" applyFill="1" applyBorder="1" applyAlignment="1">
      <alignment wrapText="1"/>
    </xf>
    <xf numFmtId="0" fontId="31" fillId="0" borderId="0" xfId="4" applyFont="1" applyFill="1" applyAlignment="1">
      <alignment wrapText="1"/>
    </xf>
    <xf numFmtId="0" fontId="31" fillId="0" borderId="0" xfId="16" applyFont="1" applyFill="1" applyBorder="1" applyAlignment="1">
      <alignment wrapText="1"/>
    </xf>
    <xf numFmtId="0" fontId="31" fillId="0" borderId="0" xfId="16" applyFont="1" applyFill="1" applyBorder="1" applyAlignment="1"/>
    <xf numFmtId="0" fontId="31" fillId="0" borderId="0" xfId="16" applyFont="1" applyFill="1"/>
    <xf numFmtId="0" fontId="31" fillId="0" borderId="0" xfId="4" applyFont="1" applyFill="1" applyBorder="1" applyAlignment="1">
      <alignment horizontal="right" vertical="center" wrapText="1"/>
    </xf>
    <xf numFmtId="0" fontId="31" fillId="0" borderId="0" xfId="4" applyFont="1" applyFill="1" applyBorder="1" applyAlignment="1">
      <alignment vertical="center" wrapText="1"/>
    </xf>
    <xf numFmtId="3" fontId="31" fillId="0" borderId="0" xfId="4" applyNumberFormat="1" applyFont="1" applyFill="1" applyBorder="1" applyAlignment="1">
      <alignment wrapText="1"/>
    </xf>
    <xf numFmtId="3" fontId="31" fillId="0" borderId="0" xfId="4" applyNumberFormat="1" applyFont="1" applyFill="1" applyAlignment="1">
      <alignment wrapText="1"/>
    </xf>
    <xf numFmtId="3" fontId="31" fillId="0" borderId="0" xfId="4" applyNumberFormat="1" applyFont="1" applyFill="1" applyBorder="1" applyAlignment="1">
      <alignment vertical="center" wrapText="1"/>
    </xf>
    <xf numFmtId="0" fontId="15" fillId="0" borderId="2" xfId="4" applyFont="1" applyFill="1" applyBorder="1" applyAlignment="1">
      <alignment vertical="center"/>
    </xf>
    <xf numFmtId="0" fontId="27" fillId="0" borderId="0" xfId="4" applyFont="1" applyFill="1" applyBorder="1" applyAlignment="1">
      <alignment vertical="center" wrapText="1"/>
    </xf>
    <xf numFmtId="3" fontId="27" fillId="0" borderId="0" xfId="4" applyNumberFormat="1" applyFont="1" applyFill="1" applyBorder="1" applyAlignment="1">
      <alignment vertical="center" wrapText="1"/>
    </xf>
    <xf numFmtId="0" fontId="27" fillId="0" borderId="0" xfId="4" applyFont="1" applyFill="1" applyAlignment="1">
      <alignment vertical="center" wrapText="1"/>
    </xf>
    <xf numFmtId="0" fontId="31" fillId="0" borderId="0" xfId="4" applyFont="1" applyFill="1" applyBorder="1"/>
    <xf numFmtId="0" fontId="15" fillId="0" borderId="4" xfId="16" applyFont="1" applyFill="1" applyBorder="1" applyAlignment="1">
      <alignment horizontal="right" vertical="center" wrapText="1"/>
    </xf>
    <xf numFmtId="0" fontId="15" fillId="0" borderId="6" xfId="16" applyFont="1" applyFill="1" applyBorder="1" applyAlignment="1">
      <alignment horizontal="right" vertical="center" wrapText="1"/>
    </xf>
    <xf numFmtId="0" fontId="15" fillId="0" borderId="0" xfId="16" applyFont="1" applyFill="1" applyBorder="1" applyAlignment="1">
      <alignment horizontal="right" vertical="center" wrapText="1"/>
    </xf>
    <xf numFmtId="3" fontId="16" fillId="0" borderId="4" xfId="16" applyNumberFormat="1" applyFont="1" applyFill="1" applyBorder="1" applyAlignment="1">
      <alignment vertical="center" wrapText="1"/>
    </xf>
    <xf numFmtId="3" fontId="16" fillId="0" borderId="6" xfId="16" applyNumberFormat="1" applyFont="1" applyFill="1" applyBorder="1" applyAlignment="1">
      <alignment vertical="center" wrapText="1"/>
    </xf>
    <xf numFmtId="0" fontId="16" fillId="0" borderId="2" xfId="16" applyFont="1" applyFill="1" applyBorder="1" applyAlignment="1">
      <alignment wrapText="1"/>
    </xf>
    <xf numFmtId="3" fontId="15" fillId="0" borderId="4" xfId="16" applyNumberFormat="1" applyFont="1" applyFill="1" applyBorder="1" applyAlignment="1">
      <alignment vertical="center" wrapText="1"/>
    </xf>
    <xf numFmtId="3" fontId="15" fillId="0" borderId="6" xfId="16" applyNumberFormat="1" applyFont="1" applyFill="1" applyBorder="1" applyAlignment="1">
      <alignment vertical="center" wrapText="1"/>
    </xf>
    <xf numFmtId="49" fontId="16" fillId="0" borderId="2" xfId="16" applyNumberFormat="1" applyFont="1" applyFill="1" applyBorder="1" applyAlignment="1">
      <alignment horizontal="right" vertical="center" wrapText="1"/>
    </xf>
    <xf numFmtId="0" fontId="23" fillId="0" borderId="0" xfId="26" applyFont="1" applyAlignment="1"/>
    <xf numFmtId="0" fontId="23" fillId="0" borderId="0" xfId="26" applyFont="1" applyAlignment="1">
      <alignment wrapText="1"/>
    </xf>
    <xf numFmtId="3" fontId="14" fillId="0" borderId="0" xfId="26" applyNumberFormat="1" applyFont="1"/>
    <xf numFmtId="0" fontId="14" fillId="0" borderId="0" xfId="26" applyFont="1"/>
    <xf numFmtId="0" fontId="14" fillId="0" borderId="0" xfId="26" applyFont="1" applyAlignment="1"/>
    <xf numFmtId="0" fontId="6" fillId="0" borderId="0" xfId="26"/>
    <xf numFmtId="0" fontId="16" fillId="0" borderId="0" xfId="26" applyFont="1"/>
    <xf numFmtId="0" fontId="16" fillId="0" borderId="0" xfId="26" applyFont="1" applyAlignment="1"/>
    <xf numFmtId="0" fontId="19" fillId="0" borderId="2" xfId="4" applyFont="1" applyFill="1" applyBorder="1" applyAlignment="1">
      <alignment vertical="center"/>
    </xf>
    <xf numFmtId="166" fontId="16" fillId="0" borderId="2" xfId="10" applyNumberFormat="1" applyFont="1" applyFill="1" applyBorder="1" applyAlignment="1">
      <alignment horizontal="right" vertical="center" wrapText="1"/>
    </xf>
    <xf numFmtId="0" fontId="15" fillId="0" borderId="2" xfId="4" applyFont="1" applyFill="1" applyBorder="1"/>
    <xf numFmtId="0" fontId="31" fillId="0" borderId="2" xfId="4" applyFont="1" applyFill="1" applyBorder="1" applyAlignment="1">
      <alignment horizontal="center" vertical="center" wrapText="1"/>
    </xf>
    <xf numFmtId="0" fontId="14" fillId="0" borderId="0" xfId="26" applyFont="1" applyFill="1" applyAlignment="1"/>
    <xf numFmtId="3" fontId="15" fillId="0" borderId="2" xfId="26" applyNumberFormat="1" applyFont="1" applyBorder="1" applyAlignment="1">
      <alignment horizontal="right" vertical="center" wrapText="1"/>
    </xf>
    <xf numFmtId="3" fontId="15" fillId="0" borderId="0" xfId="26" applyNumberFormat="1" applyFont="1" applyBorder="1" applyAlignment="1">
      <alignment horizontal="right" vertical="center" wrapText="1"/>
    </xf>
    <xf numFmtId="0" fontId="16" fillId="0" borderId="2" xfId="26" applyFont="1" applyBorder="1" applyAlignment="1">
      <alignment vertical="center" wrapText="1"/>
    </xf>
    <xf numFmtId="3" fontId="16" fillId="0" borderId="2" xfId="26" applyNumberFormat="1" applyFont="1" applyBorder="1" applyAlignment="1">
      <alignment vertical="center" wrapText="1"/>
    </xf>
    <xf numFmtId="0" fontId="16" fillId="0" borderId="2" xfId="26" applyFont="1" applyBorder="1" applyAlignment="1">
      <alignment vertical="center"/>
    </xf>
    <xf numFmtId="0" fontId="16" fillId="0" borderId="0" xfId="26" applyFont="1" applyAlignment="1">
      <alignment vertical="center" wrapText="1"/>
    </xf>
    <xf numFmtId="3" fontId="16" fillId="0" borderId="2" xfId="26" applyNumberFormat="1" applyFont="1" applyFill="1" applyBorder="1" applyAlignment="1">
      <alignment vertical="center" wrapText="1"/>
    </xf>
    <xf numFmtId="164" fontId="16" fillId="0" borderId="0" xfId="26" applyNumberFormat="1" applyFont="1" applyAlignment="1"/>
    <xf numFmtId="0" fontId="15" fillId="0" borderId="2" xfId="26" applyFont="1" applyBorder="1" applyAlignment="1">
      <alignment vertical="center" wrapText="1"/>
    </xf>
    <xf numFmtId="0" fontId="15" fillId="0" borderId="2" xfId="26" applyFont="1" applyFill="1" applyBorder="1" applyAlignment="1">
      <alignment vertical="center" wrapText="1"/>
    </xf>
    <xf numFmtId="3" fontId="15" fillId="0" borderId="2" xfId="26" applyNumberFormat="1" applyFont="1" applyBorder="1" applyAlignment="1">
      <alignment vertical="center" wrapText="1"/>
    </xf>
    <xf numFmtId="0" fontId="15" fillId="0" borderId="2" xfId="26" applyFont="1" applyBorder="1" applyAlignment="1">
      <alignment vertical="center"/>
    </xf>
    <xf numFmtId="0" fontId="28" fillId="0" borderId="0" xfId="26" applyFont="1"/>
    <xf numFmtId="3" fontId="16" fillId="0" borderId="0" xfId="26" applyNumberFormat="1" applyFont="1"/>
    <xf numFmtId="3" fontId="65" fillId="0" borderId="0" xfId="26" applyNumberFormat="1" applyFont="1"/>
    <xf numFmtId="3" fontId="16" fillId="0" borderId="0" xfId="26" applyNumberFormat="1" applyFont="1" applyAlignment="1">
      <alignment wrapText="1"/>
    </xf>
    <xf numFmtId="3" fontId="16" fillId="0" borderId="0" xfId="16" applyNumberFormat="1" applyFont="1" applyAlignment="1">
      <alignment vertical="center" wrapText="1"/>
    </xf>
    <xf numFmtId="3" fontId="14" fillId="0" borderId="0" xfId="16" applyNumberFormat="1" applyFont="1" applyFill="1"/>
    <xf numFmtId="3" fontId="32" fillId="0" borderId="4" xfId="13" applyNumberFormat="1" applyFont="1" applyBorder="1" applyAlignment="1">
      <alignment vertical="center"/>
    </xf>
    <xf numFmtId="3" fontId="32" fillId="0" borderId="5" xfId="13" applyNumberFormat="1" applyFont="1" applyBorder="1" applyAlignment="1">
      <alignment vertical="center"/>
    </xf>
    <xf numFmtId="3" fontId="32" fillId="0" borderId="6" xfId="13" applyNumberFormat="1" applyFont="1" applyBorder="1" applyAlignment="1">
      <alignment vertical="center"/>
    </xf>
    <xf numFmtId="3" fontId="15" fillId="0" borderId="11" xfId="13" applyNumberFormat="1" applyFont="1" applyBorder="1" applyAlignment="1">
      <alignment horizontal="right" vertical="center" wrapText="1"/>
    </xf>
    <xf numFmtId="164" fontId="17" fillId="0" borderId="2" xfId="4" applyNumberFormat="1" applyFont="1" applyFill="1" applyBorder="1" applyAlignment="1">
      <alignment vertical="top"/>
    </xf>
    <xf numFmtId="164" fontId="16" fillId="0" borderId="2" xfId="4" applyNumberFormat="1" applyFont="1" applyFill="1" applyBorder="1" applyAlignment="1">
      <alignment vertical="center" wrapText="1"/>
    </xf>
    <xf numFmtId="0" fontId="23" fillId="0" borderId="0" xfId="28" applyFont="1" applyAlignment="1"/>
    <xf numFmtId="0" fontId="16" fillId="0" borderId="0" xfId="28" applyFont="1"/>
    <xf numFmtId="0" fontId="6" fillId="0" borderId="0" xfId="28"/>
    <xf numFmtId="3" fontId="15" fillId="0" borderId="2" xfId="28" applyNumberFormat="1" applyFont="1" applyBorder="1" applyAlignment="1">
      <alignment horizontal="right" vertical="center" wrapText="1"/>
    </xf>
    <xf numFmtId="0" fontId="16" fillId="0" borderId="2" xfId="28" applyFont="1" applyBorder="1" applyAlignment="1"/>
    <xf numFmtId="0" fontId="16" fillId="0" borderId="2" xfId="28" applyFont="1" applyBorder="1"/>
    <xf numFmtId="3" fontId="16" fillId="0" borderId="2" xfId="28" applyNumberFormat="1" applyFont="1" applyBorder="1"/>
    <xf numFmtId="0" fontId="6" fillId="0" borderId="2" xfId="28" applyBorder="1"/>
    <xf numFmtId="0" fontId="16" fillId="0" borderId="2" xfId="28" applyFont="1" applyBorder="1" applyAlignment="1">
      <alignment vertical="center" wrapText="1"/>
    </xf>
    <xf numFmtId="0" fontId="16" fillId="0" borderId="2" xfId="28" applyFont="1" applyFill="1" applyBorder="1" applyAlignment="1">
      <alignment vertical="center" wrapText="1"/>
    </xf>
    <xf numFmtId="3" fontId="16" fillId="0" borderId="2" xfId="28" applyNumberFormat="1" applyFont="1" applyBorder="1" applyAlignment="1">
      <alignment vertical="center" wrapText="1"/>
    </xf>
    <xf numFmtId="0" fontId="19" fillId="0" borderId="2" xfId="28" applyFont="1" applyBorder="1" applyAlignment="1">
      <alignment vertical="center" wrapText="1"/>
    </xf>
    <xf numFmtId="3" fontId="19" fillId="0" borderId="2" xfId="28" applyNumberFormat="1" applyFont="1" applyBorder="1" applyAlignment="1">
      <alignment vertical="center" wrapText="1"/>
    </xf>
    <xf numFmtId="0" fontId="60" fillId="0" borderId="0" xfId="28" applyFont="1"/>
    <xf numFmtId="0" fontId="16" fillId="0" borderId="0" xfId="28" applyFont="1" applyAlignment="1"/>
    <xf numFmtId="3" fontId="16" fillId="0" borderId="0" xfId="28" applyNumberFormat="1" applyFont="1"/>
    <xf numFmtId="3" fontId="16" fillId="0" borderId="0" xfId="28" quotePrefix="1" applyNumberFormat="1" applyFont="1"/>
    <xf numFmtId="3" fontId="16" fillId="0" borderId="2" xfId="4" applyNumberFormat="1" applyFont="1" applyFill="1" applyBorder="1" applyAlignment="1">
      <alignment vertical="center"/>
    </xf>
    <xf numFmtId="9" fontId="15" fillId="0" borderId="0" xfId="9" applyFont="1" applyFill="1" applyBorder="1" applyAlignment="1">
      <alignment wrapText="1"/>
    </xf>
    <xf numFmtId="3" fontId="16" fillId="4" borderId="2" xfId="4" applyNumberFormat="1" applyFont="1" applyFill="1" applyBorder="1" applyAlignment="1">
      <alignment vertical="center" wrapText="1"/>
    </xf>
    <xf numFmtId="0" fontId="23" fillId="0" borderId="0" xfId="28" applyFont="1" applyBorder="1" applyAlignment="1"/>
    <xf numFmtId="0" fontId="16" fillId="0" borderId="0" xfId="28" applyFont="1" applyBorder="1"/>
    <xf numFmtId="0" fontId="6" fillId="0" borderId="0" xfId="28" applyBorder="1"/>
    <xf numFmtId="3" fontId="39" fillId="0" borderId="0" xfId="28" applyNumberFormat="1" applyFont="1" applyBorder="1" applyAlignment="1">
      <alignment horizontal="right" vertical="top"/>
    </xf>
    <xf numFmtId="3" fontId="23" fillId="0" borderId="0" xfId="28" applyNumberFormat="1" applyFont="1" applyAlignment="1"/>
    <xf numFmtId="3" fontId="32" fillId="0" borderId="6" xfId="13" applyNumberFormat="1" applyFont="1" applyBorder="1" applyAlignment="1">
      <alignment horizontal="center" vertical="center"/>
    </xf>
    <xf numFmtId="0" fontId="16" fillId="3" borderId="5" xfId="4" applyFont="1" applyFill="1" applyBorder="1" applyAlignment="1">
      <alignment vertical="center" wrapText="1"/>
    </xf>
    <xf numFmtId="0" fontId="16" fillId="0" borderId="5" xfId="16" applyFont="1" applyFill="1" applyBorder="1" applyAlignment="1">
      <alignment vertical="center" wrapText="1"/>
    </xf>
    <xf numFmtId="166" fontId="14" fillId="0" borderId="0" xfId="10" applyNumberFormat="1" applyFont="1" applyFill="1" applyAlignment="1"/>
    <xf numFmtId="0" fontId="32" fillId="0" borderId="4" xfId="13" applyFont="1" applyBorder="1" applyAlignment="1"/>
    <xf numFmtId="0" fontId="32" fillId="0" borderId="5" xfId="13" applyFont="1" applyBorder="1" applyAlignment="1"/>
    <xf numFmtId="3" fontId="15" fillId="0" borderId="6" xfId="16" applyNumberFormat="1" applyFont="1" applyFill="1" applyBorder="1" applyAlignment="1">
      <alignment horizontal="right" vertical="center" wrapText="1"/>
    </xf>
    <xf numFmtId="0" fontId="15" fillId="4" borderId="2" xfId="16" applyFont="1" applyFill="1" applyBorder="1" applyAlignment="1">
      <alignment vertical="center" wrapText="1"/>
    </xf>
    <xf numFmtId="43" fontId="16" fillId="0" borderId="2" xfId="16" applyNumberFormat="1" applyFont="1" applyFill="1" applyBorder="1" applyAlignment="1">
      <alignment wrapText="1"/>
    </xf>
    <xf numFmtId="3" fontId="15" fillId="0" borderId="3" xfId="16" applyNumberFormat="1" applyFont="1" applyFill="1" applyBorder="1" applyAlignment="1">
      <alignment vertical="center" wrapText="1"/>
    </xf>
    <xf numFmtId="0" fontId="15" fillId="0" borderId="5" xfId="16" applyFont="1" applyFill="1" applyBorder="1" applyAlignment="1">
      <alignment vertical="center" wrapText="1"/>
    </xf>
    <xf numFmtId="0" fontId="15" fillId="0" borderId="2" xfId="16" applyFont="1" applyFill="1" applyBorder="1"/>
    <xf numFmtId="0" fontId="19" fillId="0" borderId="2" xfId="16" applyFont="1" applyFill="1" applyBorder="1" applyAlignment="1"/>
    <xf numFmtId="3" fontId="16" fillId="0" borderId="0" xfId="16" quotePrefix="1" applyNumberFormat="1" applyFont="1" applyFill="1" applyBorder="1"/>
    <xf numFmtId="166" fontId="15" fillId="0" borderId="0" xfId="10" applyNumberFormat="1" applyFont="1" applyBorder="1" applyAlignment="1"/>
    <xf numFmtId="3" fontId="15" fillId="0" borderId="0" xfId="13" applyNumberFormat="1" applyFont="1" applyBorder="1" applyAlignment="1">
      <alignment vertical="center" wrapText="1"/>
    </xf>
    <xf numFmtId="0" fontId="16" fillId="0" borderId="2" xfId="13" applyFont="1" applyBorder="1"/>
    <xf numFmtId="3" fontId="16" fillId="0" borderId="2" xfId="13" applyNumberFormat="1" applyFont="1" applyFill="1" applyBorder="1" applyAlignment="1">
      <alignment horizontal="right" vertical="center" wrapText="1"/>
    </xf>
    <xf numFmtId="3" fontId="16" fillId="0" borderId="0" xfId="13" applyNumberFormat="1" applyFont="1" applyFill="1" applyBorder="1" applyAlignment="1">
      <alignment vertical="center" wrapText="1"/>
    </xf>
    <xf numFmtId="0" fontId="16" fillId="0" borderId="0" xfId="13" applyFont="1" applyFill="1" applyAlignment="1">
      <alignment vertical="center" wrapText="1"/>
    </xf>
    <xf numFmtId="0" fontId="35" fillId="0" borderId="0" xfId="13" applyFill="1"/>
    <xf numFmtId="3" fontId="32" fillId="0" borderId="2" xfId="4" applyNumberFormat="1" applyFont="1" applyFill="1" applyBorder="1" applyAlignment="1">
      <alignment horizontal="right" vertical="center"/>
    </xf>
    <xf numFmtId="3" fontId="33" fillId="0" borderId="2" xfId="4" applyNumberFormat="1" applyFont="1" applyFill="1" applyBorder="1" applyAlignment="1">
      <alignment vertical="center"/>
    </xf>
    <xf numFmtId="166" fontId="18" fillId="0" borderId="0" xfId="10" applyNumberFormat="1" applyFont="1" applyFill="1" applyBorder="1" applyAlignment="1">
      <alignment horizontal="right" vertical="center"/>
    </xf>
    <xf numFmtId="0" fontId="33" fillId="4" borderId="4" xfId="4" applyFont="1" applyFill="1" applyBorder="1" applyAlignment="1">
      <alignment horizontal="right" vertical="center"/>
    </xf>
    <xf numFmtId="0" fontId="22" fillId="0" borderId="0" xfId="16" applyFont="1" applyFill="1" applyAlignment="1"/>
    <xf numFmtId="3" fontId="22" fillId="0" borderId="0" xfId="16" applyNumberFormat="1" applyFont="1" applyAlignment="1"/>
    <xf numFmtId="0" fontId="19" fillId="0" borderId="0" xfId="16" applyFont="1" applyAlignment="1">
      <alignment vertical="center"/>
    </xf>
    <xf numFmtId="0" fontId="14" fillId="0" borderId="2" xfId="16" applyFont="1" applyBorder="1"/>
    <xf numFmtId="0" fontId="19" fillId="0" borderId="0" xfId="16" applyFont="1" applyFill="1" applyBorder="1"/>
    <xf numFmtId="0" fontId="14" fillId="0" borderId="0" xfId="16" applyFont="1" applyFill="1" applyBorder="1"/>
    <xf numFmtId="0" fontId="19" fillId="0" borderId="2" xfId="16" applyFont="1" applyFill="1" applyBorder="1"/>
    <xf numFmtId="0" fontId="66" fillId="0" borderId="0" xfId="17" quotePrefix="1" applyFont="1" applyFill="1" applyAlignment="1">
      <alignment horizontal="right" vertical="center" readingOrder="2"/>
    </xf>
    <xf numFmtId="0" fontId="5" fillId="0" borderId="0" xfId="17" applyFont="1"/>
    <xf numFmtId="3" fontId="19" fillId="0" borderId="6" xfId="16" applyNumberFormat="1" applyFont="1" applyBorder="1" applyAlignment="1">
      <alignment horizontal="center" vertical="center" wrapText="1"/>
    </xf>
    <xf numFmtId="3" fontId="16" fillId="0" borderId="0" xfId="16" applyNumberFormat="1" applyFont="1" applyFill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0" fontId="34" fillId="0" borderId="2" xfId="0" applyFont="1" applyBorder="1" applyAlignment="1">
      <alignment horizontal="right" vertical="center" wrapText="1"/>
    </xf>
    <xf numFmtId="3" fontId="32" fillId="0" borderId="2" xfId="13" applyNumberFormat="1" applyFont="1" applyBorder="1" applyAlignment="1">
      <alignment vertical="center"/>
    </xf>
    <xf numFmtId="0" fontId="16" fillId="0" borderId="2" xfId="13" applyFont="1" applyFill="1" applyBorder="1"/>
    <xf numFmtId="3" fontId="16" fillId="0" borderId="2" xfId="13" applyNumberFormat="1" applyFont="1" applyFill="1" applyBorder="1"/>
    <xf numFmtId="0" fontId="15" fillId="0" borderId="0" xfId="13" applyFont="1" applyFill="1" applyAlignment="1">
      <alignment vertical="center" wrapText="1"/>
    </xf>
    <xf numFmtId="0" fontId="16" fillId="0" borderId="2" xfId="13" applyFont="1" applyFill="1" applyBorder="1" applyAlignment="1">
      <alignment vertical="center"/>
    </xf>
    <xf numFmtId="3" fontId="15" fillId="0" borderId="0" xfId="13" applyNumberFormat="1" applyFont="1" applyFill="1" applyBorder="1" applyAlignment="1">
      <alignment vertical="center" wrapText="1"/>
    </xf>
    <xf numFmtId="0" fontId="59" fillId="0" borderId="0" xfId="13" applyFont="1" applyFill="1"/>
    <xf numFmtId="0" fontId="18" fillId="0" borderId="2" xfId="13" applyFont="1" applyFill="1" applyBorder="1" applyAlignment="1">
      <alignment vertical="center" wrapText="1"/>
    </xf>
    <xf numFmtId="0" fontId="18" fillId="0" borderId="0" xfId="13" applyFont="1" applyFill="1" applyAlignment="1">
      <alignment vertical="center" wrapText="1"/>
    </xf>
    <xf numFmtId="3" fontId="19" fillId="0" borderId="2" xfId="13" applyNumberFormat="1" applyFont="1" applyFill="1" applyBorder="1" applyAlignment="1">
      <alignment horizontal="right" vertical="center" wrapText="1"/>
    </xf>
    <xf numFmtId="0" fontId="15" fillId="0" borderId="0" xfId="13" applyFont="1" applyFill="1"/>
    <xf numFmtId="3" fontId="16" fillId="0" borderId="0" xfId="13" applyNumberFormat="1" applyFont="1" applyFill="1" applyAlignment="1"/>
    <xf numFmtId="0" fontId="16" fillId="0" borderId="0" xfId="13" applyFont="1" applyFill="1" applyAlignment="1"/>
    <xf numFmtId="0" fontId="16" fillId="0" borderId="0" xfId="13" applyFont="1" applyFill="1" applyAlignment="1">
      <alignment horizontal="right"/>
    </xf>
    <xf numFmtId="0" fontId="19" fillId="0" borderId="2" xfId="16" applyFont="1" applyBorder="1" applyAlignment="1"/>
    <xf numFmtId="0" fontId="19" fillId="0" borderId="2" xfId="16" applyFont="1" applyBorder="1" applyAlignment="1">
      <alignment horizontal="center"/>
    </xf>
    <xf numFmtId="0" fontId="18" fillId="0" borderId="2" xfId="16" applyFont="1" applyFill="1" applyBorder="1" applyAlignment="1">
      <alignment horizontal="center" vertical="center" wrapText="1"/>
    </xf>
    <xf numFmtId="0" fontId="18" fillId="0" borderId="2" xfId="16" applyFont="1" applyFill="1" applyBorder="1" applyAlignment="1">
      <alignment horizontal="right"/>
    </xf>
    <xf numFmtId="0" fontId="14" fillId="0" borderId="2" xfId="16" applyFont="1" applyFill="1" applyBorder="1" applyAlignment="1"/>
    <xf numFmtId="3" fontId="32" fillId="0" borderId="2" xfId="13" applyNumberFormat="1" applyFont="1" applyBorder="1" applyAlignment="1">
      <alignment horizontal="right" vertical="center"/>
    </xf>
    <xf numFmtId="3" fontId="14" fillId="0" borderId="0" xfId="16" applyNumberFormat="1" applyFont="1" applyFill="1" applyAlignment="1"/>
    <xf numFmtId="0" fontId="67" fillId="0" borderId="0" xfId="4" applyFont="1" applyFill="1" applyBorder="1" applyAlignment="1">
      <alignment horizontal="right" vertical="center" wrapText="1"/>
    </xf>
    <xf numFmtId="0" fontId="67" fillId="0" borderId="0" xfId="4" applyFont="1" applyFill="1" applyBorder="1" applyAlignment="1">
      <alignment horizontal="right" vertical="center"/>
    </xf>
    <xf numFmtId="0" fontId="67" fillId="0" borderId="0" xfId="4" applyFont="1" applyFill="1" applyBorder="1"/>
    <xf numFmtId="0" fontId="16" fillId="0" borderId="0" xfId="16" applyFont="1" applyFill="1" applyAlignment="1">
      <alignment horizontal="right" wrapText="1"/>
    </xf>
    <xf numFmtId="0" fontId="16" fillId="0" borderId="2" xfId="16" applyFont="1" applyFill="1" applyBorder="1" applyAlignment="1">
      <alignment horizontal="right" vertical="center" wrapText="1"/>
    </xf>
    <xf numFmtId="165" fontId="16" fillId="0" borderId="0" xfId="16" applyNumberFormat="1" applyFont="1" applyFill="1" applyAlignment="1">
      <alignment horizontal="right" wrapText="1"/>
    </xf>
    <xf numFmtId="0" fontId="18" fillId="0" borderId="2" xfId="16" applyFont="1" applyBorder="1" applyAlignment="1">
      <alignment vertical="center" wrapText="1"/>
    </xf>
    <xf numFmtId="3" fontId="15" fillId="0" borderId="2" xfId="26" applyNumberFormat="1" applyFont="1" applyFill="1" applyBorder="1" applyAlignment="1">
      <alignment horizontal="right" vertical="center" wrapText="1"/>
    </xf>
    <xf numFmtId="0" fontId="23" fillId="0" borderId="0" xfId="16" applyFont="1" applyFill="1" applyAlignment="1">
      <alignment wrapText="1"/>
    </xf>
    <xf numFmtId="0" fontId="16" fillId="0" borderId="0" xfId="16" applyFont="1" applyFill="1" applyBorder="1" applyAlignment="1">
      <alignment wrapText="1"/>
    </xf>
    <xf numFmtId="166" fontId="42" fillId="0" borderId="0" xfId="17" applyNumberFormat="1" applyFont="1" applyAlignment="1">
      <alignment horizontal="right" vertical="center" readingOrder="2"/>
    </xf>
    <xf numFmtId="0" fontId="27" fillId="0" borderId="2" xfId="4" applyFont="1" applyFill="1" applyBorder="1" applyAlignment="1">
      <alignment horizontal="right" vertical="center" wrapText="1"/>
    </xf>
    <xf numFmtId="3" fontId="27" fillId="0" borderId="2" xfId="16" applyNumberFormat="1" applyFont="1" applyFill="1" applyBorder="1" applyAlignment="1">
      <alignment horizontal="right" vertical="center" wrapText="1"/>
    </xf>
    <xf numFmtId="0" fontId="27" fillId="0" borderId="2" xfId="16" applyFont="1" applyFill="1" applyBorder="1" applyAlignment="1">
      <alignment vertical="center" wrapText="1"/>
    </xf>
    <xf numFmtId="0" fontId="14" fillId="0" borderId="0" xfId="16" applyFont="1" applyFill="1" applyAlignment="1">
      <alignment horizontal="right" wrapText="1"/>
    </xf>
    <xf numFmtId="0" fontId="14" fillId="0" borderId="0" xfId="16" applyFont="1" applyAlignment="1">
      <alignment horizontal="right" wrapText="1"/>
    </xf>
    <xf numFmtId="0" fontId="16" fillId="0" borderId="0" xfId="16" applyFont="1" applyAlignment="1">
      <alignment horizontal="right" wrapText="1"/>
    </xf>
    <xf numFmtId="0" fontId="16" fillId="0" borderId="2" xfId="16" applyFont="1" applyBorder="1" applyAlignment="1">
      <alignment horizontal="right" vertical="center" wrapText="1"/>
    </xf>
    <xf numFmtId="3" fontId="16" fillId="0" borderId="2" xfId="16" applyNumberFormat="1" applyFont="1" applyBorder="1" applyAlignment="1">
      <alignment horizontal="right" vertical="center" wrapText="1"/>
    </xf>
    <xf numFmtId="0" fontId="14" fillId="0" borderId="0" xfId="26" applyFont="1" applyAlignment="1">
      <alignment horizontal="right" wrapText="1"/>
    </xf>
    <xf numFmtId="0" fontId="16" fillId="0" borderId="0" xfId="26" applyFont="1" applyAlignment="1">
      <alignment horizontal="right" wrapText="1"/>
    </xf>
    <xf numFmtId="0" fontId="16" fillId="0" borderId="2" xfId="26" applyFont="1" applyBorder="1" applyAlignment="1">
      <alignment horizontal="right" vertical="center" wrapText="1"/>
    </xf>
    <xf numFmtId="3" fontId="16" fillId="0" borderId="2" xfId="26" applyNumberFormat="1" applyFont="1" applyBorder="1" applyAlignment="1">
      <alignment horizontal="right" vertical="center" wrapText="1"/>
    </xf>
    <xf numFmtId="0" fontId="15" fillId="0" borderId="2" xfId="26" applyFont="1" applyBorder="1" applyAlignment="1">
      <alignment horizontal="right" vertical="center" wrapText="1"/>
    </xf>
    <xf numFmtId="0" fontId="6" fillId="0" borderId="0" xfId="26" applyAlignment="1">
      <alignment horizontal="right" wrapText="1"/>
    </xf>
    <xf numFmtId="0" fontId="14" fillId="0" borderId="0" xfId="16" applyFont="1" applyFill="1" applyAlignment="1">
      <alignment horizontal="right"/>
    </xf>
    <xf numFmtId="0" fontId="16" fillId="0" borderId="0" xfId="4" applyFont="1" applyFill="1" applyAlignment="1">
      <alignment horizontal="right"/>
    </xf>
    <xf numFmtId="0" fontId="16" fillId="0" borderId="0" xfId="4" applyFont="1" applyFill="1" applyAlignment="1">
      <alignment horizontal="right" wrapText="1"/>
    </xf>
    <xf numFmtId="0" fontId="19" fillId="0" borderId="0" xfId="4" applyFont="1" applyFill="1" applyAlignment="1">
      <alignment horizontal="right" vertical="center" wrapText="1"/>
    </xf>
    <xf numFmtId="0" fontId="23" fillId="0" borderId="0" xfId="26" applyFont="1" applyAlignment="1">
      <alignment horizontal="right" wrapText="1"/>
    </xf>
    <xf numFmtId="0" fontId="14" fillId="0" borderId="0" xfId="26" applyFont="1" applyAlignment="1">
      <alignment horizontal="right"/>
    </xf>
    <xf numFmtId="0" fontId="16" fillId="0" borderId="0" xfId="26" applyFont="1" applyAlignment="1">
      <alignment horizontal="right"/>
    </xf>
    <xf numFmtId="0" fontId="16" fillId="0" borderId="4" xfId="16" applyFont="1" applyFill="1" applyBorder="1" applyAlignment="1">
      <alignment horizontal="right" vertical="center"/>
    </xf>
    <xf numFmtId="3" fontId="15" fillId="0" borderId="4" xfId="16" applyNumberFormat="1" applyFont="1" applyFill="1" applyBorder="1" applyAlignment="1">
      <alignment horizontal="right" vertical="center" wrapText="1"/>
    </xf>
    <xf numFmtId="0" fontId="16" fillId="0" borderId="0" xfId="4" applyFont="1" applyFill="1" applyBorder="1" applyAlignment="1">
      <alignment horizontal="right" wrapText="1"/>
    </xf>
    <xf numFmtId="3" fontId="32" fillId="0" borderId="2" xfId="4" applyNumberFormat="1" applyFont="1" applyFill="1" applyBorder="1" applyAlignment="1">
      <alignment horizontal="right" vertical="center" wrapText="1"/>
    </xf>
    <xf numFmtId="0" fontId="32" fillId="0" borderId="0" xfId="16" applyFont="1" applyFill="1" applyAlignment="1">
      <alignment vertical="center" wrapText="1"/>
    </xf>
    <xf numFmtId="0" fontId="32" fillId="0" borderId="0" xfId="16" applyFont="1" applyFill="1" applyAlignment="1">
      <alignment wrapText="1"/>
    </xf>
    <xf numFmtId="3" fontId="32" fillId="0" borderId="0" xfId="4" applyNumberFormat="1" applyFont="1" applyFill="1" applyAlignment="1">
      <alignment vertical="center" wrapText="1"/>
    </xf>
    <xf numFmtId="0" fontId="68" fillId="0" borderId="0" xfId="16" applyFont="1" applyFill="1"/>
    <xf numFmtId="164" fontId="32" fillId="0" borderId="0" xfId="4" applyNumberFormat="1" applyFont="1" applyFill="1" applyAlignment="1">
      <alignment vertical="center" wrapText="1"/>
    </xf>
    <xf numFmtId="0" fontId="32" fillId="0" borderId="0" xfId="4" applyFont="1" applyFill="1"/>
    <xf numFmtId="0" fontId="42" fillId="0" borderId="0" xfId="30" applyFont="1" applyAlignment="1">
      <alignment horizontal="right" vertical="center" readingOrder="2"/>
    </xf>
    <xf numFmtId="0" fontId="3" fillId="0" borderId="0" xfId="30"/>
    <xf numFmtId="0" fontId="41" fillId="0" borderId="0" xfId="30" applyFont="1" applyAlignment="1">
      <alignment horizontal="right" vertical="center" readingOrder="2"/>
    </xf>
    <xf numFmtId="0" fontId="61" fillId="0" borderId="0" xfId="30" applyFont="1"/>
    <xf numFmtId="3" fontId="44" fillId="0" borderId="32" xfId="30" applyNumberFormat="1" applyFont="1" applyBorder="1" applyAlignment="1">
      <alignment horizontal="right" vertical="center" readingOrder="2"/>
    </xf>
    <xf numFmtId="0" fontId="42" fillId="0" borderId="0" xfId="30" applyFont="1" applyBorder="1" applyAlignment="1">
      <alignment horizontal="right" vertical="center" readingOrder="2"/>
    </xf>
    <xf numFmtId="0" fontId="15" fillId="0" borderId="0" xfId="26" applyFont="1" applyAlignment="1"/>
    <xf numFmtId="0" fontId="15" fillId="0" borderId="0" xfId="26" applyFont="1"/>
    <xf numFmtId="164" fontId="15" fillId="0" borderId="0" xfId="26" applyNumberFormat="1" applyFont="1" applyAlignment="1"/>
    <xf numFmtId="0" fontId="15" fillId="0" borderId="0" xfId="26" applyFont="1" applyAlignment="1">
      <alignment vertical="center" wrapText="1"/>
    </xf>
    <xf numFmtId="3" fontId="42" fillId="0" borderId="11" xfId="22" applyNumberFormat="1" applyFont="1" applyBorder="1" applyAlignment="1">
      <alignment horizontal="center" vertical="center" readingOrder="2"/>
    </xf>
    <xf numFmtId="0" fontId="69" fillId="0" borderId="0" xfId="22" applyFont="1" applyAlignment="1">
      <alignment horizontal="right" vertical="center" readingOrder="2"/>
    </xf>
    <xf numFmtId="0" fontId="32" fillId="0" borderId="0" xfId="16" applyFont="1" applyFill="1" applyAlignment="1"/>
    <xf numFmtId="0" fontId="68" fillId="0" borderId="0" xfId="16" applyFont="1" applyFill="1" applyAlignment="1"/>
    <xf numFmtId="3" fontId="68" fillId="0" borderId="0" xfId="16" applyNumberFormat="1" applyFont="1" applyFill="1" applyAlignment="1"/>
    <xf numFmtId="0" fontId="32" fillId="0" borderId="0" xfId="16" applyFont="1" applyFill="1"/>
    <xf numFmtId="0" fontId="68" fillId="0" borderId="0" xfId="16" applyFont="1" applyFill="1" applyAlignment="1">
      <alignment wrapText="1"/>
    </xf>
    <xf numFmtId="0" fontId="32" fillId="0" borderId="0" xfId="4" applyFont="1" applyFill="1" applyBorder="1"/>
    <xf numFmtId="0" fontId="32" fillId="0" borderId="2" xfId="4" applyFont="1" applyFill="1" applyBorder="1" applyAlignment="1">
      <alignment horizontal="center" vertical="center" wrapText="1"/>
    </xf>
    <xf numFmtId="0" fontId="32" fillId="0" borderId="2" xfId="4" applyFont="1" applyFill="1" applyBorder="1" applyAlignment="1">
      <alignment vertical="center"/>
    </xf>
    <xf numFmtId="0" fontId="68" fillId="0" borderId="0" xfId="26" applyFont="1" applyAlignment="1"/>
    <xf numFmtId="0" fontId="68" fillId="0" borderId="0" xfId="26" applyFont="1" applyFill="1" applyAlignment="1"/>
    <xf numFmtId="3" fontId="44" fillId="0" borderId="3" xfId="22" applyNumberFormat="1" applyFont="1" applyBorder="1" applyAlignment="1">
      <alignment horizontal="center" vertical="center" readingOrder="2"/>
    </xf>
    <xf numFmtId="3" fontId="56" fillId="0" borderId="23" xfId="22" applyNumberFormat="1" applyFont="1" applyBorder="1" applyAlignment="1">
      <alignment horizontal="center" vertical="center" readingOrder="2"/>
    </xf>
    <xf numFmtId="0" fontId="32" fillId="0" borderId="0" xfId="26" applyFont="1" applyAlignment="1"/>
    <xf numFmtId="0" fontId="32" fillId="0" borderId="0" xfId="26" applyFont="1"/>
    <xf numFmtId="9" fontId="56" fillId="0" borderId="24" xfId="9" applyFont="1" applyBorder="1" applyAlignment="1">
      <alignment horizontal="right" vertical="center" readingOrder="2"/>
    </xf>
    <xf numFmtId="0" fontId="32" fillId="0" borderId="0" xfId="4" applyFont="1" applyFill="1" applyBorder="1" applyAlignment="1">
      <alignment horizontal="right" vertical="center" wrapText="1"/>
    </xf>
    <xf numFmtId="0" fontId="32" fillId="0" borderId="0" xfId="4" applyFont="1" applyFill="1" applyBorder="1" applyAlignment="1">
      <alignment wrapText="1"/>
    </xf>
    <xf numFmtId="0" fontId="32" fillId="0" borderId="0" xfId="4" applyFont="1" applyFill="1" applyAlignment="1">
      <alignment wrapText="1"/>
    </xf>
    <xf numFmtId="3" fontId="32" fillId="0" borderId="0" xfId="4" applyNumberFormat="1" applyFont="1" applyFill="1" applyBorder="1" applyAlignment="1">
      <alignment wrapText="1"/>
    </xf>
    <xf numFmtId="3" fontId="32" fillId="0" borderId="0" xfId="4" applyNumberFormat="1" applyFont="1" applyFill="1" applyAlignment="1">
      <alignment wrapText="1"/>
    </xf>
    <xf numFmtId="3" fontId="32" fillId="0" borderId="2" xfId="16" applyNumberFormat="1" applyFont="1" applyFill="1" applyBorder="1" applyAlignment="1">
      <alignment vertical="center" wrapText="1"/>
    </xf>
    <xf numFmtId="0" fontId="32" fillId="0" borderId="0" xfId="16" applyFont="1" applyFill="1" applyAlignment="1">
      <alignment horizontal="right"/>
    </xf>
    <xf numFmtId="3" fontId="32" fillId="0" borderId="0" xfId="16" applyNumberFormat="1" applyFont="1" applyFill="1" applyAlignment="1">
      <alignment horizontal="right"/>
    </xf>
    <xf numFmtId="0" fontId="32" fillId="0" borderId="2" xfId="16" applyFont="1" applyFill="1" applyBorder="1" applyAlignment="1">
      <alignment vertical="center"/>
    </xf>
    <xf numFmtId="3" fontId="32" fillId="0" borderId="0" xfId="16" applyNumberFormat="1" applyFont="1" applyFill="1" applyBorder="1" applyAlignment="1">
      <alignment vertical="center" wrapText="1"/>
    </xf>
    <xf numFmtId="3" fontId="32" fillId="0" borderId="2" xfId="16" applyNumberFormat="1" applyFont="1" applyFill="1" applyBorder="1" applyAlignment="1">
      <alignment horizontal="right" vertical="center" wrapText="1"/>
    </xf>
    <xf numFmtId="3" fontId="32" fillId="0" borderId="0" xfId="16" applyNumberFormat="1" applyFont="1" applyFill="1"/>
    <xf numFmtId="0" fontId="3" fillId="0" borderId="0" xfId="22" applyFont="1"/>
    <xf numFmtId="0" fontId="70" fillId="0" borderId="0" xfId="22" applyFont="1"/>
    <xf numFmtId="0" fontId="71" fillId="0" borderId="0" xfId="30" applyFont="1" applyAlignment="1">
      <alignment horizontal="right" vertical="center" readingOrder="2"/>
    </xf>
    <xf numFmtId="0" fontId="71" fillId="0" borderId="0" xfId="22" applyFont="1" applyAlignment="1">
      <alignment horizontal="right" vertical="center" readingOrder="2"/>
    </xf>
    <xf numFmtId="17" fontId="72" fillId="0" borderId="0" xfId="0" applyNumberFormat="1" applyFont="1" applyAlignment="1">
      <alignment horizontal="center" vertical="center" readingOrder="2"/>
    </xf>
    <xf numFmtId="167" fontId="48" fillId="0" borderId="0" xfId="17" applyNumberFormat="1" applyFont="1" applyAlignment="1">
      <alignment horizontal="right" vertical="center" readingOrder="2"/>
    </xf>
    <xf numFmtId="3" fontId="32" fillId="0" borderId="6" xfId="13" applyNumberFormat="1" applyFont="1" applyBorder="1" applyAlignment="1">
      <alignment horizontal="center" vertical="center"/>
    </xf>
    <xf numFmtId="0" fontId="2" fillId="0" borderId="0" xfId="22" applyFont="1"/>
    <xf numFmtId="0" fontId="73" fillId="0" borderId="0" xfId="22" applyFont="1"/>
    <xf numFmtId="3" fontId="32" fillId="0" borderId="2" xfId="13" applyNumberFormat="1" applyFont="1" applyBorder="1" applyAlignment="1">
      <alignment horizontal="center" vertical="center"/>
    </xf>
    <xf numFmtId="165" fontId="56" fillId="0" borderId="24" xfId="9" applyNumberFormat="1" applyFont="1" applyBorder="1" applyAlignment="1">
      <alignment horizontal="right" vertical="center" readingOrder="2"/>
    </xf>
    <xf numFmtId="166" fontId="18" fillId="0" borderId="0" xfId="4" applyNumberFormat="1" applyFont="1" applyFill="1" applyBorder="1" applyAlignment="1">
      <alignment horizontal="right" vertical="center"/>
    </xf>
    <xf numFmtId="0" fontId="33" fillId="0" borderId="2" xfId="16" applyFont="1" applyFill="1" applyBorder="1"/>
    <xf numFmtId="0" fontId="33" fillId="0" borderId="2" xfId="16" applyFont="1" applyFill="1" applyBorder="1" applyAlignment="1">
      <alignment horizontal="right" vertical="center" wrapText="1"/>
    </xf>
    <xf numFmtId="0" fontId="32" fillId="0" borderId="0" xfId="16" applyFont="1" applyFill="1" applyBorder="1" applyAlignment="1">
      <alignment vertical="center" wrapText="1"/>
    </xf>
    <xf numFmtId="0" fontId="52" fillId="0" borderId="0" xfId="17" applyFont="1"/>
    <xf numFmtId="0" fontId="16" fillId="0" borderId="20" xfId="4" applyFont="1" applyFill="1" applyBorder="1" applyAlignment="1">
      <alignment vertical="center" wrapText="1"/>
    </xf>
    <xf numFmtId="0" fontId="69" fillId="0" borderId="0" xfId="17" applyFont="1"/>
    <xf numFmtId="0" fontId="56" fillId="0" borderId="0" xfId="30" applyFont="1" applyAlignment="1">
      <alignment horizontal="right" vertical="center" readingOrder="2"/>
    </xf>
    <xf numFmtId="0" fontId="28" fillId="0" borderId="0" xfId="30" applyFont="1"/>
    <xf numFmtId="0" fontId="74" fillId="0" borderId="0" xfId="30" applyFont="1"/>
    <xf numFmtId="0" fontId="44" fillId="0" borderId="0" xfId="30" applyFont="1" applyAlignment="1">
      <alignment horizontal="right" vertical="center" readingOrder="2"/>
    </xf>
    <xf numFmtId="165" fontId="56" fillId="0" borderId="24" xfId="9" applyNumberFormat="1" applyFont="1" applyBorder="1" applyAlignment="1">
      <alignment vertical="center" readingOrder="2"/>
    </xf>
    <xf numFmtId="0" fontId="16" fillId="0" borderId="2" xfId="16" applyFont="1" applyFill="1" applyBorder="1" applyAlignment="1">
      <alignment horizontal="right" wrapText="1"/>
    </xf>
    <xf numFmtId="0" fontId="14" fillId="0" borderId="0" xfId="0" applyFont="1" applyFill="1" applyAlignment="1">
      <alignment wrapText="1"/>
    </xf>
    <xf numFmtId="0" fontId="1" fillId="0" borderId="0" xfId="17" applyFont="1"/>
    <xf numFmtId="0" fontId="44" fillId="0" borderId="17" xfId="17" applyFont="1" applyBorder="1" applyAlignment="1">
      <alignment horizontal="right" vertical="center" readingOrder="2"/>
    </xf>
    <xf numFmtId="3" fontId="18" fillId="0" borderId="30" xfId="16" applyNumberFormat="1" applyFont="1" applyBorder="1"/>
    <xf numFmtId="0" fontId="27" fillId="0" borderId="2" xfId="4" applyFont="1" applyFill="1" applyBorder="1" applyAlignment="1">
      <alignment vertical="center"/>
    </xf>
    <xf numFmtId="0" fontId="16" fillId="0" borderId="2" xfId="4" applyFont="1" applyFill="1" applyBorder="1" applyAlignment="1">
      <alignment horizontal="right" vertical="center"/>
    </xf>
    <xf numFmtId="3" fontId="31" fillId="0" borderId="2" xfId="4" applyNumberFormat="1" applyFont="1" applyFill="1" applyBorder="1" applyAlignment="1">
      <alignment horizontal="right" vertical="center"/>
    </xf>
    <xf numFmtId="3" fontId="19" fillId="0" borderId="0" xfId="4" applyNumberFormat="1" applyFont="1" applyFill="1" applyBorder="1" applyAlignment="1">
      <alignment vertical="center"/>
    </xf>
    <xf numFmtId="0" fontId="16" fillId="0" borderId="2" xfId="16" applyFont="1" applyFill="1" applyBorder="1" applyAlignment="1">
      <alignment horizontal="right" vertical="center"/>
    </xf>
    <xf numFmtId="0" fontId="31" fillId="0" borderId="2" xfId="16" applyFont="1" applyFill="1" applyBorder="1" applyAlignment="1">
      <alignment horizontal="right" vertical="center"/>
    </xf>
    <xf numFmtId="3" fontId="16" fillId="0" borderId="2" xfId="16" applyNumberFormat="1" applyFont="1" applyFill="1" applyBorder="1" applyAlignment="1">
      <alignment horizontal="right" vertical="center"/>
    </xf>
    <xf numFmtId="0" fontId="31" fillId="0" borderId="2" xfId="16" applyFont="1" applyFill="1" applyBorder="1" applyAlignment="1">
      <alignment vertical="center"/>
    </xf>
    <xf numFmtId="0" fontId="16" fillId="0" borderId="2" xfId="16" applyFont="1" applyFill="1" applyBorder="1" applyAlignment="1">
      <alignment horizontal="right"/>
    </xf>
    <xf numFmtId="3" fontId="15" fillId="0" borderId="2" xfId="16" applyNumberFormat="1" applyFont="1" applyFill="1" applyBorder="1" applyAlignment="1">
      <alignment vertical="center"/>
    </xf>
    <xf numFmtId="3" fontId="15" fillId="0" borderId="2" xfId="16" applyNumberFormat="1" applyFont="1" applyFill="1" applyBorder="1" applyAlignment="1">
      <alignment horizontal="right" vertical="center"/>
    </xf>
    <xf numFmtId="165" fontId="16" fillId="0" borderId="0" xfId="16" applyNumberFormat="1" applyFont="1" applyFill="1" applyAlignment="1">
      <alignment horizontal="right"/>
    </xf>
    <xf numFmtId="0" fontId="42" fillId="0" borderId="20" xfId="22" applyFont="1" applyBorder="1" applyAlignment="1">
      <alignment horizontal="right" vertical="center" wrapText="1" readingOrder="2"/>
    </xf>
    <xf numFmtId="3" fontId="15" fillId="0" borderId="2" xfId="26" applyNumberFormat="1" applyFont="1" applyFill="1" applyBorder="1" applyAlignment="1">
      <alignment horizontal="right" vertical="center"/>
    </xf>
    <xf numFmtId="3" fontId="16" fillId="0" borderId="2" xfId="4" applyNumberFormat="1" applyFont="1" applyFill="1" applyBorder="1" applyAlignment="1">
      <alignment horizontal="right" vertical="center"/>
    </xf>
    <xf numFmtId="0" fontId="19" fillId="0" borderId="0" xfId="4" applyFont="1" applyFill="1" applyAlignment="1">
      <alignment vertical="center"/>
    </xf>
    <xf numFmtId="0" fontId="56" fillId="0" borderId="0" xfId="22" applyFont="1" applyAlignment="1">
      <alignment horizontal="right" vertical="center" readingOrder="2"/>
    </xf>
    <xf numFmtId="0" fontId="18" fillId="0" borderId="2" xfId="16" applyFont="1" applyFill="1" applyBorder="1" applyAlignment="1">
      <alignment horizontal="right" vertical="center"/>
    </xf>
    <xf numFmtId="0" fontId="54" fillId="0" borderId="0" xfId="17" applyFont="1" applyAlignment="1">
      <alignment horizontal="center" vertical="center" readingOrder="2"/>
    </xf>
    <xf numFmtId="0" fontId="40" fillId="0" borderId="0" xfId="16" applyFont="1" applyAlignment="1">
      <alignment horizontal="center"/>
    </xf>
    <xf numFmtId="3" fontId="18" fillId="0" borderId="29" xfId="16" applyNumberFormat="1" applyFont="1" applyBorder="1" applyAlignment="1">
      <alignment horizontal="center"/>
    </xf>
    <xf numFmtId="3" fontId="18" fillId="0" borderId="31" xfId="16" applyNumberFormat="1" applyFont="1" applyBorder="1" applyAlignment="1">
      <alignment horizontal="center"/>
    </xf>
    <xf numFmtId="3" fontId="18" fillId="0" borderId="25" xfId="16" applyNumberFormat="1" applyFont="1" applyBorder="1" applyAlignment="1">
      <alignment horizontal="center"/>
    </xf>
    <xf numFmtId="0" fontId="19" fillId="0" borderId="2" xfId="4" applyFont="1" applyFill="1" applyBorder="1" applyAlignment="1">
      <alignment horizontal="center" vertical="center"/>
    </xf>
    <xf numFmtId="0" fontId="19" fillId="0" borderId="11" xfId="4" applyFont="1" applyFill="1" applyBorder="1" applyAlignment="1">
      <alignment horizontal="center" vertical="center"/>
    </xf>
    <xf numFmtId="3" fontId="42" fillId="0" borderId="4" xfId="22" applyNumberFormat="1" applyFont="1" applyBorder="1" applyAlignment="1">
      <alignment horizontal="center" vertical="center" readingOrder="2"/>
    </xf>
    <xf numFmtId="3" fontId="42" fillId="0" borderId="5" xfId="22" applyNumberFormat="1" applyFont="1" applyBorder="1" applyAlignment="1">
      <alignment horizontal="center" vertical="center" readingOrder="2"/>
    </xf>
    <xf numFmtId="3" fontId="42" fillId="0" borderId="6" xfId="22" applyNumberFormat="1" applyFont="1" applyBorder="1" applyAlignment="1">
      <alignment horizontal="center" vertical="center" readingOrder="2"/>
    </xf>
    <xf numFmtId="3" fontId="44" fillId="0" borderId="44" xfId="22" applyNumberFormat="1" applyFont="1" applyBorder="1" applyAlignment="1">
      <alignment horizontal="center" vertical="center" readingOrder="2"/>
    </xf>
    <xf numFmtId="3" fontId="44" fillId="0" borderId="40" xfId="22" applyNumberFormat="1" applyFont="1" applyBorder="1" applyAlignment="1">
      <alignment horizontal="center" vertical="center" readingOrder="2"/>
    </xf>
    <xf numFmtId="3" fontId="44" fillId="0" borderId="27" xfId="22" applyNumberFormat="1" applyFont="1" applyBorder="1" applyAlignment="1">
      <alignment horizontal="center" vertical="center" readingOrder="2"/>
    </xf>
    <xf numFmtId="0" fontId="44" fillId="0" borderId="29" xfId="22" applyFont="1" applyBorder="1" applyAlignment="1">
      <alignment vertical="center" readingOrder="2"/>
    </xf>
    <xf numFmtId="0" fontId="44" fillId="0" borderId="43" xfId="22" applyFont="1" applyBorder="1" applyAlignment="1">
      <alignment vertical="center" readingOrder="2"/>
    </xf>
    <xf numFmtId="0" fontId="62" fillId="0" borderId="30" xfId="22" applyFont="1" applyBorder="1" applyAlignment="1">
      <alignment vertical="center" readingOrder="2"/>
    </xf>
    <xf numFmtId="0" fontId="62" fillId="0" borderId="6" xfId="22" applyFont="1" applyBorder="1" applyAlignment="1">
      <alignment vertical="center" readingOrder="2"/>
    </xf>
    <xf numFmtId="0" fontId="62" fillId="0" borderId="47" xfId="22" applyFont="1" applyBorder="1" applyAlignment="1">
      <alignment vertical="center" readingOrder="2"/>
    </xf>
    <xf numFmtId="0" fontId="62" fillId="0" borderId="27" xfId="22" applyFont="1" applyBorder="1" applyAlignment="1">
      <alignment vertical="center" readingOrder="2"/>
    </xf>
    <xf numFmtId="0" fontId="44" fillId="0" borderId="42" xfId="22" applyFont="1" applyBorder="1" applyAlignment="1">
      <alignment horizontal="center" vertical="center" readingOrder="2"/>
    </xf>
    <xf numFmtId="0" fontId="44" fillId="0" borderId="31" xfId="22" applyFont="1" applyBorder="1" applyAlignment="1">
      <alignment horizontal="center" vertical="center" readingOrder="2"/>
    </xf>
    <xf numFmtId="0" fontId="44" fillId="0" borderId="43" xfId="22" applyFont="1" applyBorder="1" applyAlignment="1">
      <alignment horizontal="center" vertical="center" readingOrder="2"/>
    </xf>
    <xf numFmtId="0" fontId="23" fillId="0" borderId="0" xfId="16" applyFont="1" applyFill="1" applyAlignment="1">
      <alignment horizontal="center"/>
    </xf>
    <xf numFmtId="3" fontId="32" fillId="0" borderId="4" xfId="13" applyNumberFormat="1" applyFont="1" applyBorder="1" applyAlignment="1">
      <alignment horizontal="center" vertical="center"/>
    </xf>
    <xf numFmtId="3" fontId="32" fillId="0" borderId="5" xfId="13" applyNumberFormat="1" applyFont="1" applyBorder="1" applyAlignment="1">
      <alignment horizontal="center" vertical="center"/>
    </xf>
    <xf numFmtId="3" fontId="32" fillId="0" borderId="6" xfId="13" applyNumberFormat="1" applyFont="1" applyBorder="1" applyAlignment="1">
      <alignment horizontal="center" vertical="center"/>
    </xf>
    <xf numFmtId="0" fontId="32" fillId="0" borderId="4" xfId="13" applyFont="1" applyBorder="1" applyAlignment="1">
      <alignment horizontal="center"/>
    </xf>
    <xf numFmtId="0" fontId="32" fillId="0" borderId="5" xfId="13" applyFont="1" applyBorder="1" applyAlignment="1">
      <alignment horizontal="center"/>
    </xf>
    <xf numFmtId="0" fontId="32" fillId="0" borderId="6" xfId="13" applyFont="1" applyBorder="1" applyAlignment="1">
      <alignment horizontal="center"/>
    </xf>
    <xf numFmtId="0" fontId="19" fillId="0" borderId="4" xfId="16" applyFont="1" applyBorder="1" applyAlignment="1">
      <alignment horizontal="center"/>
    </xf>
    <xf numFmtId="0" fontId="19" fillId="0" borderId="5" xfId="16" applyFont="1" applyBorder="1" applyAlignment="1">
      <alignment horizontal="center"/>
    </xf>
    <xf numFmtId="0" fontId="19" fillId="0" borderId="6" xfId="16" applyFont="1" applyBorder="1" applyAlignment="1">
      <alignment horizontal="center"/>
    </xf>
  </cellXfs>
  <cellStyles count="31">
    <cellStyle name="Comma" xfId="12" builtinId="3"/>
    <cellStyle name="Comma 2" xfId="10"/>
    <cellStyle name="Comma 3" xfId="14"/>
    <cellStyle name="Comma 3 2" xfId="18"/>
    <cellStyle name="Comma 3 3" xfId="21"/>
    <cellStyle name="Comma 3 4" xfId="23"/>
    <cellStyle name="Normal" xfId="0" builtinId="0"/>
    <cellStyle name="Normal 2" xfId="1"/>
    <cellStyle name="Normal 2 2" xfId="5"/>
    <cellStyle name="Normal 2 2 2" xfId="19"/>
    <cellStyle name="Normal 2 3" xfId="16"/>
    <cellStyle name="Normal 2_ריכוז אגפים" xfId="6"/>
    <cellStyle name="Normal 3" xfId="2"/>
    <cellStyle name="Normal 4" xfId="4"/>
    <cellStyle name="Normal 5" xfId="11"/>
    <cellStyle name="Normal 5 2" xfId="15"/>
    <cellStyle name="Normal 5 2 2" xfId="28"/>
    <cellStyle name="Normal 5 3" xfId="26"/>
    <cellStyle name="Normal 5 4" xfId="29"/>
    <cellStyle name="Normal 6" xfId="13"/>
    <cellStyle name="Normal 6 2" xfId="17"/>
    <cellStyle name="Normal 6 3" xfId="20"/>
    <cellStyle name="Normal 6 4" xfId="22"/>
    <cellStyle name="Normal 6 4 2" xfId="30"/>
    <cellStyle name="Normal 7" xfId="24"/>
    <cellStyle name="Percent 2" xfId="9"/>
    <cellStyle name="Percent 3" xfId="25"/>
    <cellStyle name="Percent 4" xfId="27"/>
    <cellStyle name="הערה 2" xfId="3"/>
    <cellStyle name="הערה 2 2" xfId="7"/>
    <cellStyle name="הערה 2_ריכוז אגפים" xfId="8"/>
  </cellStyles>
  <dxfs count="28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externalLink" Target="externalLinks/externalLink5.xml"/><Relationship Id="rId89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3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externalLink" Target="externalLinks/externalLink1.xml"/><Relationship Id="rId85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externalLink" Target="externalLinks/externalLink4.xml"/><Relationship Id="rId8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externalLink" Target="externalLinks/externalLink2.xml"/><Relationship Id="rId86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endParaRPr lang="he-IL" sz="1600" b="1" i="0" baseline="0">
              <a:effectLst/>
            </a:endParaRPr>
          </a:p>
          <a:p>
            <a:pPr>
              <a:defRPr/>
            </a:pPr>
            <a:r>
              <a:rPr lang="he-IL" sz="1800" b="1" i="0" u="sng" baseline="0">
                <a:effectLst/>
              </a:rPr>
              <a:t>תרשים לפי אגפים</a:t>
            </a:r>
            <a:endParaRPr lang="he-IL" u="sng">
              <a:effectLst/>
            </a:endParaRPr>
          </a:p>
          <a:p>
            <a:pPr>
              <a:defRPr/>
            </a:pPr>
            <a:r>
              <a:rPr lang="he-IL" sz="1800" b="1" i="0" u="sng" strike="noStrike" kern="1200" baseline="0">
                <a:solidFill>
                  <a:srgbClr val="000000"/>
                </a:solidFill>
                <a:effectLst/>
                <a:latin typeface="David"/>
                <a:ea typeface="David"/>
                <a:cs typeface="David"/>
              </a:rPr>
              <a:t>באלפי ש"ח </a:t>
            </a:r>
          </a:p>
        </c:rich>
      </c:tx>
      <c:overlay val="0"/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8438469493278179"/>
          <c:y val="0.51186440677966105"/>
          <c:w val="0.43123061013443642"/>
          <c:h val="0.28135593220338984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6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0FC9-428D-8ACD-8C8983B618AE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FC9-428D-8ACD-8C8983B618AE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0FC9-428D-8ACD-8C8983B618AE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0FC9-428D-8ACD-8C8983B618AE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0FC9-428D-8ACD-8C8983B618AE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0FC9-428D-8ACD-8C8983B618AE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C-0FC9-428D-8ACD-8C8983B618AE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E-0FC9-428D-8ACD-8C8983B618AE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0-0FC9-428D-8ACD-8C8983B618AE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2-0FC9-428D-8ACD-8C8983B618AE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4-0FC9-428D-8ACD-8C8983B618AE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15-0FC9-428D-8ACD-8C8983B618AE}"/>
              </c:ext>
            </c:extLst>
          </c:dPt>
          <c:dLbls>
            <c:dLbl>
              <c:idx val="0"/>
              <c:layout>
                <c:manualLayout>
                  <c:x val="9.4943964476002035E-2"/>
                  <c:y val="-6.1365897059477738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FC9-428D-8ACD-8C8983B618AE}"/>
                </c:ext>
              </c:extLst>
            </c:dLbl>
            <c:dLbl>
              <c:idx val="1"/>
              <c:layout>
                <c:manualLayout>
                  <c:x val="8.8061081299687594E-2"/>
                  <c:y val="2.3806575025579431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FC9-428D-8ACD-8C8983B618AE}"/>
                </c:ext>
              </c:extLst>
            </c:dLbl>
            <c:dLbl>
              <c:idx val="2"/>
              <c:layout>
                <c:manualLayout>
                  <c:x val="-5.1406291604853757E-2"/>
                  <c:y val="0.25648560879042664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FC9-428D-8ACD-8C8983B618AE}"/>
                </c:ext>
              </c:extLst>
            </c:dLbl>
            <c:dLbl>
              <c:idx val="3"/>
              <c:layout>
                <c:manualLayout>
                  <c:x val="-9.8229351765811879E-2"/>
                  <c:y val="0.156749677476756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FC9-428D-8ACD-8C8983B618AE}"/>
                </c:ext>
              </c:extLst>
            </c:dLbl>
            <c:dLbl>
              <c:idx val="4"/>
              <c:layout>
                <c:manualLayout>
                  <c:x val="-0.10974950261517208"/>
                  <c:y val="7.2712665154143805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FC9-428D-8ACD-8C8983B618AE}"/>
                </c:ext>
              </c:extLst>
            </c:dLbl>
            <c:dLbl>
              <c:idx val="5"/>
              <c:layout>
                <c:manualLayout>
                  <c:x val="-8.3776487608128614E-2"/>
                  <c:y val="-9.1224698607589392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FC9-428D-8ACD-8C8983B618AE}"/>
                </c:ext>
              </c:extLst>
            </c:dLbl>
            <c:dLbl>
              <c:idx val="6"/>
              <c:layout>
                <c:manualLayout>
                  <c:x val="-8.0788975835104374E-2"/>
                  <c:y val="-7.6410338538191167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FC9-428D-8ACD-8C8983B618AE}"/>
                </c:ext>
              </c:extLst>
            </c:dLbl>
            <c:dLbl>
              <c:idx val="7"/>
              <c:layout>
                <c:manualLayout>
                  <c:x val="-9.8847152895960411E-2"/>
                  <c:y val="-0.14493029049334935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0FC9-428D-8ACD-8C8983B618AE}"/>
                </c:ext>
              </c:extLst>
            </c:dLbl>
            <c:dLbl>
              <c:idx val="8"/>
              <c:layout>
                <c:manualLayout>
                  <c:x val="-0.15092053513993273"/>
                  <c:y val="-0.2175803194092263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FC9-428D-8ACD-8C8983B618AE}"/>
                </c:ext>
              </c:extLst>
            </c:dLbl>
            <c:dLbl>
              <c:idx val="9"/>
              <c:layout>
                <c:manualLayout>
                  <c:x val="2.5958900949170392E-2"/>
                  <c:y val="-0.2116658214333377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0FC9-428D-8ACD-8C8983B618AE}"/>
                </c:ext>
              </c:extLst>
            </c:dLbl>
            <c:dLbl>
              <c:idx val="10"/>
              <c:layout>
                <c:manualLayout>
                  <c:x val="0.20222622120528624"/>
                  <c:y val="-0.1908648961252724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0FC9-428D-8ACD-8C8983B618AE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David"/>
                    <a:ea typeface="David"/>
                    <a:cs typeface="David"/>
                  </a:defRPr>
                </a:pPr>
                <a:endParaRPr lang="he-IL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'תקציב 2019  אגפים '!$C$8:$C$21</c:f>
              <c:strCache>
                <c:ptCount val="14"/>
                <c:pt idx="0">
                  <c:v>מינהל הנדסה</c:v>
                </c:pt>
                <c:pt idx="1">
                  <c:v>החברה לפיתוח הרצליה</c:v>
                </c:pt>
                <c:pt idx="2">
                  <c:v>אגף ת.ב.ל </c:v>
                </c:pt>
                <c:pt idx="3">
                  <c:v>אגף בטחון,פיקוח וסדר ציבורי</c:v>
                </c:pt>
                <c:pt idx="4">
                  <c:v>אגף חינוך </c:v>
                </c:pt>
                <c:pt idx="5">
                  <c:v>אגף ת.נ.ו.ס</c:v>
                </c:pt>
                <c:pt idx="6">
                  <c:v>אגף ש.א.י.פ.ה (*) </c:v>
                </c:pt>
                <c:pt idx="7">
                  <c:v>רשות החופים</c:v>
                </c:pt>
                <c:pt idx="8">
                  <c:v>איכות הסביבה (*)</c:v>
                </c:pt>
                <c:pt idx="9">
                  <c:v>החברה לפיתוח התיירות</c:v>
                </c:pt>
                <c:pt idx="10">
                  <c:v>אגף תקשוב  ומערכות מידע</c:v>
                </c:pt>
                <c:pt idx="11">
                  <c:v>אגף נכסים וביטוח</c:v>
                </c:pt>
                <c:pt idx="12">
                  <c:v>שיפוץ חזיתות/עמידר (*)</c:v>
                </c:pt>
                <c:pt idx="13">
                  <c:v>כללי</c:v>
                </c:pt>
              </c:strCache>
            </c:strRef>
          </c:cat>
          <c:val>
            <c:numRef>
              <c:f>'תקציב 2019  אגפים '!$F$8:$F$21</c:f>
              <c:numCache>
                <c:formatCode>#,##0</c:formatCode>
                <c:ptCount val="14"/>
                <c:pt idx="0">
                  <c:v>42416.58</c:v>
                </c:pt>
                <c:pt idx="1">
                  <c:v>309252.68</c:v>
                </c:pt>
                <c:pt idx="2">
                  <c:v>49451.3</c:v>
                </c:pt>
                <c:pt idx="3">
                  <c:v>1660</c:v>
                </c:pt>
                <c:pt idx="4">
                  <c:v>8412.1001339866507</c:v>
                </c:pt>
                <c:pt idx="5">
                  <c:v>3120</c:v>
                </c:pt>
                <c:pt idx="6">
                  <c:v>36405</c:v>
                </c:pt>
                <c:pt idx="7">
                  <c:v>1866.1590000000001</c:v>
                </c:pt>
                <c:pt idx="9">
                  <c:v>7930</c:v>
                </c:pt>
                <c:pt idx="10">
                  <c:v>12925.00006</c:v>
                </c:pt>
                <c:pt idx="11">
                  <c:v>7949.3</c:v>
                </c:pt>
                <c:pt idx="13">
                  <c:v>8019.7269999999999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FC9-428D-8ACD-8C8983B61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David"/>
          <a:ea typeface="David"/>
          <a:cs typeface="David"/>
        </a:defRPr>
      </a:pPr>
      <a:endParaRPr lang="he-IL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endParaRPr lang="he-IL" sz="1400" b="1" i="0" u="none" strike="noStrike" baseline="0">
              <a:solidFill>
                <a:srgbClr val="000000"/>
              </a:solidFill>
              <a:cs typeface="David"/>
            </a:endParaRPr>
          </a:p>
          <a:p>
            <a:pPr>
              <a:defRPr sz="1100" b="0" i="0" u="none" strike="noStrike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r>
              <a:rPr lang="he-IL" sz="1800" b="1" i="0" u="sng" strike="noStrike" baseline="0">
                <a:solidFill>
                  <a:srgbClr val="000000"/>
                </a:solidFill>
                <a:cs typeface="David"/>
              </a:rPr>
              <a:t>תרשים לפי פרקים</a:t>
            </a:r>
            <a:r>
              <a:rPr lang="en-US" sz="1800" b="1" i="0" u="sng" strike="noStrike" baseline="0">
                <a:solidFill>
                  <a:srgbClr val="000000"/>
                </a:solidFill>
                <a:cs typeface="David"/>
              </a:rPr>
              <a:t/>
            </a:r>
            <a:br>
              <a:rPr lang="en-US" sz="1800" b="1" i="0" u="sng" strike="noStrike" baseline="0">
                <a:solidFill>
                  <a:srgbClr val="000000"/>
                </a:solidFill>
                <a:cs typeface="David"/>
              </a:rPr>
            </a:br>
            <a:r>
              <a:rPr lang="he-IL" sz="1800" b="1" i="0" u="sng" strike="noStrike" baseline="0">
                <a:solidFill>
                  <a:srgbClr val="000000"/>
                </a:solidFill>
                <a:cs typeface="David"/>
              </a:rPr>
              <a:t>באלפי ש"ח  </a:t>
            </a:r>
          </a:p>
        </c:rich>
      </c:tx>
      <c:layout>
        <c:manualLayout>
          <c:xMode val="edge"/>
          <c:yMode val="edge"/>
          <c:x val="0.37130271759508326"/>
          <c:y val="2.937853107344632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8438469493278179"/>
          <c:y val="0.51186440677966105"/>
          <c:w val="0.43123061013443642"/>
          <c:h val="0.28135593220338984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37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7BF8-4E2E-B767-4D583B83E45D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BF8-4E2E-B767-4D583B83E45D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7BF8-4E2E-B767-4D583B83E45D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7BF8-4E2E-B767-4D583B83E45D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7BF8-4E2E-B767-4D583B83E45D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7BF8-4E2E-B767-4D583B83E45D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C-7BF8-4E2E-B767-4D583B83E45D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E-7BF8-4E2E-B767-4D583B83E45D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0-7BF8-4E2E-B767-4D583B83E45D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2-7BF8-4E2E-B767-4D583B83E45D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4-7BF8-4E2E-B767-4D583B83E45D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15-7BF8-4E2E-B767-4D583B83E45D}"/>
              </c:ext>
            </c:extLst>
          </c:dPt>
          <c:dLbls>
            <c:dLbl>
              <c:idx val="0"/>
              <c:layout>
                <c:manualLayout>
                  <c:x val="9.3338658754612197E-2"/>
                  <c:y val="2.385960229547586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BF8-4E2E-B767-4D583B83E45D}"/>
                </c:ext>
              </c:extLst>
            </c:dLbl>
            <c:dLbl>
              <c:idx val="1"/>
              <c:layout>
                <c:manualLayout>
                  <c:x val="-6.4685392586796217E-3"/>
                  <c:y val="0.15127648027047466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BF8-4E2E-B767-4D583B83E45D}"/>
                </c:ext>
              </c:extLst>
            </c:dLbl>
            <c:dLbl>
              <c:idx val="2"/>
              <c:layout>
                <c:manualLayout>
                  <c:x val="-0.12445335637393153"/>
                  <c:y val="4.6155433960585433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BF8-4E2E-B767-4D583B83E45D}"/>
                </c:ext>
              </c:extLst>
            </c:dLbl>
            <c:dLbl>
              <c:idx val="3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6-7BF8-4E2E-B767-4D583B83E45D}"/>
                </c:ext>
              </c:extLst>
            </c:dLbl>
            <c:dLbl>
              <c:idx val="4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8-7BF8-4E2E-B767-4D583B83E45D}"/>
                </c:ext>
              </c:extLst>
            </c:dLbl>
            <c:dLbl>
              <c:idx val="5"/>
              <c:layout>
                <c:manualLayout>
                  <c:x val="-0.16839199447895101"/>
                  <c:y val="-0.205898660972463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860593512767426"/>
                      <c:h val="7.458765959339826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7BF8-4E2E-B767-4D583B83E45D}"/>
                </c:ext>
              </c:extLst>
            </c:dLbl>
            <c:dLbl>
              <c:idx val="6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C-7BF8-4E2E-B767-4D583B83E45D}"/>
                </c:ext>
              </c:extLst>
            </c:dLbl>
            <c:dLbl>
              <c:idx val="7"/>
              <c:layout>
                <c:manualLayout>
                  <c:x val="-0.15338213158137842"/>
                  <c:y val="0.245124783130922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BF8-4E2E-B767-4D583B83E45D}"/>
                </c:ext>
              </c:extLst>
            </c:dLbl>
            <c:dLbl>
              <c:idx val="8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0-7BF8-4E2E-B767-4D583B83E45D}"/>
                </c:ext>
              </c:extLst>
            </c:dLbl>
            <c:dLbl>
              <c:idx val="9"/>
              <c:layout>
                <c:manualLayout>
                  <c:x val="0.27422794976714865"/>
                  <c:y val="-0.1965279594288002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BF8-4E2E-B767-4D583B83E45D}"/>
                </c:ext>
              </c:extLst>
            </c:dLbl>
            <c:dLbl>
              <c:idx val="10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4-7BF8-4E2E-B767-4D583B83E45D}"/>
                </c:ext>
              </c:extLst>
            </c:dLbl>
            <c:dLbl>
              <c:idx val="11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5-7BF8-4E2E-B767-4D583B83E45D}"/>
                </c:ext>
              </c:extLst>
            </c:dLbl>
            <c:dLbl>
              <c:idx val="12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David"/>
                      <a:ea typeface="David"/>
                      <a:cs typeface="David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6-7BF8-4E2E-B767-4D583B83E45D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David"/>
                    <a:ea typeface="David"/>
                    <a:cs typeface="David"/>
                  </a:defRPr>
                </a:pPr>
                <a:endParaRPr lang="he-IL"/>
              </a:p>
            </c:txPr>
            <c:dLblPos val="bestFit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'תקציב 2019 פרקים'!$C$8:$D$20</c:f>
              <c:strCache>
                <c:ptCount val="13"/>
                <c:pt idx="0">
                  <c:v>נכסים ציבוריים</c:v>
                </c:pt>
                <c:pt idx="1">
                  <c:v>חינוך (*)</c:v>
                </c:pt>
                <c:pt idx="2">
                  <c:v>תרבות וספורט (*)</c:v>
                </c:pt>
                <c:pt idx="3">
                  <c:v>רווחה (*)</c:v>
                </c:pt>
                <c:pt idx="4">
                  <c:v>נכסים</c:v>
                </c:pt>
                <c:pt idx="5">
                  <c:v>תרבות הדיור </c:v>
                </c:pt>
                <c:pt idx="6">
                  <c:v>חופים</c:v>
                </c:pt>
                <c:pt idx="7">
                  <c:v>תכנון בנין עיר</c:v>
                </c:pt>
                <c:pt idx="8">
                  <c:v>מינהל כללי</c:v>
                </c:pt>
                <c:pt idx="9">
                  <c:v>שרותים עירוניים שונים</c:v>
                </c:pt>
                <c:pt idx="10">
                  <c:v>מבני דת ציבוריים</c:v>
                </c:pt>
                <c:pt idx="11">
                  <c:v>טיפול במרחב ציבורי</c:v>
                </c:pt>
                <c:pt idx="12">
                  <c:v>איכות הסביבה</c:v>
                </c:pt>
              </c:strCache>
            </c:strRef>
          </c:cat>
          <c:val>
            <c:numRef>
              <c:f>'תקציב 2019 פרקים'!$F$8:$F$20</c:f>
              <c:numCache>
                <c:formatCode>_ * #,##0_ ;_ * \-#,##0_ ;_ * "-"??_ ;_ @_ </c:formatCode>
                <c:ptCount val="13"/>
                <c:pt idx="0">
                  <c:v>244596.685</c:v>
                </c:pt>
                <c:pt idx="1">
                  <c:v>83574.382133986655</c:v>
                </c:pt>
                <c:pt idx="2">
                  <c:v>80246.2</c:v>
                </c:pt>
                <c:pt idx="3">
                  <c:v>50</c:v>
                </c:pt>
                <c:pt idx="4">
                  <c:v>12154.3</c:v>
                </c:pt>
                <c:pt idx="5">
                  <c:v>16350</c:v>
                </c:pt>
                <c:pt idx="6">
                  <c:v>3416.1590000000001</c:v>
                </c:pt>
                <c:pt idx="7">
                  <c:v>19720.12</c:v>
                </c:pt>
                <c:pt idx="8">
                  <c:v>285.00006000000008</c:v>
                </c:pt>
                <c:pt idx="9">
                  <c:v>13960</c:v>
                </c:pt>
                <c:pt idx="10">
                  <c:v>5425</c:v>
                </c:pt>
                <c:pt idx="11">
                  <c:v>6500</c:v>
                </c:pt>
                <c:pt idx="12">
                  <c:v>3130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7BF8-4E2E-B767-4D583B83E45D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David"/>
          <a:ea typeface="David"/>
          <a:cs typeface="David"/>
        </a:defRPr>
      </a:pPr>
      <a:endParaRPr lang="he-IL"/>
    </a:p>
  </c:txPr>
  <c:printSettings>
    <c:headerFooter/>
    <c:pageMargins b="0.75" l="0.7" r="0.7" t="0.75" header="0.3" footer="0.3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r>
              <a:rPr lang="he-IL" sz="1800" b="1" i="0" u="sng" strike="noStrike" baseline="0">
                <a:solidFill>
                  <a:srgbClr val="000000"/>
                </a:solidFill>
                <a:cs typeface="David"/>
              </a:rPr>
              <a:t>תרשים לפי מקורות מימון</a:t>
            </a:r>
            <a:r>
              <a:rPr lang="en-US" sz="1800" b="1" i="0" u="sng" strike="noStrike" baseline="0">
                <a:solidFill>
                  <a:srgbClr val="000000"/>
                </a:solidFill>
                <a:cs typeface="David"/>
              </a:rPr>
              <a:t/>
            </a:r>
            <a:br>
              <a:rPr lang="en-US" sz="1800" b="1" i="0" u="sng" strike="noStrike" baseline="0">
                <a:solidFill>
                  <a:srgbClr val="000000"/>
                </a:solidFill>
                <a:cs typeface="David"/>
              </a:rPr>
            </a:br>
            <a:r>
              <a:rPr lang="he-IL" sz="1800" b="1" i="0" u="sng" strike="noStrike" baseline="0">
                <a:solidFill>
                  <a:srgbClr val="000000"/>
                </a:solidFill>
                <a:cs typeface="David"/>
              </a:rPr>
              <a:t>באלפי ש"ח </a:t>
            </a:r>
          </a:p>
        </c:rich>
      </c:tx>
      <c:layout>
        <c:manualLayout>
          <c:xMode val="edge"/>
          <c:yMode val="edge"/>
          <c:x val="0.35059878384767124"/>
          <c:y val="5.19774011299435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8438469493278179"/>
          <c:y val="0.51186440677966105"/>
          <c:w val="0.43123061013443642"/>
          <c:h val="0.28135593220338984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031-45EB-AB1E-17B6FDB29991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031-45EB-AB1E-17B6FDB29991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E031-45EB-AB1E-17B6FDB29991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E031-45EB-AB1E-17B6FDB29991}"/>
              </c:ext>
            </c:extLst>
          </c:dPt>
          <c:dLbls>
            <c:dLbl>
              <c:idx val="0"/>
              <c:layout>
                <c:manualLayout>
                  <c:x val="-2.7870755286024132E-2"/>
                  <c:y val="-0.31073748832243431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031-45EB-AB1E-17B6FDB29991}"/>
                </c:ext>
              </c:extLst>
            </c:dLbl>
            <c:dLbl>
              <c:idx val="1"/>
              <c:layout>
                <c:manualLayout>
                  <c:x val="8.6677993051698418E-2"/>
                  <c:y val="0.1349175995857660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031-45EB-AB1E-17B6FDB29991}"/>
                </c:ext>
              </c:extLst>
            </c:dLbl>
            <c:dLbl>
              <c:idx val="2"/>
              <c:layout>
                <c:manualLayout>
                  <c:x val="-0.13834564157741158"/>
                  <c:y val="9.0722185150584986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031-45EB-AB1E-17B6FDB29991}"/>
                </c:ext>
              </c:extLst>
            </c:dLbl>
            <c:dLbl>
              <c:idx val="3"/>
              <c:layout>
                <c:manualLayout>
                  <c:x val="-0.24300234209854202"/>
                  <c:y val="-2.7107967436273855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031-45EB-AB1E-17B6FDB29991}"/>
                </c:ext>
              </c:extLst>
            </c:dLbl>
            <c:dLbl>
              <c:idx val="4"/>
              <c:layout>
                <c:manualLayout>
                  <c:x val="-1.2225537025263146E-2"/>
                  <c:y val="-0.2843494817385116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031-45EB-AB1E-17B6FDB29991}"/>
                </c:ext>
              </c:extLst>
            </c:dLbl>
            <c:dLbl>
              <c:idx val="5"/>
              <c:layout>
                <c:manualLayout>
                  <c:x val="-8.3776487608128614E-2"/>
                  <c:y val="-9.1224698607589392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031-45EB-AB1E-17B6FDB29991}"/>
                </c:ext>
              </c:extLst>
            </c:dLbl>
            <c:dLbl>
              <c:idx val="6"/>
              <c:layout>
                <c:manualLayout>
                  <c:x val="-8.0788975835104374E-2"/>
                  <c:y val="-7.6410338538191167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031-45EB-AB1E-17B6FDB29991}"/>
                </c:ext>
              </c:extLst>
            </c:dLbl>
            <c:dLbl>
              <c:idx val="7"/>
              <c:layout>
                <c:manualLayout>
                  <c:x val="-9.8847152895960411E-2"/>
                  <c:y val="-0.14493029049334935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031-45EB-AB1E-17B6FDB29991}"/>
                </c:ext>
              </c:extLst>
            </c:dLbl>
            <c:dLbl>
              <c:idx val="8"/>
              <c:layout>
                <c:manualLayout>
                  <c:x val="-0.15092053513993273"/>
                  <c:y val="-0.2175803194092263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031-45EB-AB1E-17B6FDB29991}"/>
                </c:ext>
              </c:extLst>
            </c:dLbl>
            <c:dLbl>
              <c:idx val="9"/>
              <c:layout>
                <c:manualLayout>
                  <c:x val="2.5958900949170392E-2"/>
                  <c:y val="-0.2116658214333377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031-45EB-AB1E-17B6FDB29991}"/>
                </c:ext>
              </c:extLst>
            </c:dLbl>
            <c:dLbl>
              <c:idx val="10"/>
              <c:layout>
                <c:manualLayout>
                  <c:x val="0.20222622120528624"/>
                  <c:y val="-0.1908648961252724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 panose="020B0604020202020204" pitchFamily="34" charset="0"/>
                      <a:ea typeface="David"/>
                      <a:cs typeface="Arial" panose="020B0604020202020204" pitchFamily="34" charset="0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031-45EB-AB1E-17B6FDB29991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 panose="020B0604020202020204" pitchFamily="34" charset="0"/>
                    <a:ea typeface="David"/>
                    <a:cs typeface="Arial" panose="020B0604020202020204" pitchFamily="34" charset="0"/>
                  </a:defRPr>
                </a:pPr>
                <a:endParaRPr lang="he-IL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'תקציב 2019  מקורות '!$C$8:$C$12</c:f>
              <c:strCache>
                <c:ptCount val="5"/>
                <c:pt idx="0">
                  <c:v>קרן לעבודות פיתוח</c:v>
                </c:pt>
                <c:pt idx="1">
                  <c:v>קרן עודפי תקציב רגיל</c:v>
                </c:pt>
                <c:pt idx="2">
                  <c:v>קרן רכוש</c:v>
                </c:pt>
                <c:pt idx="3">
                  <c:v>קרן יעודית  מתחם גליל ים</c:v>
                </c:pt>
                <c:pt idx="4">
                  <c:v>סה"כ משרדי ממשלה ואחרים</c:v>
                </c:pt>
              </c:strCache>
            </c:strRef>
          </c:cat>
          <c:val>
            <c:numRef>
              <c:f>'תקציב 2019  מקורות '!$F$8:$F$12</c:f>
              <c:numCache>
                <c:formatCode>#,##0</c:formatCode>
                <c:ptCount val="5"/>
                <c:pt idx="0">
                  <c:v>290040</c:v>
                </c:pt>
                <c:pt idx="1">
                  <c:v>44000</c:v>
                </c:pt>
                <c:pt idx="3">
                  <c:v>34722.656999999999</c:v>
                </c:pt>
                <c:pt idx="4">
                  <c:v>120645.189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031-45EB-AB1E-17B6FDB299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David"/>
          <a:ea typeface="David"/>
          <a:cs typeface="David"/>
        </a:defRPr>
      </a:pPr>
      <a:endParaRPr lang="he-IL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171451</xdr:colOff>
      <xdr:row>6</xdr:row>
      <xdr:rowOff>57150</xdr:rowOff>
    </xdr:from>
    <xdr:to>
      <xdr:col>11</xdr:col>
      <xdr:colOff>561976</xdr:colOff>
      <xdr:row>25</xdr:row>
      <xdr:rowOff>169886</xdr:rowOff>
    </xdr:to>
    <xdr:pic>
      <xdr:nvPicPr>
        <xdr:cNvPr id="5" name="תמונה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0418824" y="1943100"/>
          <a:ext cx="5838825" cy="35512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190500" y="190500"/>
    <xdr:ext cx="9201150" cy="5619750"/>
    <xdr:graphicFrame macro="">
      <xdr:nvGraphicFramePr>
        <xdr:cNvPr id="2" name="תרשים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142875"/>
    <xdr:ext cx="9201150" cy="5619750"/>
    <xdr:graphicFrame macro="">
      <xdr:nvGraphicFramePr>
        <xdr:cNvPr id="2" name="תרשים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76200" y="333375"/>
    <xdr:ext cx="9201150" cy="5619750"/>
    <xdr:graphicFrame macro="">
      <xdr:nvGraphicFramePr>
        <xdr:cNvPr id="2" name="תרשים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19</xdr:row>
      <xdr:rowOff>57149</xdr:rowOff>
    </xdr:from>
    <xdr:to>
      <xdr:col>4</xdr:col>
      <xdr:colOff>1704975</xdr:colOff>
      <xdr:row>34</xdr:row>
      <xdr:rowOff>38099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086075" y="3933824"/>
          <a:ext cx="3819525" cy="2695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</xdr:colOff>
      <xdr:row>24</xdr:row>
      <xdr:rowOff>1</xdr:rowOff>
    </xdr:from>
    <xdr:to>
      <xdr:col>4</xdr:col>
      <xdr:colOff>533400</xdr:colOff>
      <xdr:row>33</xdr:row>
      <xdr:rowOff>171450</xdr:rowOff>
    </xdr:to>
    <xdr:pic>
      <xdr:nvPicPr>
        <xdr:cNvPr id="4" name="תמונה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6400525" y="4953001"/>
          <a:ext cx="2857499" cy="18002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18</xdr:row>
      <xdr:rowOff>0</xdr:rowOff>
    </xdr:from>
    <xdr:to>
      <xdr:col>4</xdr:col>
      <xdr:colOff>1628775</xdr:colOff>
      <xdr:row>32</xdr:row>
      <xdr:rowOff>0</xdr:rowOff>
    </xdr:to>
    <xdr:pic>
      <xdr:nvPicPr>
        <xdr:cNvPr id="3" name="תמונה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5228950" y="3971925"/>
          <a:ext cx="4219575" cy="25527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257176</xdr:colOff>
      <xdr:row>17</xdr:row>
      <xdr:rowOff>19050</xdr:rowOff>
    </xdr:from>
    <xdr:to>
      <xdr:col>4</xdr:col>
      <xdr:colOff>1743076</xdr:colOff>
      <xdr:row>33</xdr:row>
      <xdr:rowOff>161925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114649" y="3295650"/>
          <a:ext cx="4086225" cy="31718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</xdr:colOff>
      <xdr:row>11</xdr:row>
      <xdr:rowOff>23626</xdr:rowOff>
    </xdr:from>
    <xdr:to>
      <xdr:col>5</xdr:col>
      <xdr:colOff>171450</xdr:colOff>
      <xdr:row>34</xdr:row>
      <xdr:rowOff>123826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657450" y="2281051"/>
          <a:ext cx="4667250" cy="42721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20</xdr:row>
      <xdr:rowOff>19050</xdr:rowOff>
    </xdr:from>
    <xdr:to>
      <xdr:col>4</xdr:col>
      <xdr:colOff>1247776</xdr:colOff>
      <xdr:row>33</xdr:row>
      <xdr:rowOff>161924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609949" y="4124325"/>
          <a:ext cx="3867151" cy="24955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514;&#1493;&#1499;&#1504;&#1497;&#1514;%20&#1506;&#1489;&#1493;&#1491;&#1492;%202019\&#1492;&#1499;&#1504;&#1514;%20&#1514;&#1511;&#1510;&#1497;&#1489;%202019\&#1495;&#1497;&#1504;&#1493;&#1498;\&#1496;&#1497;&#1493;&#1496;&#1492;%20&#1500;&#1491;&#1497;&#1493;&#1503;%20&#1502;&#1504;&#1499;&#1500;%20&#1495;&#1497;&#1504;&#1493;&#1498;%202019%2023.10.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514;&#1493;&#1499;&#1504;&#1497;&#1514;%20&#1506;&#1489;&#1493;&#1491;&#1492;%202019\&#1492;&#1510;&#1506;&#1514;%20&#1492;&#1514;&#1511;&#1510;&#1497;&#1489;%202019\&#1502;&#1497;&#1502;&#1493;&#1513;%20&#1514;&#1511;&#1510;&#1497;&#1489;%202018%20&#1500;&#1492;&#1510;&#1506;&#1514;%20&#1514;&#1511;&#1510;&#1497;&#1489;%20201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514;&#1493;&#1499;&#1504;&#1497;&#1514;%20&#1506;&#1489;&#1493;&#1491;&#1492;%202018\&#1492;&#1499;&#1504;&#1514;%20&#1514;&#1511;&#1510;&#1497;&#1489;\&#1495;&#1497;&#1504;&#1493;&#1498;\&#1514;&#1511;&#1510;&#1497;&#1489;%20&#1495;&#1497;&#1504;&#1493;&#1498;%20&#1506;&#1491;&#1499;&#1493;&#1503;%2025.9.17%20&#1488;&#1512;&#1504;&#1492;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514;&#1493;&#1499;&#1504;&#1497;&#1514;%20&#1506;&#1489;&#1493;&#1491;&#1492;%202017\&#1492;&#1510;&#1506;&#1514;%20&#1514;&#1511;&#1510;&#1497;&#1489;%202017\&#1492;&#1510;&#1506;&#1514;%20&#1492;&#1514;&#1511;&#1510;&#1497;&#1489;%202017%20&#1504;&#1505;&#1508;&#1495;%20&#1488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514;&#1511;&#1510;&#1497;&#1489;%202017\&#1502;&#1497;&#1502;&#1493;&#1513;%20&#1514;&#1511;&#1510;&#1497;&#1489;%20&#1502;&#1505;&#1490;&#1512;&#1514;%202017\&#1505;&#1508;&#1496;&#1502;&#1489;&#1512;%202017\&#1514;&#1511;&#1510;&#1497;&#1489;%20&#1508;&#1497;&#1514;&#1493;&#1495;%202017%20&#1502;&#1497;&#1502;&#1493;&#1513;%209.2017%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514;&#1511;&#1510;&#1497;&#1489;%202017\&#1502;&#1497;&#1502;&#1493;&#1513;%20&#1514;&#1511;&#1510;&#1497;&#1489;%20&#1502;&#1505;&#1490;&#1512;&#1514;%202017\&#1491;&#1510;&#1502;&#1489;&#1512;%202017\&#1514;&#1511;&#1510;&#1497;&#1489;%20&#1508;&#1497;&#1514;&#1493;&#1495;%202017%20&#1502;&#1497;&#1502;&#1493;&#1513;%2012.2017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חינוך "/>
      <sheetName val="אומדן - סיכום"/>
      <sheetName val="ציוד - אופק"/>
      <sheetName val="אומדן ירוק"/>
      <sheetName val="רשימת חדרים - להשתמש בחדרים אלו"/>
      <sheetName val="מחשוב אופק"/>
      <sheetName val="רשימת חדרים -   בר אילן "/>
      <sheetName val="גינות קהילתיות"/>
      <sheetName val="גיליון1"/>
      <sheetName val="סדנת רובוטיקה בהנדסאים "/>
      <sheetName val="הצטיידות תיכון יובל"/>
      <sheetName val="כיתה תקשורתית"/>
      <sheetName val="תוספת כיתות חדשות לקיים "/>
      <sheetName val="כיתה קטנה"/>
      <sheetName val="עלויות של מחשוב"/>
      <sheetName val="מחשוב גן מיוחד"/>
      <sheetName val="מחשוב גנים רגילים"/>
    </sheetNames>
    <sheetDataSet>
      <sheetData sheetId="0"/>
      <sheetData sheetId="1">
        <row r="24">
          <cell r="E24">
            <v>345000</v>
          </cell>
        </row>
        <row r="31">
          <cell r="E31">
            <v>600000</v>
          </cell>
        </row>
        <row r="35">
          <cell r="E35">
            <v>70000</v>
          </cell>
        </row>
        <row r="39">
          <cell r="E39">
            <v>773987.00000000012</v>
          </cell>
        </row>
        <row r="40">
          <cell r="E40">
            <v>216013.13398664998</v>
          </cell>
        </row>
        <row r="41">
          <cell r="E41">
            <v>60000</v>
          </cell>
        </row>
        <row r="56">
          <cell r="C56">
            <v>2335000</v>
          </cell>
        </row>
        <row r="73">
          <cell r="E73">
            <v>300000</v>
          </cell>
        </row>
        <row r="77">
          <cell r="E77">
            <v>78000</v>
          </cell>
        </row>
        <row r="78">
          <cell r="E78">
            <v>112000</v>
          </cell>
        </row>
        <row r="94">
          <cell r="E94">
            <v>100000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ריכוז אגפים"/>
      <sheetName val="ריכוז פרקים"/>
      <sheetName val="פרוט מקורות אחרים"/>
      <sheetName val="הנדסה "/>
      <sheetName val="הנדסה פרקים"/>
      <sheetName val="החברה לפיתוח (2)"/>
      <sheetName val="החברה לפיתוח"/>
      <sheetName val="החברה לפיתוח פרקים"/>
      <sheetName val="תבל  "/>
      <sheetName val="תבל   פרקים"/>
      <sheetName val="ביטחון פיקוח וסדר ציבורי"/>
      <sheetName val="ביטחון פיקוח וסדר ציבורי פרקים"/>
      <sheetName val="חינוך"/>
      <sheetName val="חינוך פרקים"/>
      <sheetName val=" תנוס "/>
      <sheetName val=" תנוס פרקים"/>
      <sheetName val="שאיפה "/>
      <sheetName val="שאיפה  פרקים"/>
      <sheetName val="רשות החופים"/>
      <sheetName val="רשות החופים פרקים"/>
      <sheetName val="איכות הסביבה"/>
      <sheetName val="איכות הסביבה פרקים"/>
      <sheetName val="החברה לתיירות "/>
      <sheetName val="החברה לתיירות  פרקים"/>
      <sheetName val=" מחשוב  "/>
      <sheetName val=" מחשוב  פרקים"/>
      <sheetName val="נכסים "/>
      <sheetName val="נכסים פרקים"/>
      <sheetName val="שיפוצי בתים עמידר"/>
      <sheetName val="שיפוצי בתים עמידר פרקים"/>
      <sheetName val="כללי  "/>
      <sheetName val="כללי פרקים"/>
    </sheetNames>
    <sheetDataSet>
      <sheetData sheetId="0"/>
      <sheetData sheetId="1"/>
      <sheetData sheetId="2"/>
      <sheetData sheetId="3">
        <row r="104">
          <cell r="D104">
            <v>726771115</v>
          </cell>
          <cell r="E104">
            <v>597414769</v>
          </cell>
          <cell r="F104">
            <v>129356346</v>
          </cell>
          <cell r="G104">
            <v>347647694</v>
          </cell>
          <cell r="H104">
            <v>257406622.65000007</v>
          </cell>
          <cell r="I104">
            <v>36404399.939999998</v>
          </cell>
          <cell r="J104">
            <v>16005031.029999999</v>
          </cell>
          <cell r="K104">
            <v>52409430.969999999</v>
          </cell>
          <cell r="L104">
            <v>309816053.62000012</v>
          </cell>
          <cell r="M104">
            <v>22043640.379999999</v>
          </cell>
          <cell r="N104">
            <v>32930000</v>
          </cell>
          <cell r="O104">
            <v>361981421</v>
          </cell>
          <cell r="P104">
            <v>37831640.380000003</v>
          </cell>
          <cell r="Q104">
            <v>0</v>
          </cell>
          <cell r="R104">
            <v>0</v>
          </cell>
          <cell r="S104">
            <v>0</v>
          </cell>
          <cell r="T104">
            <v>15788000</v>
          </cell>
          <cell r="U104">
            <v>17142000</v>
          </cell>
          <cell r="V104">
            <v>16653173</v>
          </cell>
          <cell r="W104">
            <v>0</v>
          </cell>
          <cell r="X104">
            <v>0</v>
          </cell>
          <cell r="Y104">
            <v>0</v>
          </cell>
          <cell r="Z104">
            <v>488827</v>
          </cell>
          <cell r="AB104">
            <v>0</v>
          </cell>
          <cell r="AC104">
            <v>0</v>
          </cell>
          <cell r="AD104">
            <v>-3348000</v>
          </cell>
          <cell r="AE104">
            <v>300000</v>
          </cell>
          <cell r="AF104">
            <v>2900000</v>
          </cell>
          <cell r="AG104">
            <v>1200000</v>
          </cell>
          <cell r="AH104">
            <v>500000</v>
          </cell>
          <cell r="AI104">
            <v>1850000</v>
          </cell>
          <cell r="AJ104">
            <v>500000</v>
          </cell>
          <cell r="AK104">
            <v>3902000</v>
          </cell>
          <cell r="AL104">
            <v>0</v>
          </cell>
          <cell r="AM104">
            <v>3902000</v>
          </cell>
          <cell r="AN104">
            <v>13240000</v>
          </cell>
          <cell r="AO104">
            <v>3902000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12751173</v>
          </cell>
          <cell r="AZ104">
            <v>0</v>
          </cell>
          <cell r="BA104">
            <v>0</v>
          </cell>
          <cell r="BB104">
            <v>0</v>
          </cell>
          <cell r="BC104">
            <v>488827</v>
          </cell>
        </row>
      </sheetData>
      <sheetData sheetId="4"/>
      <sheetData sheetId="5"/>
      <sheetData sheetId="6">
        <row r="120">
          <cell r="D120">
            <v>2140043405</v>
          </cell>
          <cell r="E120">
            <v>1862963405</v>
          </cell>
          <cell r="F120">
            <v>277080000</v>
          </cell>
          <cell r="G120">
            <v>851682826</v>
          </cell>
          <cell r="H120">
            <v>598935415.00999999</v>
          </cell>
          <cell r="I120">
            <v>2323301.5700000003</v>
          </cell>
          <cell r="J120">
            <v>85421661.919999972</v>
          </cell>
          <cell r="K120">
            <v>87744963.489999965</v>
          </cell>
          <cell r="L120">
            <v>686680378.50000024</v>
          </cell>
          <cell r="M120">
            <v>194957060.49999997</v>
          </cell>
          <cell r="N120">
            <v>397780568</v>
          </cell>
          <cell r="O120">
            <v>860625398</v>
          </cell>
          <cell r="P120">
            <v>165002447.49999997</v>
          </cell>
          <cell r="Q120">
            <v>32554613</v>
          </cell>
          <cell r="R120">
            <v>-1200000</v>
          </cell>
          <cell r="S120">
            <v>31354613</v>
          </cell>
          <cell r="T120">
            <v>1400000</v>
          </cell>
          <cell r="U120">
            <v>396380568</v>
          </cell>
          <cell r="V120">
            <v>158809940.93023255</v>
          </cell>
          <cell r="W120">
            <v>0</v>
          </cell>
          <cell r="X120">
            <v>1250000</v>
          </cell>
          <cell r="Y120">
            <v>48962500</v>
          </cell>
          <cell r="Z120">
            <v>187358127.06976745</v>
          </cell>
          <cell r="AB120">
            <v>0</v>
          </cell>
          <cell r="AC120">
            <v>9000000</v>
          </cell>
          <cell r="AD120">
            <v>9190000</v>
          </cell>
          <cell r="AE120">
            <v>3150000</v>
          </cell>
          <cell r="AF120">
            <v>50754866</v>
          </cell>
          <cell r="AG120">
            <v>2500000</v>
          </cell>
          <cell r="AH120">
            <v>23299800</v>
          </cell>
          <cell r="AI120">
            <v>7250000</v>
          </cell>
          <cell r="AJ120">
            <v>17470000</v>
          </cell>
          <cell r="AK120">
            <v>122614666</v>
          </cell>
          <cell r="AL120">
            <v>119955601</v>
          </cell>
          <cell r="AM120">
            <v>242570267</v>
          </cell>
          <cell r="AN120">
            <v>153810301</v>
          </cell>
          <cell r="AO120">
            <v>148109564</v>
          </cell>
          <cell r="AP120">
            <v>0</v>
          </cell>
          <cell r="AQ120">
            <v>0</v>
          </cell>
          <cell r="AR120">
            <v>34900000</v>
          </cell>
          <cell r="AS120">
            <v>59560703</v>
          </cell>
          <cell r="AT120">
            <v>103759932</v>
          </cell>
          <cell r="AU120">
            <v>0</v>
          </cell>
          <cell r="AV120">
            <v>0</v>
          </cell>
          <cell r="AW120">
            <v>5000000</v>
          </cell>
          <cell r="AX120">
            <v>11195669</v>
          </cell>
          <cell r="AY120">
            <v>10700377</v>
          </cell>
          <cell r="AZ120">
            <v>0</v>
          </cell>
          <cell r="BA120">
            <v>1250000</v>
          </cell>
          <cell r="BB120">
            <v>14062500</v>
          </cell>
          <cell r="BC120">
            <v>127797424</v>
          </cell>
        </row>
      </sheetData>
      <sheetData sheetId="7"/>
      <sheetData sheetId="8">
        <row r="78">
          <cell r="D78">
            <v>633904945</v>
          </cell>
          <cell r="E78">
            <v>603734945</v>
          </cell>
          <cell r="F78">
            <v>30170000</v>
          </cell>
          <cell r="G78">
            <v>462598645</v>
          </cell>
          <cell r="H78">
            <v>388788159.40999997</v>
          </cell>
          <cell r="I78">
            <v>26316156.420000006</v>
          </cell>
          <cell r="J78">
            <v>24144939.899999999</v>
          </cell>
          <cell r="K78">
            <v>50461096.32</v>
          </cell>
          <cell r="L78">
            <v>439249255.73000002</v>
          </cell>
          <cell r="M78">
            <v>17030689.269999973</v>
          </cell>
          <cell r="N78">
            <v>56791300</v>
          </cell>
          <cell r="O78">
            <v>120833700</v>
          </cell>
          <cell r="P78">
            <v>23349389.269999973</v>
          </cell>
          <cell r="Q78">
            <v>930000</v>
          </cell>
          <cell r="R78">
            <v>0</v>
          </cell>
          <cell r="S78">
            <v>930000</v>
          </cell>
          <cell r="T78">
            <v>7248700</v>
          </cell>
          <cell r="U78">
            <v>49542600</v>
          </cell>
          <cell r="V78">
            <v>25611300</v>
          </cell>
          <cell r="W78">
            <v>12054000</v>
          </cell>
          <cell r="X78">
            <v>0</v>
          </cell>
          <cell r="Y78">
            <v>0</v>
          </cell>
          <cell r="Z78">
            <v>11877300</v>
          </cell>
          <cell r="AB78">
            <v>2000000</v>
          </cell>
          <cell r="AC78">
            <v>13150000</v>
          </cell>
          <cell r="AD78">
            <v>8290000</v>
          </cell>
          <cell r="AE78">
            <v>50000</v>
          </cell>
          <cell r="AF78">
            <v>5510000</v>
          </cell>
          <cell r="AG78">
            <v>-250000</v>
          </cell>
          <cell r="AH78">
            <v>0</v>
          </cell>
          <cell r="AI78">
            <v>4050000</v>
          </cell>
          <cell r="AJ78">
            <v>5240000</v>
          </cell>
          <cell r="AK78">
            <v>38040000</v>
          </cell>
          <cell r="AL78">
            <v>0</v>
          </cell>
          <cell r="AM78">
            <v>38040000</v>
          </cell>
          <cell r="AN78">
            <v>11502600</v>
          </cell>
          <cell r="AO78">
            <v>24660000</v>
          </cell>
          <cell r="AP78">
            <v>11504000</v>
          </cell>
          <cell r="AQ78">
            <v>0</v>
          </cell>
          <cell r="AR78">
            <v>0</v>
          </cell>
          <cell r="AS78">
            <v>1876000</v>
          </cell>
          <cell r="AT78">
            <v>0</v>
          </cell>
          <cell r="AU78">
            <v>0</v>
          </cell>
          <cell r="AV78">
            <v>0</v>
          </cell>
          <cell r="AX78">
            <v>0</v>
          </cell>
          <cell r="AY78">
            <v>951300</v>
          </cell>
          <cell r="AZ78">
            <v>550000</v>
          </cell>
          <cell r="BA78">
            <v>0</v>
          </cell>
          <cell r="BB78">
            <v>0</v>
          </cell>
          <cell r="BC78">
            <v>10001300</v>
          </cell>
        </row>
      </sheetData>
      <sheetData sheetId="9"/>
      <sheetData sheetId="10">
        <row r="12">
          <cell r="D12">
            <v>2975000</v>
          </cell>
          <cell r="E12">
            <v>2275000</v>
          </cell>
          <cell r="F12">
            <v>700000</v>
          </cell>
          <cell r="G12">
            <v>1625000</v>
          </cell>
          <cell r="H12">
            <v>425322.8</v>
          </cell>
          <cell r="I12">
            <v>0</v>
          </cell>
          <cell r="J12">
            <v>68211</v>
          </cell>
          <cell r="K12">
            <v>68211</v>
          </cell>
          <cell r="L12">
            <v>493533.8</v>
          </cell>
          <cell r="M12">
            <v>1131466.2</v>
          </cell>
          <cell r="N12">
            <v>900000</v>
          </cell>
          <cell r="O12">
            <v>450000</v>
          </cell>
          <cell r="P12">
            <v>1131466.2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900000</v>
          </cell>
          <cell r="V12">
            <v>0</v>
          </cell>
          <cell r="W12">
            <v>900000</v>
          </cell>
          <cell r="X12">
            <v>0</v>
          </cell>
          <cell r="Y12">
            <v>0</v>
          </cell>
          <cell r="Z12">
            <v>0</v>
          </cell>
          <cell r="AB12">
            <v>0</v>
          </cell>
          <cell r="AC12">
            <v>50000</v>
          </cell>
          <cell r="AD12">
            <v>500000</v>
          </cell>
          <cell r="AE12">
            <v>0</v>
          </cell>
          <cell r="AF12">
            <v>0</v>
          </cell>
          <cell r="AG12">
            <v>0</v>
          </cell>
          <cell r="AH12">
            <v>50000</v>
          </cell>
          <cell r="AI12">
            <v>300000</v>
          </cell>
          <cell r="AJ12">
            <v>0</v>
          </cell>
          <cell r="AK12">
            <v>900000</v>
          </cell>
          <cell r="AL12">
            <v>0</v>
          </cell>
          <cell r="AM12">
            <v>900000</v>
          </cell>
          <cell r="AN12">
            <v>0</v>
          </cell>
          <cell r="AO12">
            <v>0</v>
          </cell>
          <cell r="AP12">
            <v>900000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</row>
      </sheetData>
      <sheetData sheetId="11"/>
      <sheetData sheetId="12">
        <row r="26">
          <cell r="D26">
            <v>11125500</v>
          </cell>
          <cell r="E26">
            <v>7610500</v>
          </cell>
          <cell r="F26">
            <v>3515000</v>
          </cell>
          <cell r="G26">
            <v>6570363</v>
          </cell>
          <cell r="H26">
            <v>3919803.55</v>
          </cell>
          <cell r="I26">
            <v>0</v>
          </cell>
          <cell r="J26">
            <v>726080</v>
          </cell>
          <cell r="K26">
            <v>726080</v>
          </cell>
          <cell r="L26">
            <v>4645883.55</v>
          </cell>
          <cell r="M26">
            <v>1924479.4500000002</v>
          </cell>
          <cell r="N26">
            <v>2580137</v>
          </cell>
          <cell r="O26">
            <v>1975000</v>
          </cell>
          <cell r="P26">
            <v>1924479.4500000002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2580137</v>
          </cell>
          <cell r="V26">
            <v>0</v>
          </cell>
          <cell r="W26">
            <v>2515000</v>
          </cell>
          <cell r="X26">
            <v>0</v>
          </cell>
          <cell r="Y26">
            <v>0</v>
          </cell>
          <cell r="Z26">
            <v>65137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1765000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1765000</v>
          </cell>
          <cell r="AL26">
            <v>0</v>
          </cell>
          <cell r="AM26">
            <v>1765000</v>
          </cell>
          <cell r="AN26">
            <v>815137</v>
          </cell>
          <cell r="AO26">
            <v>0</v>
          </cell>
          <cell r="AP26">
            <v>1765000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750000</v>
          </cell>
          <cell r="BA26">
            <v>0</v>
          </cell>
          <cell r="BB26">
            <v>0</v>
          </cell>
          <cell r="BC26">
            <v>65137</v>
          </cell>
        </row>
      </sheetData>
      <sheetData sheetId="13"/>
      <sheetData sheetId="14">
        <row r="19">
          <cell r="D19">
            <v>12098000</v>
          </cell>
          <cell r="E19">
            <v>10635000</v>
          </cell>
          <cell r="F19">
            <v>1463000</v>
          </cell>
          <cell r="G19">
            <v>8548000</v>
          </cell>
          <cell r="H19">
            <v>6584024.6899999995</v>
          </cell>
          <cell r="I19">
            <v>0</v>
          </cell>
          <cell r="J19">
            <v>898293.11</v>
          </cell>
          <cell r="K19">
            <v>898293.11</v>
          </cell>
          <cell r="L19">
            <v>7482317.799999998</v>
          </cell>
          <cell r="M19">
            <v>1065682.2</v>
          </cell>
          <cell r="N19">
            <v>1480000</v>
          </cell>
          <cell r="O19">
            <v>2070000</v>
          </cell>
          <cell r="P19">
            <v>1065682.2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1480000</v>
          </cell>
          <cell r="V19">
            <v>0</v>
          </cell>
          <cell r="W19">
            <v>1480000</v>
          </cell>
          <cell r="X19">
            <v>0</v>
          </cell>
          <cell r="Y19">
            <v>0</v>
          </cell>
          <cell r="Z19">
            <v>0</v>
          </cell>
          <cell r="AB19">
            <v>300000</v>
          </cell>
          <cell r="AC19">
            <v>100000</v>
          </cell>
          <cell r="AD19">
            <v>0</v>
          </cell>
          <cell r="AE19">
            <v>400000</v>
          </cell>
          <cell r="AF19">
            <v>0</v>
          </cell>
          <cell r="AG19">
            <v>100000</v>
          </cell>
          <cell r="AH19">
            <v>0</v>
          </cell>
          <cell r="AI19">
            <v>330000</v>
          </cell>
          <cell r="AJ19">
            <v>250000</v>
          </cell>
          <cell r="AK19">
            <v>1480000</v>
          </cell>
          <cell r="AL19">
            <v>0</v>
          </cell>
          <cell r="AM19">
            <v>1480000</v>
          </cell>
          <cell r="AN19">
            <v>0</v>
          </cell>
          <cell r="AO19">
            <v>0</v>
          </cell>
          <cell r="AP19">
            <v>1480000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</row>
      </sheetData>
      <sheetData sheetId="15"/>
      <sheetData sheetId="16">
        <row r="37">
          <cell r="D37">
            <v>146818000</v>
          </cell>
          <cell r="E37">
            <v>123300000</v>
          </cell>
          <cell r="F37">
            <v>23518000</v>
          </cell>
          <cell r="G37">
            <v>88374320</v>
          </cell>
          <cell r="H37">
            <v>76008641.620000005</v>
          </cell>
          <cell r="I37">
            <v>0</v>
          </cell>
          <cell r="J37">
            <v>9152954.5499999989</v>
          </cell>
          <cell r="K37">
            <v>9152954.5499999989</v>
          </cell>
          <cell r="L37">
            <v>85161596.170000002</v>
          </cell>
          <cell r="M37">
            <v>4292723.83</v>
          </cell>
          <cell r="N37">
            <v>20598000</v>
          </cell>
          <cell r="O37">
            <v>36765680</v>
          </cell>
          <cell r="P37">
            <v>3212723.8299999996</v>
          </cell>
          <cell r="Q37">
            <v>200000</v>
          </cell>
          <cell r="R37">
            <v>980000</v>
          </cell>
          <cell r="S37">
            <v>1180000</v>
          </cell>
          <cell r="T37">
            <v>100000</v>
          </cell>
          <cell r="U37">
            <v>20498000</v>
          </cell>
          <cell r="V37">
            <v>15873000</v>
          </cell>
          <cell r="W37">
            <v>4425000</v>
          </cell>
          <cell r="X37">
            <v>0</v>
          </cell>
          <cell r="Y37">
            <v>0</v>
          </cell>
          <cell r="Z37">
            <v>200000</v>
          </cell>
          <cell r="AB37">
            <v>0</v>
          </cell>
          <cell r="AC37">
            <v>7498000</v>
          </cell>
          <cell r="AD37">
            <v>3550000</v>
          </cell>
          <cell r="AE37">
            <v>0</v>
          </cell>
          <cell r="AF37">
            <v>2300000</v>
          </cell>
          <cell r="AG37">
            <v>1305000</v>
          </cell>
          <cell r="AH37">
            <v>1100000</v>
          </cell>
          <cell r="AI37">
            <v>800000</v>
          </cell>
          <cell r="AJ37">
            <v>250000</v>
          </cell>
          <cell r="AK37">
            <v>16803000</v>
          </cell>
          <cell r="AL37">
            <v>0</v>
          </cell>
          <cell r="AM37">
            <v>16803000</v>
          </cell>
          <cell r="AN37">
            <v>3695000</v>
          </cell>
          <cell r="AO37">
            <v>12978000</v>
          </cell>
          <cell r="AP37">
            <v>3825000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2895000</v>
          </cell>
          <cell r="AZ37">
            <v>600000</v>
          </cell>
          <cell r="BA37">
            <v>0</v>
          </cell>
          <cell r="BB37">
            <v>0</v>
          </cell>
          <cell r="BC37">
            <v>200000</v>
          </cell>
        </row>
      </sheetData>
      <sheetData sheetId="17"/>
      <sheetData sheetId="18">
        <row r="40">
          <cell r="D40">
            <v>13213000</v>
          </cell>
          <cell r="E40">
            <v>9209000</v>
          </cell>
          <cell r="F40">
            <v>4004000</v>
          </cell>
          <cell r="G40">
            <v>7179000</v>
          </cell>
          <cell r="H40">
            <v>6083098.8599999994</v>
          </cell>
          <cell r="I40">
            <v>0</v>
          </cell>
          <cell r="J40">
            <v>413078.86</v>
          </cell>
          <cell r="K40">
            <v>413078.86</v>
          </cell>
          <cell r="L40">
            <v>6496177.7199999997</v>
          </cell>
          <cell r="M40">
            <v>682822.2799999998</v>
          </cell>
          <cell r="N40">
            <v>2734000</v>
          </cell>
          <cell r="O40">
            <v>3300000</v>
          </cell>
          <cell r="P40">
            <v>682822.2799999998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2734000</v>
          </cell>
          <cell r="V40">
            <v>0</v>
          </cell>
          <cell r="W40">
            <v>2130000</v>
          </cell>
          <cell r="X40">
            <v>0</v>
          </cell>
          <cell r="Y40">
            <v>0</v>
          </cell>
          <cell r="Z40">
            <v>604000</v>
          </cell>
          <cell r="AB40">
            <v>0</v>
          </cell>
          <cell r="AC40">
            <v>1150000</v>
          </cell>
          <cell r="AD40">
            <v>550000</v>
          </cell>
          <cell r="AE40">
            <v>0</v>
          </cell>
          <cell r="AF40">
            <v>254000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1954000</v>
          </cell>
          <cell r="AL40">
            <v>0</v>
          </cell>
          <cell r="AM40">
            <v>1954000</v>
          </cell>
          <cell r="AN40">
            <v>780000</v>
          </cell>
          <cell r="AO40">
            <v>0</v>
          </cell>
          <cell r="AP40">
            <v>1700000</v>
          </cell>
          <cell r="AQ40">
            <v>0</v>
          </cell>
          <cell r="AR40">
            <v>0</v>
          </cell>
          <cell r="AS40">
            <v>254000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430000</v>
          </cell>
          <cell r="BA40">
            <v>0</v>
          </cell>
          <cell r="BB40">
            <v>0</v>
          </cell>
          <cell r="BC40">
            <v>350000</v>
          </cell>
        </row>
      </sheetData>
      <sheetData sheetId="19"/>
      <sheetData sheetId="20">
        <row r="19">
          <cell r="D19">
            <v>18511559</v>
          </cell>
          <cell r="E19">
            <v>15596559</v>
          </cell>
          <cell r="F19">
            <v>2915000</v>
          </cell>
          <cell r="G19">
            <v>6127500</v>
          </cell>
          <cell r="H19">
            <v>5145429.09</v>
          </cell>
          <cell r="I19">
            <v>0</v>
          </cell>
          <cell r="J19">
            <v>197696.93</v>
          </cell>
          <cell r="K19">
            <v>197696.93</v>
          </cell>
          <cell r="L19">
            <v>5343126.0199999996</v>
          </cell>
          <cell r="M19">
            <v>819374.98</v>
          </cell>
          <cell r="N19">
            <v>3211058</v>
          </cell>
          <cell r="O19">
            <v>9138000</v>
          </cell>
          <cell r="P19">
            <v>784373.98</v>
          </cell>
          <cell r="Q19">
            <v>35001</v>
          </cell>
          <cell r="R19">
            <v>0</v>
          </cell>
          <cell r="S19">
            <v>35001</v>
          </cell>
          <cell r="T19">
            <v>0</v>
          </cell>
          <cell r="U19">
            <v>3211058</v>
          </cell>
          <cell r="V19">
            <v>1300000</v>
          </cell>
          <cell r="W19">
            <v>850000</v>
          </cell>
          <cell r="X19">
            <v>0</v>
          </cell>
          <cell r="Y19">
            <v>0</v>
          </cell>
          <cell r="Z19">
            <v>1061058</v>
          </cell>
          <cell r="AB19">
            <v>0</v>
          </cell>
          <cell r="AC19">
            <v>0</v>
          </cell>
          <cell r="AD19">
            <v>250000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450000</v>
          </cell>
          <cell r="AK19">
            <v>700000</v>
          </cell>
          <cell r="AL19">
            <v>0</v>
          </cell>
          <cell r="AM19">
            <v>700000</v>
          </cell>
          <cell r="AN19">
            <v>2511058</v>
          </cell>
          <cell r="AO19">
            <v>250000</v>
          </cell>
          <cell r="AP19">
            <v>450000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1050000</v>
          </cell>
          <cell r="AZ19">
            <v>380000</v>
          </cell>
          <cell r="BA19">
            <v>0</v>
          </cell>
          <cell r="BB19">
            <v>0</v>
          </cell>
          <cell r="BC19">
            <v>1081058</v>
          </cell>
        </row>
      </sheetData>
      <sheetData sheetId="21"/>
      <sheetData sheetId="22">
        <row r="20">
          <cell r="D20">
            <v>39058000</v>
          </cell>
          <cell r="E20">
            <v>21970000</v>
          </cell>
          <cell r="F20">
            <v>17088000</v>
          </cell>
          <cell r="G20">
            <v>10995000</v>
          </cell>
          <cell r="H20">
            <v>8090239.9199999999</v>
          </cell>
          <cell r="I20">
            <v>0</v>
          </cell>
          <cell r="J20">
            <v>0</v>
          </cell>
          <cell r="K20">
            <v>0</v>
          </cell>
          <cell r="L20">
            <v>8090239.9199999999</v>
          </cell>
          <cell r="M20">
            <v>4904760.08</v>
          </cell>
          <cell r="N20">
            <v>9180000</v>
          </cell>
          <cell r="O20">
            <v>16883000</v>
          </cell>
          <cell r="P20">
            <v>2904760.08</v>
          </cell>
          <cell r="Q20">
            <v>0</v>
          </cell>
          <cell r="R20">
            <v>2000000</v>
          </cell>
          <cell r="S20">
            <v>2000000</v>
          </cell>
          <cell r="T20">
            <v>0</v>
          </cell>
          <cell r="U20">
            <v>9180000</v>
          </cell>
          <cell r="V20">
            <v>2391000</v>
          </cell>
          <cell r="W20">
            <v>0</v>
          </cell>
          <cell r="X20">
            <v>0</v>
          </cell>
          <cell r="Y20">
            <v>0</v>
          </cell>
          <cell r="Z20">
            <v>6789000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200000</v>
          </cell>
          <cell r="AK20">
            <v>200000</v>
          </cell>
          <cell r="AL20">
            <v>0</v>
          </cell>
          <cell r="AM20">
            <v>200000</v>
          </cell>
          <cell r="AN20">
            <v>8980000</v>
          </cell>
          <cell r="AO20">
            <v>200000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2191000</v>
          </cell>
          <cell r="AZ20">
            <v>0</v>
          </cell>
          <cell r="BA20">
            <v>0</v>
          </cell>
          <cell r="BB20">
            <v>0</v>
          </cell>
          <cell r="BC20">
            <v>6789000</v>
          </cell>
        </row>
      </sheetData>
      <sheetData sheetId="23"/>
      <sheetData sheetId="24">
        <row r="15">
          <cell r="D15">
            <v>43825000</v>
          </cell>
          <cell r="E15">
            <v>30415000</v>
          </cell>
          <cell r="F15">
            <v>13410000</v>
          </cell>
          <cell r="G15">
            <v>11033000</v>
          </cell>
          <cell r="H15">
            <v>8677485.5899999999</v>
          </cell>
          <cell r="I15">
            <v>0</v>
          </cell>
          <cell r="J15">
            <v>1419004.54</v>
          </cell>
          <cell r="K15">
            <v>1419004.54</v>
          </cell>
          <cell r="L15">
            <v>10096490.130000001</v>
          </cell>
          <cell r="M15">
            <v>936509.87</v>
          </cell>
          <cell r="N15">
            <v>9860000</v>
          </cell>
          <cell r="O15">
            <v>22932000</v>
          </cell>
          <cell r="P15">
            <v>936509.87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9860000</v>
          </cell>
          <cell r="V15">
            <v>7040000</v>
          </cell>
          <cell r="W15">
            <v>2820000</v>
          </cell>
          <cell r="X15">
            <v>0</v>
          </cell>
          <cell r="Y15">
            <v>0</v>
          </cell>
          <cell r="Z15">
            <v>0</v>
          </cell>
          <cell r="AB15">
            <v>0</v>
          </cell>
          <cell r="AC15">
            <v>0</v>
          </cell>
          <cell r="AD15">
            <v>270000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8940000</v>
          </cell>
          <cell r="AJ15">
            <v>0</v>
          </cell>
          <cell r="AK15">
            <v>9210000</v>
          </cell>
          <cell r="AL15">
            <v>0</v>
          </cell>
          <cell r="AM15">
            <v>9210000</v>
          </cell>
          <cell r="AN15">
            <v>650000</v>
          </cell>
          <cell r="AO15">
            <v>6940000</v>
          </cell>
          <cell r="AP15">
            <v>2270000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100000</v>
          </cell>
          <cell r="AZ15">
            <v>550000</v>
          </cell>
          <cell r="BA15">
            <v>0</v>
          </cell>
          <cell r="BB15">
            <v>0</v>
          </cell>
          <cell r="BC15">
            <v>0</v>
          </cell>
        </row>
      </sheetData>
      <sheetData sheetId="25"/>
      <sheetData sheetId="26">
        <row r="24">
          <cell r="D24">
            <v>153914700</v>
          </cell>
          <cell r="E24">
            <v>152144700</v>
          </cell>
          <cell r="F24">
            <v>1770000</v>
          </cell>
          <cell r="G24">
            <v>86547525</v>
          </cell>
          <cell r="H24">
            <v>67054113.32</v>
          </cell>
          <cell r="I24">
            <v>0</v>
          </cell>
          <cell r="J24">
            <v>25119.5</v>
          </cell>
          <cell r="K24">
            <v>25119.5</v>
          </cell>
          <cell r="L24">
            <v>67079232.82</v>
          </cell>
          <cell r="M24">
            <v>19468292.18</v>
          </cell>
          <cell r="N24">
            <v>3070000</v>
          </cell>
          <cell r="O24">
            <v>64297175</v>
          </cell>
          <cell r="P24">
            <v>19468292.18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3070000</v>
          </cell>
          <cell r="V24">
            <v>3070000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C24">
            <v>100000</v>
          </cell>
          <cell r="AD24">
            <v>10000</v>
          </cell>
          <cell r="AE24">
            <v>10000</v>
          </cell>
          <cell r="AF24">
            <v>0</v>
          </cell>
          <cell r="AG24">
            <v>0</v>
          </cell>
          <cell r="AH24">
            <v>250000</v>
          </cell>
          <cell r="AI24">
            <v>0</v>
          </cell>
          <cell r="AJ24">
            <v>10000</v>
          </cell>
          <cell r="AK24">
            <v>380000</v>
          </cell>
          <cell r="AL24">
            <v>0</v>
          </cell>
          <cell r="AM24">
            <v>380000</v>
          </cell>
          <cell r="AN24">
            <v>2690000</v>
          </cell>
          <cell r="AO24">
            <v>380000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2690000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</row>
      </sheetData>
      <sheetData sheetId="27"/>
      <sheetData sheetId="28">
        <row r="10">
          <cell r="D10">
            <v>89490000</v>
          </cell>
          <cell r="E10">
            <v>78490000</v>
          </cell>
          <cell r="F10">
            <v>11000000</v>
          </cell>
          <cell r="G10">
            <v>60690000</v>
          </cell>
          <cell r="H10">
            <v>59142677.799999997</v>
          </cell>
          <cell r="I10">
            <v>0</v>
          </cell>
          <cell r="J10">
            <v>0</v>
          </cell>
          <cell r="K10">
            <v>0</v>
          </cell>
          <cell r="L10">
            <v>59142677.799999997</v>
          </cell>
          <cell r="M10">
            <v>3047322.2</v>
          </cell>
          <cell r="N10">
            <v>13750000</v>
          </cell>
          <cell r="O10">
            <v>13550000</v>
          </cell>
          <cell r="P10">
            <v>1547322.2</v>
          </cell>
          <cell r="Q10">
            <v>1500000</v>
          </cell>
          <cell r="R10">
            <v>0</v>
          </cell>
          <cell r="S10">
            <v>1500000</v>
          </cell>
          <cell r="T10">
            <v>0</v>
          </cell>
          <cell r="U10">
            <v>13750000</v>
          </cell>
          <cell r="V10">
            <v>50000</v>
          </cell>
          <cell r="W10">
            <v>0</v>
          </cell>
          <cell r="X10">
            <v>0</v>
          </cell>
          <cell r="Y10">
            <v>0</v>
          </cell>
          <cell r="Z10">
            <v>13700000</v>
          </cell>
          <cell r="AB10">
            <v>0</v>
          </cell>
          <cell r="AC10">
            <v>0</v>
          </cell>
          <cell r="AD10">
            <v>1000000</v>
          </cell>
          <cell r="AE10">
            <v>0</v>
          </cell>
          <cell r="AF10">
            <v>1000000</v>
          </cell>
          <cell r="AG10">
            <v>1000000</v>
          </cell>
          <cell r="AH10">
            <v>1500000</v>
          </cell>
          <cell r="AI10">
            <v>50000</v>
          </cell>
          <cell r="AJ10">
            <v>2000000</v>
          </cell>
          <cell r="AK10">
            <v>6550000</v>
          </cell>
          <cell r="AL10">
            <v>0</v>
          </cell>
          <cell r="AM10">
            <v>6550000</v>
          </cell>
          <cell r="AN10">
            <v>7200000</v>
          </cell>
          <cell r="AO10">
            <v>50000</v>
          </cell>
          <cell r="AP10">
            <v>0</v>
          </cell>
          <cell r="AQ10">
            <v>0</v>
          </cell>
          <cell r="AR10">
            <v>0</v>
          </cell>
          <cell r="AS10">
            <v>6500000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7200000</v>
          </cell>
        </row>
      </sheetData>
      <sheetData sheetId="29"/>
      <sheetData sheetId="30">
        <row r="15">
          <cell r="D15">
            <v>109471606</v>
          </cell>
          <cell r="E15">
            <v>114354020</v>
          </cell>
          <cell r="F15">
            <v>-4882414</v>
          </cell>
          <cell r="G15">
            <v>74283020</v>
          </cell>
          <cell r="H15">
            <v>54198754.880000003</v>
          </cell>
          <cell r="I15">
            <v>207252.8</v>
          </cell>
          <cell r="J15">
            <v>3096209.4899999998</v>
          </cell>
          <cell r="K15">
            <v>3303462.2899999996</v>
          </cell>
          <cell r="L15">
            <v>57502217.170000009</v>
          </cell>
          <cell r="M15">
            <v>14904388.83</v>
          </cell>
          <cell r="N15">
            <v>10050000</v>
          </cell>
          <cell r="O15">
            <v>27015000</v>
          </cell>
          <cell r="P15">
            <v>16780802.829999998</v>
          </cell>
          <cell r="Q15">
            <v>1406000</v>
          </cell>
          <cell r="R15">
            <v>0</v>
          </cell>
          <cell r="S15">
            <v>1406000</v>
          </cell>
          <cell r="T15">
            <v>3282414</v>
          </cell>
          <cell r="U15">
            <v>6767586</v>
          </cell>
          <cell r="V15">
            <v>6941586</v>
          </cell>
          <cell r="W15">
            <v>-174000</v>
          </cell>
          <cell r="X15">
            <v>0</v>
          </cell>
          <cell r="Y15">
            <v>0</v>
          </cell>
          <cell r="Z15">
            <v>0</v>
          </cell>
          <cell r="AB15">
            <v>0</v>
          </cell>
          <cell r="AC15">
            <v>0</v>
          </cell>
          <cell r="AD15">
            <v>867586</v>
          </cell>
          <cell r="AE15">
            <v>0</v>
          </cell>
          <cell r="AF15">
            <v>0</v>
          </cell>
          <cell r="AG15">
            <v>950000</v>
          </cell>
          <cell r="AH15">
            <v>0</v>
          </cell>
          <cell r="AI15">
            <v>700000</v>
          </cell>
          <cell r="AJ15">
            <v>0</v>
          </cell>
          <cell r="AK15">
            <v>2517586</v>
          </cell>
          <cell r="AL15">
            <v>0</v>
          </cell>
          <cell r="AM15">
            <v>2517586</v>
          </cell>
          <cell r="AN15">
            <v>4250000</v>
          </cell>
          <cell r="AO15">
            <v>2891586</v>
          </cell>
          <cell r="AP15">
            <v>-374000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4050000</v>
          </cell>
          <cell r="AZ15">
            <v>200000</v>
          </cell>
          <cell r="BA15">
            <v>0</v>
          </cell>
          <cell r="BB15">
            <v>0</v>
          </cell>
          <cell r="BC15">
            <v>0</v>
          </cell>
        </row>
      </sheetData>
      <sheetData sheetId="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מחשוב עדכון"/>
      <sheetName val="מעבדה הנדסאים"/>
      <sheetName val="אומדן - סיכום מעודכן"/>
      <sheetName val="סגירת תברים"/>
      <sheetName val="תקציב פיתוח 2018"/>
      <sheetName val="אומדן - סיכום"/>
      <sheetName val="רשימת חדרים - להשתמש בחדרים אלו"/>
      <sheetName val="ציוד - אופק"/>
      <sheetName val="מחשוב אופק"/>
      <sheetName val="מחשוב"/>
    </sheetNames>
    <sheetDataSet>
      <sheetData sheetId="0"/>
      <sheetData sheetId="1"/>
      <sheetData sheetId="2"/>
      <sheetData sheetId="3"/>
      <sheetData sheetId="4"/>
      <sheetData sheetId="5">
        <row r="57">
          <cell r="E57">
            <v>480000</v>
          </cell>
        </row>
        <row r="61">
          <cell r="E61">
            <v>70000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נספח א"/>
      <sheetName val="ריכוז אגפים"/>
      <sheetName val="הנדסה "/>
      <sheetName val="החברה לפיתוח "/>
      <sheetName val="תבל "/>
      <sheetName val="בטחון"/>
      <sheetName val="חינוך תנוס "/>
      <sheetName val="שאיפה "/>
      <sheetName val="החברה לתיירות "/>
      <sheetName val="מיחשוב "/>
      <sheetName val="נכסים"/>
      <sheetName val="שיפוצי בתים עמידר"/>
      <sheetName val="כללי"/>
      <sheetName val="ריכוז תקציבים מעבר לתוכנית 31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2">
          <cell r="AY12">
            <v>3400000</v>
          </cell>
        </row>
      </sheetData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חינוך תנוס "/>
      <sheetName val="שיפוצי בתים עמידר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חינוך תנוס "/>
      <sheetName val="שיפוצי בתים עמידר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9.xml"/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0.xml"/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1.xml"/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2.xml"/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3.xml"/><Relationship Id="rId2" Type="http://schemas.openxmlformats.org/officeDocument/2006/relationships/vmlDrawing" Target="../drawings/vmlDrawing33.v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4.xml"/><Relationship Id="rId2" Type="http://schemas.openxmlformats.org/officeDocument/2006/relationships/vmlDrawing" Target="../drawings/vmlDrawing34.v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32"/>
  <sheetViews>
    <sheetView rightToLeft="1" tabSelected="1" zoomScaleNormal="100" workbookViewId="0">
      <selection activeCell="T20" sqref="T20"/>
    </sheetView>
  </sheetViews>
  <sheetFormatPr defaultColWidth="9.1796875" defaultRowHeight="14"/>
  <cols>
    <col min="1" max="8" width="9.1796875" style="167"/>
    <col min="9" max="9" width="26.81640625" style="167" bestFit="1" customWidth="1"/>
    <col min="10" max="16384" width="9.1796875" style="167"/>
  </cols>
  <sheetData>
    <row r="5" spans="1:10" ht="45.5">
      <c r="A5" s="712" t="s">
        <v>484</v>
      </c>
      <c r="B5" s="712"/>
      <c r="C5" s="712"/>
      <c r="D5" s="712"/>
      <c r="E5" s="712"/>
      <c r="F5" s="712"/>
      <c r="G5" s="712"/>
      <c r="H5" s="712"/>
      <c r="I5" s="712"/>
      <c r="J5" s="712"/>
    </row>
    <row r="6" spans="1:10" ht="45.5">
      <c r="A6" s="712" t="s">
        <v>615</v>
      </c>
      <c r="B6" s="712"/>
      <c r="C6" s="712"/>
      <c r="D6" s="712"/>
      <c r="E6" s="712"/>
      <c r="F6" s="712"/>
      <c r="G6" s="712"/>
      <c r="H6" s="712"/>
      <c r="I6" s="712"/>
      <c r="J6" s="712"/>
    </row>
    <row r="27" spans="8:10" ht="18">
      <c r="H27" s="178"/>
      <c r="I27" s="178"/>
    </row>
    <row r="29" spans="8:10" ht="23">
      <c r="H29" s="671" t="s">
        <v>1546</v>
      </c>
      <c r="J29" s="670"/>
    </row>
    <row r="30" spans="8:10" ht="23">
      <c r="H30" s="671" t="s">
        <v>1528</v>
      </c>
      <c r="J30" s="670"/>
    </row>
    <row r="31" spans="8:10">
      <c r="I31" s="691"/>
    </row>
    <row r="32" spans="8:10" ht="18">
      <c r="I32" s="671"/>
    </row>
  </sheetData>
  <mergeCells count="2">
    <mergeCell ref="A5:J5"/>
    <mergeCell ref="A6:J6"/>
  </mergeCells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rightToLeft="1" topLeftCell="A7" workbookViewId="0">
      <selection activeCell="T20" sqref="T20"/>
    </sheetView>
  </sheetViews>
  <sheetFormatPr defaultColWidth="9.1796875" defaultRowHeight="14"/>
  <cols>
    <col min="1" max="1" width="9.1796875" style="237"/>
    <col min="2" max="7" width="9.1796875" style="167"/>
    <col min="8" max="8" width="14.26953125" style="167" customWidth="1"/>
    <col min="9" max="16384" width="9.1796875" style="167"/>
  </cols>
  <sheetData>
    <row r="1" spans="1:10" ht="18">
      <c r="B1" s="238"/>
      <c r="C1" s="238"/>
      <c r="D1" s="238"/>
      <c r="E1" s="238"/>
      <c r="F1" s="238"/>
      <c r="G1" s="238"/>
      <c r="H1" s="238"/>
    </row>
    <row r="2" spans="1:10" ht="20.5">
      <c r="B2" s="178" t="s">
        <v>485</v>
      </c>
      <c r="H2" s="178" t="s">
        <v>486</v>
      </c>
      <c r="J2" s="683"/>
    </row>
    <row r="3" spans="1:10" ht="15.5">
      <c r="B3" s="169"/>
    </row>
    <row r="4" spans="1:10" ht="25" customHeight="1">
      <c r="A4" s="239"/>
      <c r="B4" s="169" t="s">
        <v>407</v>
      </c>
      <c r="H4" s="169">
        <v>3</v>
      </c>
    </row>
    <row r="5" spans="1:10" ht="25" customHeight="1">
      <c r="A5" s="239"/>
      <c r="B5" s="169" t="s">
        <v>616</v>
      </c>
      <c r="H5" s="169">
        <v>4</v>
      </c>
    </row>
    <row r="6" spans="1:10" ht="25" customHeight="1">
      <c r="A6" s="239"/>
      <c r="B6" s="169" t="s">
        <v>617</v>
      </c>
      <c r="F6" s="169"/>
    </row>
    <row r="7" spans="1:10" ht="25" customHeight="1">
      <c r="A7" s="239"/>
      <c r="B7" s="169" t="s">
        <v>487</v>
      </c>
      <c r="F7" s="240"/>
      <c r="G7" s="334"/>
      <c r="H7" s="176" t="s">
        <v>598</v>
      </c>
    </row>
    <row r="8" spans="1:10" ht="25" customHeight="1">
      <c r="A8" s="239"/>
      <c r="B8" s="169" t="s">
        <v>1174</v>
      </c>
      <c r="F8" s="241"/>
      <c r="G8" s="334"/>
      <c r="H8" s="176" t="s">
        <v>1456</v>
      </c>
    </row>
    <row r="9" spans="1:10" ht="25" customHeight="1">
      <c r="A9" s="239"/>
      <c r="B9" s="169" t="s">
        <v>444</v>
      </c>
      <c r="F9" s="241"/>
      <c r="G9" s="334"/>
      <c r="H9" s="176" t="s">
        <v>1457</v>
      </c>
    </row>
    <row r="10" spans="1:10" ht="25" customHeight="1">
      <c r="A10" s="239"/>
      <c r="B10" s="169" t="s">
        <v>356</v>
      </c>
      <c r="F10" s="242"/>
      <c r="G10" s="334"/>
      <c r="H10" s="176" t="s">
        <v>1458</v>
      </c>
    </row>
    <row r="11" spans="1:10" ht="25" customHeight="1">
      <c r="A11" s="239"/>
      <c r="B11" s="169" t="s">
        <v>488</v>
      </c>
      <c r="F11" s="242"/>
      <c r="G11" s="334"/>
      <c r="H11" s="176" t="s">
        <v>1459</v>
      </c>
    </row>
    <row r="12" spans="1:10" ht="25" customHeight="1">
      <c r="A12" s="239"/>
      <c r="B12" s="169" t="s">
        <v>388</v>
      </c>
      <c r="F12" s="242"/>
      <c r="G12" s="334"/>
      <c r="H12" s="176" t="s">
        <v>1460</v>
      </c>
    </row>
    <row r="13" spans="1:10" ht="25" customHeight="1">
      <c r="A13" s="239"/>
      <c r="B13" s="169" t="s">
        <v>1048</v>
      </c>
      <c r="F13" s="242"/>
      <c r="G13" s="334"/>
      <c r="H13" s="176" t="s">
        <v>1461</v>
      </c>
    </row>
    <row r="14" spans="1:10" ht="25" customHeight="1">
      <c r="A14" s="239"/>
      <c r="B14" s="169" t="s">
        <v>154</v>
      </c>
      <c r="F14" s="242"/>
      <c r="G14" s="334"/>
      <c r="H14" s="176" t="s">
        <v>1529</v>
      </c>
    </row>
    <row r="15" spans="1:10" ht="25" customHeight="1">
      <c r="A15" s="239"/>
      <c r="B15" s="169" t="s">
        <v>371</v>
      </c>
      <c r="F15" s="242"/>
      <c r="G15" s="334"/>
      <c r="H15" s="176" t="s">
        <v>1530</v>
      </c>
    </row>
    <row r="16" spans="1:10" ht="25" customHeight="1">
      <c r="A16" s="239"/>
      <c r="B16" s="169" t="s">
        <v>542</v>
      </c>
      <c r="F16" s="241"/>
      <c r="G16" s="334"/>
      <c r="H16" s="176" t="s">
        <v>1531</v>
      </c>
    </row>
    <row r="17" spans="1:8" ht="25" customHeight="1">
      <c r="A17" s="239"/>
      <c r="B17" s="169" t="s">
        <v>543</v>
      </c>
      <c r="F17" s="241"/>
      <c r="G17" s="334"/>
      <c r="H17" s="176" t="s">
        <v>1532</v>
      </c>
    </row>
    <row r="18" spans="1:8" ht="25" customHeight="1">
      <c r="A18" s="239"/>
      <c r="B18" s="169" t="s">
        <v>1462</v>
      </c>
      <c r="F18" s="241"/>
      <c r="G18" s="334"/>
      <c r="H18" s="176" t="s">
        <v>1533</v>
      </c>
    </row>
    <row r="19" spans="1:8" ht="25" customHeight="1">
      <c r="A19" s="239"/>
      <c r="B19" s="169" t="s">
        <v>506</v>
      </c>
      <c r="F19" s="241"/>
      <c r="G19" s="334"/>
      <c r="H19" s="176" t="s">
        <v>1534</v>
      </c>
    </row>
    <row r="20" spans="1:8" ht="25" customHeight="1">
      <c r="A20" s="239"/>
      <c r="B20" s="169" t="s">
        <v>618</v>
      </c>
      <c r="H20" s="176" t="s">
        <v>1535</v>
      </c>
    </row>
    <row r="21" spans="1:8" ht="25" customHeight="1">
      <c r="A21" s="239"/>
      <c r="B21" s="169" t="s">
        <v>469</v>
      </c>
      <c r="H21" s="176" t="s">
        <v>1536</v>
      </c>
    </row>
    <row r="22" spans="1:8" ht="15.5">
      <c r="A22" s="239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45"/>
  <sheetViews>
    <sheetView rightToLeft="1" topLeftCell="A13" zoomScaleNormal="100" workbookViewId="0">
      <selection activeCell="T20" sqref="T20"/>
    </sheetView>
  </sheetViews>
  <sheetFormatPr defaultColWidth="9.1796875" defaultRowHeight="14"/>
  <cols>
    <col min="1" max="2" width="4.1796875" style="167" customWidth="1"/>
    <col min="3" max="3" width="56.81640625" style="167" customWidth="1"/>
    <col min="4" max="4" width="9.1796875" style="167"/>
    <col min="5" max="5" width="15.7265625" style="167" customWidth="1"/>
    <col min="6" max="8" width="9.1796875" style="167"/>
    <col min="9" max="9" width="7.81640625" style="167" customWidth="1"/>
    <col min="10" max="16384" width="9.1796875" style="167"/>
  </cols>
  <sheetData>
    <row r="3" spans="1:16" ht="20.5">
      <c r="C3" s="168"/>
    </row>
    <row r="4" spans="1:16" ht="15.5">
      <c r="A4" s="169" t="s">
        <v>406</v>
      </c>
      <c r="B4" s="169" t="s">
        <v>406</v>
      </c>
      <c r="C4" s="170" t="s">
        <v>407</v>
      </c>
    </row>
    <row r="5" spans="1:16" ht="15.5">
      <c r="A5" s="169"/>
      <c r="B5" s="169"/>
      <c r="C5" s="170"/>
    </row>
    <row r="6" spans="1:16" ht="15.5">
      <c r="A6" s="169">
        <v>1.1000000000000001</v>
      </c>
      <c r="B6" s="169"/>
      <c r="C6" s="171" t="s">
        <v>408</v>
      </c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</row>
    <row r="7" spans="1:16" ht="15.5">
      <c r="A7" s="169"/>
      <c r="B7" s="169"/>
      <c r="C7" s="169" t="s">
        <v>409</v>
      </c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</row>
    <row r="8" spans="1:16" ht="15.5">
      <c r="A8" s="169"/>
      <c r="B8" s="169"/>
      <c r="C8" s="169" t="s">
        <v>410</v>
      </c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</row>
    <row r="9" spans="1:16" ht="15.5">
      <c r="A9" s="169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</row>
    <row r="10" spans="1:16" ht="15.5">
      <c r="A10" s="169"/>
      <c r="B10" s="169"/>
      <c r="C10" s="169" t="s">
        <v>411</v>
      </c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69"/>
    </row>
    <row r="11" spans="1:16" ht="15.5">
      <c r="A11" s="172"/>
      <c r="B11" s="172" t="s">
        <v>344</v>
      </c>
      <c r="C11" s="169" t="s">
        <v>412</v>
      </c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69"/>
      <c r="O11" s="169"/>
      <c r="P11" s="169"/>
    </row>
    <row r="12" spans="1:16" ht="15.5">
      <c r="A12" s="169"/>
      <c r="B12" s="172" t="s">
        <v>344</v>
      </c>
      <c r="C12" s="169" t="s">
        <v>413</v>
      </c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</row>
    <row r="13" spans="1:16" ht="15.5">
      <c r="A13" s="169"/>
      <c r="B13" s="172" t="s">
        <v>344</v>
      </c>
      <c r="C13" s="169" t="s">
        <v>414</v>
      </c>
      <c r="D13" s="169"/>
      <c r="E13" s="169"/>
      <c r="F13" s="169"/>
      <c r="G13" s="169"/>
      <c r="H13" s="169"/>
      <c r="I13" s="169"/>
      <c r="J13" s="169"/>
      <c r="K13" s="169"/>
      <c r="L13" s="169"/>
      <c r="M13" s="169"/>
      <c r="N13" s="169"/>
      <c r="O13" s="169"/>
      <c r="P13" s="169"/>
    </row>
    <row r="14" spans="1:16" ht="15.5">
      <c r="A14" s="169"/>
      <c r="B14" s="169"/>
      <c r="C14" s="169" t="s">
        <v>415</v>
      </c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169"/>
    </row>
    <row r="15" spans="1:16" ht="15.5">
      <c r="A15" s="169"/>
      <c r="B15" s="172" t="s">
        <v>344</v>
      </c>
      <c r="C15" s="169" t="s">
        <v>416</v>
      </c>
      <c r="D15" s="169"/>
      <c r="E15" s="169"/>
      <c r="F15" s="169"/>
      <c r="G15" s="169"/>
      <c r="H15" s="169"/>
      <c r="I15" s="169"/>
      <c r="J15" s="171"/>
      <c r="K15" s="169"/>
      <c r="L15" s="169"/>
      <c r="M15" s="169"/>
      <c r="N15" s="169"/>
      <c r="O15" s="169"/>
      <c r="P15" s="169"/>
    </row>
    <row r="16" spans="1:16" ht="15.5">
      <c r="A16" s="169"/>
      <c r="B16" s="169"/>
      <c r="C16" s="169"/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69"/>
      <c r="O16" s="169"/>
      <c r="P16" s="169"/>
    </row>
    <row r="17" spans="1:16" ht="15.5">
      <c r="A17" s="169">
        <v>1.2</v>
      </c>
      <c r="B17" s="169"/>
      <c r="C17" s="171" t="s">
        <v>417</v>
      </c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69"/>
      <c r="O17" s="169"/>
      <c r="P17" s="169"/>
    </row>
    <row r="18" spans="1:16" ht="15.5">
      <c r="A18" s="169"/>
      <c r="B18" s="169"/>
      <c r="C18" s="169" t="s">
        <v>418</v>
      </c>
      <c r="D18" s="169"/>
      <c r="E18" s="169"/>
      <c r="F18" s="169"/>
      <c r="G18" s="169"/>
      <c r="H18" s="169"/>
      <c r="I18" s="169"/>
      <c r="J18" s="169"/>
      <c r="K18" s="169"/>
      <c r="L18" s="169"/>
      <c r="M18" s="169"/>
      <c r="N18" s="169"/>
      <c r="O18" s="169"/>
      <c r="P18" s="169"/>
    </row>
    <row r="19" spans="1:16" ht="15.5">
      <c r="A19" s="169"/>
      <c r="B19" s="169"/>
      <c r="C19" s="169" t="s">
        <v>419</v>
      </c>
      <c r="D19" s="169"/>
      <c r="E19" s="169"/>
      <c r="F19" s="169"/>
      <c r="G19" s="169"/>
      <c r="H19" s="169"/>
      <c r="I19" s="169"/>
      <c r="J19" s="169"/>
      <c r="K19" s="169"/>
      <c r="L19" s="169"/>
      <c r="M19" s="169"/>
      <c r="N19" s="169"/>
      <c r="O19" s="169"/>
      <c r="P19" s="169"/>
    </row>
    <row r="20" spans="1:16" ht="15.5">
      <c r="A20" s="169"/>
      <c r="B20" s="169"/>
      <c r="C20" s="169" t="s">
        <v>420</v>
      </c>
      <c r="D20" s="169"/>
      <c r="E20" s="169"/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69"/>
    </row>
    <row r="21" spans="1:16" ht="15.5">
      <c r="A21" s="169"/>
      <c r="B21" s="169"/>
      <c r="C21" s="169" t="s">
        <v>421</v>
      </c>
      <c r="D21" s="169"/>
      <c r="E21" s="169"/>
      <c r="F21" s="169"/>
      <c r="G21" s="169"/>
      <c r="H21" s="169"/>
      <c r="I21" s="169"/>
      <c r="J21" s="169"/>
      <c r="K21" s="169"/>
      <c r="L21" s="169"/>
      <c r="M21" s="169"/>
      <c r="N21" s="169"/>
      <c r="O21" s="169"/>
      <c r="P21" s="169"/>
    </row>
    <row r="22" spans="1:16" ht="15.5">
      <c r="A22" s="169"/>
      <c r="B22" s="169"/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N22" s="169"/>
      <c r="O22" s="169"/>
      <c r="P22" s="169"/>
    </row>
    <row r="23" spans="1:16" ht="15.5">
      <c r="A23" s="169">
        <v>1.3</v>
      </c>
      <c r="B23" s="169"/>
      <c r="C23" s="171" t="s">
        <v>422</v>
      </c>
      <c r="D23" s="169"/>
      <c r="E23" s="170" t="s">
        <v>423</v>
      </c>
      <c r="F23" s="169"/>
      <c r="G23" s="169"/>
      <c r="H23" s="169"/>
      <c r="I23" s="169"/>
      <c r="J23" s="169"/>
      <c r="K23" s="169"/>
      <c r="L23" s="169"/>
      <c r="M23" s="169"/>
      <c r="N23" s="169"/>
      <c r="O23" s="169"/>
      <c r="P23" s="169"/>
    </row>
    <row r="24" spans="1:16" ht="15.5">
      <c r="A24" s="169"/>
      <c r="B24" s="169"/>
      <c r="C24" s="171"/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69"/>
      <c r="P24" s="169"/>
    </row>
    <row r="25" spans="1:16" ht="16" thickBot="1">
      <c r="A25" s="169"/>
      <c r="B25" s="169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69"/>
      <c r="P25" s="169"/>
    </row>
    <row r="26" spans="1:16" ht="16" thickBot="1">
      <c r="A26" s="169"/>
      <c r="B26" s="172" t="s">
        <v>344</v>
      </c>
      <c r="C26" s="169" t="s">
        <v>619</v>
      </c>
      <c r="E26" s="173">
        <f>'ריכוז אגפים'!S19/1000</f>
        <v>489407.84619398665</v>
      </c>
      <c r="K26" s="169"/>
      <c r="L26" s="169"/>
      <c r="M26" s="169"/>
      <c r="N26" s="169"/>
      <c r="O26" s="169"/>
      <c r="P26" s="169"/>
    </row>
    <row r="27" spans="1:16" ht="16" thickBot="1">
      <c r="A27" s="169"/>
      <c r="B27" s="169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69"/>
      <c r="O27" s="169"/>
      <c r="P27" s="169"/>
    </row>
    <row r="28" spans="1:16" ht="16" thickBot="1">
      <c r="A28" s="169"/>
      <c r="B28" s="172" t="s">
        <v>344</v>
      </c>
      <c r="C28" s="169" t="s">
        <v>620</v>
      </c>
      <c r="E28" s="173">
        <f>'ריכוז אגפים'!L19/1000</f>
        <v>526734.77413398668</v>
      </c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</row>
    <row r="29" spans="1:16" ht="16" thickBot="1">
      <c r="A29" s="169"/>
      <c r="B29" s="169"/>
      <c r="C29" s="169"/>
      <c r="D29" s="174"/>
      <c r="E29" s="169"/>
      <c r="F29" s="169"/>
      <c r="G29" s="169"/>
      <c r="H29" s="169"/>
      <c r="I29" s="169"/>
      <c r="J29" s="169"/>
      <c r="K29" s="169"/>
      <c r="L29" s="169"/>
      <c r="M29" s="169"/>
      <c r="N29" s="169"/>
      <c r="O29" s="169"/>
      <c r="P29" s="169"/>
    </row>
    <row r="30" spans="1:16" ht="16" thickBot="1">
      <c r="A30" s="169"/>
      <c r="B30" s="172" t="s">
        <v>344</v>
      </c>
      <c r="C30" s="169" t="s">
        <v>424</v>
      </c>
      <c r="E30" s="173">
        <f>'ריכוז אגפים'!B19/1000</f>
        <v>4672611.5011339867</v>
      </c>
      <c r="F30" s="169"/>
      <c r="G30" s="169"/>
      <c r="H30" s="169"/>
      <c r="I30" s="169"/>
      <c r="J30" s="169"/>
      <c r="K30" s="169"/>
      <c r="L30" s="169"/>
      <c r="M30" s="169"/>
      <c r="N30" s="169"/>
      <c r="O30" s="169"/>
      <c r="P30" s="169"/>
    </row>
    <row r="31" spans="1:16" ht="15.5">
      <c r="A31" s="169"/>
      <c r="B31" s="169"/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  <c r="N31" s="169"/>
      <c r="O31" s="169"/>
      <c r="P31" s="169"/>
    </row>
    <row r="32" spans="1:16" ht="15.5">
      <c r="A32" s="169"/>
      <c r="B32" s="175"/>
      <c r="C32" s="175"/>
      <c r="D32" s="175"/>
      <c r="E32" s="175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</row>
    <row r="33" spans="1:16" ht="15.5">
      <c r="A33" s="169"/>
      <c r="B33" s="172" t="s">
        <v>344</v>
      </c>
      <c r="C33" s="169" t="s">
        <v>1475</v>
      </c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</row>
    <row r="34" spans="1:16" ht="15.5">
      <c r="A34" s="169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</row>
    <row r="35" spans="1:16" ht="15.5">
      <c r="A35" s="169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</row>
    <row r="36" spans="1:16" ht="15.5">
      <c r="A36" s="169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</row>
    <row r="37" spans="1:16" ht="15.5">
      <c r="A37" s="176"/>
      <c r="B37" s="176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</row>
    <row r="38" spans="1:16" ht="15.5">
      <c r="A38" s="176"/>
      <c r="B38" s="176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</row>
    <row r="39" spans="1:16" ht="15.5">
      <c r="A39" s="176"/>
      <c r="B39" s="176"/>
      <c r="C39" s="169"/>
      <c r="D39" s="169"/>
      <c r="E39" s="169"/>
      <c r="F39" s="169"/>
      <c r="G39" s="169"/>
      <c r="H39" s="169"/>
      <c r="I39" s="169"/>
      <c r="J39" s="169"/>
      <c r="K39" s="169"/>
      <c r="L39" s="169"/>
      <c r="M39" s="169"/>
      <c r="N39" s="169"/>
      <c r="O39" s="169"/>
      <c r="P39" s="169"/>
    </row>
    <row r="40" spans="1:16" ht="15.5">
      <c r="A40" s="176"/>
      <c r="B40" s="176"/>
      <c r="C40" s="169"/>
      <c r="D40" s="169"/>
      <c r="E40" s="169"/>
      <c r="F40" s="169"/>
      <c r="G40" s="169"/>
      <c r="H40" s="169"/>
      <c r="I40" s="169"/>
      <c r="J40" s="169"/>
      <c r="K40" s="169"/>
      <c r="L40" s="169"/>
      <c r="M40" s="169"/>
      <c r="N40" s="169"/>
      <c r="O40" s="169"/>
      <c r="P40" s="169"/>
    </row>
    <row r="41" spans="1:16" ht="15.5">
      <c r="A41" s="176"/>
      <c r="B41" s="176"/>
      <c r="C41" s="169"/>
      <c r="D41" s="169"/>
      <c r="E41" s="169"/>
      <c r="F41" s="169"/>
      <c r="G41" s="169"/>
      <c r="H41" s="169"/>
      <c r="I41" s="169"/>
      <c r="J41" s="169"/>
      <c r="K41" s="169"/>
      <c r="L41" s="169"/>
      <c r="M41" s="169"/>
      <c r="N41" s="169"/>
      <c r="O41" s="169"/>
      <c r="P41" s="169"/>
    </row>
    <row r="42" spans="1:16" ht="15.5">
      <c r="A42" s="176"/>
      <c r="B42" s="176"/>
      <c r="C42" s="169"/>
      <c r="D42" s="169"/>
      <c r="E42" s="169"/>
      <c r="F42" s="169"/>
      <c r="G42" s="169"/>
      <c r="H42" s="169"/>
      <c r="I42" s="169"/>
      <c r="J42" s="169"/>
      <c r="K42" s="169"/>
      <c r="L42" s="169"/>
      <c r="M42" s="169"/>
      <c r="N42" s="169"/>
      <c r="O42" s="169"/>
      <c r="P42" s="169"/>
    </row>
    <row r="43" spans="1:16" ht="15.5">
      <c r="A43" s="176"/>
      <c r="B43" s="176"/>
      <c r="C43" s="169"/>
      <c r="D43" s="169"/>
      <c r="E43" s="169"/>
      <c r="F43" s="169"/>
      <c r="G43" s="169"/>
      <c r="H43" s="169"/>
      <c r="I43" s="169"/>
      <c r="J43" s="169"/>
      <c r="K43" s="169"/>
      <c r="L43" s="169"/>
      <c r="M43" s="169"/>
      <c r="N43" s="169"/>
      <c r="O43" s="169"/>
      <c r="P43" s="169"/>
    </row>
    <row r="44" spans="1:16" ht="15.5"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  <c r="N44" s="169"/>
      <c r="O44" s="169"/>
      <c r="P44" s="169"/>
    </row>
    <row r="45" spans="1:16" ht="15.5"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169"/>
      <c r="O45" s="169"/>
      <c r="P45" s="169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5"/>
  <sheetViews>
    <sheetView rightToLeft="1" topLeftCell="A13" zoomScaleNormal="100" workbookViewId="0">
      <selection activeCell="T20" sqref="T20"/>
    </sheetView>
  </sheetViews>
  <sheetFormatPr defaultColWidth="9.1796875" defaultRowHeight="14"/>
  <cols>
    <col min="1" max="2" width="4.1796875" style="167" customWidth="1"/>
    <col min="3" max="3" width="33" style="167" customWidth="1"/>
    <col min="4" max="4" width="10.7265625" style="167" customWidth="1"/>
    <col min="5" max="5" width="12.1796875" style="167" customWidth="1"/>
    <col min="6" max="6" width="9" style="167" customWidth="1"/>
    <col min="7" max="7" width="13" style="167" customWidth="1"/>
    <col min="8" max="8" width="11" style="167" customWidth="1"/>
    <col min="9" max="9" width="10.453125" style="167" customWidth="1"/>
    <col min="10" max="10" width="7.81640625" style="167" customWidth="1"/>
    <col min="11" max="16384" width="9.1796875" style="167"/>
  </cols>
  <sheetData>
    <row r="2" spans="1:17" s="179" customFormat="1" ht="18">
      <c r="A2" s="177" t="s">
        <v>425</v>
      </c>
      <c r="B2" s="177"/>
      <c r="C2" s="178" t="s">
        <v>621</v>
      </c>
      <c r="D2" s="177"/>
      <c r="E2" s="177"/>
      <c r="F2" s="177"/>
      <c r="G2" s="177"/>
      <c r="H2" s="177"/>
      <c r="I2" s="177"/>
    </row>
    <row r="3" spans="1:17" ht="15.5">
      <c r="A3" s="169"/>
      <c r="B3" s="169"/>
      <c r="C3" s="170"/>
      <c r="D3" s="169"/>
      <c r="E3" s="169"/>
      <c r="F3" s="169"/>
      <c r="G3" s="169"/>
      <c r="H3" s="169"/>
      <c r="I3" s="169"/>
    </row>
    <row r="4" spans="1:17" ht="15.5">
      <c r="C4" s="169" t="s">
        <v>622</v>
      </c>
      <c r="D4" s="169"/>
      <c r="E4" s="169"/>
      <c r="F4" s="169"/>
      <c r="G4" s="169"/>
      <c r="H4" s="169"/>
      <c r="I4" s="169"/>
    </row>
    <row r="5" spans="1:17" ht="15.5">
      <c r="C5" s="169" t="s">
        <v>623</v>
      </c>
      <c r="E5" s="169"/>
      <c r="F5" s="174"/>
      <c r="G5" s="174"/>
      <c r="H5" s="174"/>
      <c r="I5" s="169"/>
      <c r="J5" s="169"/>
      <c r="K5" s="169"/>
      <c r="L5" s="169"/>
      <c r="M5" s="169"/>
      <c r="N5" s="169"/>
      <c r="O5" s="169"/>
      <c r="P5" s="169"/>
      <c r="Q5" s="169"/>
    </row>
    <row r="6" spans="1:17" ht="15.5">
      <c r="C6" s="169"/>
      <c r="D6" s="174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</row>
    <row r="7" spans="1:17" ht="15.5">
      <c r="C7" s="169" t="s">
        <v>426</v>
      </c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</row>
    <row r="8" spans="1:17" ht="15.5"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</row>
    <row r="9" spans="1:17" ht="15.5">
      <c r="B9" s="172" t="s">
        <v>344</v>
      </c>
      <c r="C9" s="169" t="s">
        <v>13</v>
      </c>
      <c r="D9" s="180">
        <v>237740</v>
      </c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</row>
    <row r="10" spans="1:17" ht="15.5">
      <c r="B10" s="172" t="s">
        <v>344</v>
      </c>
      <c r="C10" s="169" t="s">
        <v>14</v>
      </c>
      <c r="D10" s="180">
        <v>27000</v>
      </c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69"/>
      <c r="Q10" s="169"/>
    </row>
    <row r="11" spans="1:17" ht="15.5">
      <c r="B11" s="172" t="s">
        <v>344</v>
      </c>
      <c r="C11" s="169" t="s">
        <v>427</v>
      </c>
      <c r="D11" s="180">
        <v>1250</v>
      </c>
      <c r="F11" s="169"/>
      <c r="G11" s="169"/>
      <c r="H11" s="169"/>
      <c r="I11" s="169"/>
      <c r="J11" s="169"/>
      <c r="K11" s="169"/>
      <c r="L11" s="169"/>
      <c r="M11" s="169"/>
      <c r="N11" s="169"/>
      <c r="O11" s="169"/>
      <c r="P11" s="169"/>
      <c r="Q11" s="169"/>
    </row>
    <row r="12" spans="1:17" ht="15.5">
      <c r="B12" s="172" t="s">
        <v>344</v>
      </c>
      <c r="C12" s="169" t="s">
        <v>624</v>
      </c>
      <c r="D12" s="180">
        <v>48963</v>
      </c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</row>
    <row r="13" spans="1:17" ht="18.5">
      <c r="B13" s="172" t="s">
        <v>344</v>
      </c>
      <c r="C13" s="169" t="s">
        <v>428</v>
      </c>
      <c r="D13" s="181">
        <v>222143</v>
      </c>
      <c r="F13" s="169"/>
      <c r="G13" s="169"/>
      <c r="H13" s="169"/>
      <c r="I13" s="169"/>
      <c r="J13" s="169"/>
      <c r="K13" s="169"/>
      <c r="L13" s="169"/>
      <c r="M13" s="169"/>
      <c r="N13" s="169"/>
      <c r="O13" s="169"/>
      <c r="P13" s="169"/>
      <c r="Q13" s="169"/>
    </row>
    <row r="14" spans="1:17" ht="17">
      <c r="C14" s="171" t="s">
        <v>160</v>
      </c>
      <c r="D14" s="182">
        <f>SUM(D9:D13)</f>
        <v>537096</v>
      </c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169"/>
      <c r="Q14" s="169"/>
    </row>
    <row r="15" spans="1:17" ht="15.5"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69"/>
      <c r="O15" s="169"/>
      <c r="P15" s="169"/>
      <c r="Q15" s="169"/>
    </row>
    <row r="16" spans="1:17" ht="15.5">
      <c r="B16" s="169"/>
      <c r="C16" s="169" t="s">
        <v>625</v>
      </c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69"/>
      <c r="O16" s="169"/>
      <c r="P16" s="169"/>
      <c r="Q16" s="169"/>
    </row>
    <row r="17" spans="1:17" ht="15.5">
      <c r="C17" s="169"/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69"/>
      <c r="O17" s="169"/>
      <c r="P17" s="169"/>
      <c r="Q17" s="169"/>
    </row>
    <row r="18" spans="1:17" ht="46.5">
      <c r="C18" s="183" t="s">
        <v>429</v>
      </c>
      <c r="D18" s="184" t="s">
        <v>13</v>
      </c>
      <c r="E18" s="184" t="s">
        <v>14</v>
      </c>
      <c r="F18" s="184" t="s">
        <v>15</v>
      </c>
      <c r="G18" s="184" t="s">
        <v>624</v>
      </c>
      <c r="H18" s="184" t="s">
        <v>430</v>
      </c>
      <c r="I18" s="184" t="s">
        <v>160</v>
      </c>
      <c r="J18" s="169"/>
      <c r="K18" s="169"/>
      <c r="L18" s="169"/>
      <c r="M18" s="169"/>
      <c r="N18" s="169"/>
      <c r="O18" s="169"/>
      <c r="P18" s="169"/>
      <c r="Q18" s="169"/>
    </row>
    <row r="19" spans="1:17" ht="31.5" customHeight="1">
      <c r="C19" s="185" t="s">
        <v>431</v>
      </c>
      <c r="D19" s="186">
        <f>D9</f>
        <v>237740</v>
      </c>
      <c r="E19" s="186">
        <f>D10</f>
        <v>27000</v>
      </c>
      <c r="F19" s="186">
        <f>D11</f>
        <v>1250</v>
      </c>
      <c r="G19" s="186">
        <f>D12</f>
        <v>48963</v>
      </c>
      <c r="H19" s="186">
        <f>D13</f>
        <v>222143</v>
      </c>
      <c r="I19" s="186">
        <f>SUM(D19:H19)</f>
        <v>537096</v>
      </c>
      <c r="J19" s="169"/>
      <c r="K19" s="169"/>
      <c r="L19" s="169"/>
      <c r="M19" s="169"/>
      <c r="N19" s="169"/>
      <c r="O19" s="169"/>
      <c r="P19" s="169"/>
      <c r="Q19" s="169"/>
    </row>
    <row r="20" spans="1:17" ht="31.5" customHeight="1">
      <c r="C20" s="185" t="s">
        <v>626</v>
      </c>
      <c r="D20" s="186">
        <f>'ריכוז אגפים 2018'!AL$20/1000</f>
        <v>200361.15</v>
      </c>
      <c r="E20" s="186">
        <f>'ריכוז אגפים 2018'!AM$20/1000</f>
        <v>23520</v>
      </c>
      <c r="F20" s="186">
        <f>'ריכוז אגפים 2018'!AN$20/1000</f>
        <v>0</v>
      </c>
      <c r="G20" s="186">
        <f>'ריכוז אגפים 2018'!AO$20/1000</f>
        <v>34900</v>
      </c>
      <c r="H20" s="186">
        <f>'ריכוז אגפים 2018'!AP$20/1000</f>
        <v>68190.702999999994</v>
      </c>
      <c r="I20" s="186">
        <f>SUM(D20:H20)</f>
        <v>326971.853</v>
      </c>
      <c r="J20" s="169"/>
      <c r="K20" s="169"/>
      <c r="L20" s="169"/>
      <c r="M20" s="169"/>
      <c r="N20" s="169"/>
      <c r="O20" s="169"/>
      <c r="P20" s="169"/>
      <c r="Q20" s="169"/>
    </row>
    <row r="21" spans="1:17" ht="31.5" customHeight="1">
      <c r="C21" s="185" t="s">
        <v>432</v>
      </c>
      <c r="D21" s="186">
        <f t="shared" ref="D21:I21" si="0">D20/D19*100</f>
        <v>84.277424917977612</v>
      </c>
      <c r="E21" s="186">
        <f t="shared" si="0"/>
        <v>87.1111111111111</v>
      </c>
      <c r="F21" s="186">
        <f t="shared" si="0"/>
        <v>0</v>
      </c>
      <c r="G21" s="186">
        <f t="shared" si="0"/>
        <v>71.278312194922705</v>
      </c>
      <c r="H21" s="186">
        <f t="shared" si="0"/>
        <v>30.696759744849032</v>
      </c>
      <c r="I21" s="186">
        <f t="shared" si="0"/>
        <v>60.877730051983256</v>
      </c>
      <c r="J21" s="169"/>
      <c r="K21" s="169"/>
      <c r="L21" s="169"/>
      <c r="M21" s="169"/>
      <c r="N21" s="169"/>
      <c r="O21" s="169"/>
      <c r="P21" s="169"/>
      <c r="Q21" s="169"/>
    </row>
    <row r="22" spans="1:17" ht="31.5" customHeight="1">
      <c r="C22" s="187" t="s">
        <v>914</v>
      </c>
      <c r="D22" s="186">
        <f>'ריכוז תקציב מעבר לתוכנית 2018'!AG$117/1000</f>
        <v>38848.839</v>
      </c>
      <c r="E22" s="186">
        <f>'ריכוז תקציב מעבר לתוכנית 2018'!AH$117/1000</f>
        <v>8018.3069999999998</v>
      </c>
      <c r="F22" s="186"/>
      <c r="G22" s="186"/>
      <c r="H22" s="186">
        <f>'ריכוז תקציב מעבר לתוכנית 2018'!AI$117/1000</f>
        <v>9131.0159999999996</v>
      </c>
      <c r="I22" s="186">
        <f>SUM(D22:H22)</f>
        <v>55998.161999999997</v>
      </c>
      <c r="J22" s="169"/>
      <c r="K22" s="169"/>
      <c r="L22" s="169"/>
      <c r="M22" s="169"/>
      <c r="N22" s="169"/>
      <c r="O22" s="169"/>
      <c r="P22" s="169"/>
      <c r="Q22" s="169"/>
    </row>
    <row r="23" spans="1:17" ht="31.5" customHeight="1">
      <c r="C23" s="185" t="s">
        <v>433</v>
      </c>
      <c r="D23" s="186">
        <f>D20+D22</f>
        <v>239209.989</v>
      </c>
      <c r="E23" s="186">
        <f>E20+E22</f>
        <v>31538.307000000001</v>
      </c>
      <c r="F23" s="186">
        <f>F20+F22</f>
        <v>0</v>
      </c>
      <c r="G23" s="186">
        <f>G20+G22</f>
        <v>34900</v>
      </c>
      <c r="H23" s="186">
        <f>H20+H22</f>
        <v>77321.718999999997</v>
      </c>
      <c r="I23" s="186">
        <f>SUM(D23:H23)</f>
        <v>382970.01499999996</v>
      </c>
      <c r="J23" s="169"/>
      <c r="K23" s="169"/>
      <c r="L23" s="169"/>
      <c r="M23" s="169"/>
      <c r="N23" s="169"/>
      <c r="O23" s="169"/>
      <c r="P23" s="169"/>
      <c r="Q23" s="169"/>
    </row>
    <row r="24" spans="1:17" ht="31.5" customHeight="1">
      <c r="C24" s="185" t="s">
        <v>432</v>
      </c>
      <c r="D24" s="186">
        <f t="shared" ref="D24:I24" si="1">D23/D19*100</f>
        <v>100.6183179103222</v>
      </c>
      <c r="E24" s="186">
        <f t="shared" si="1"/>
        <v>116.80854444444444</v>
      </c>
      <c r="F24" s="186">
        <f t="shared" si="1"/>
        <v>0</v>
      </c>
      <c r="G24" s="186">
        <f t="shared" si="1"/>
        <v>71.278312194922705</v>
      </c>
      <c r="H24" s="186">
        <f t="shared" si="1"/>
        <v>34.807182310493687</v>
      </c>
      <c r="I24" s="186">
        <f t="shared" si="1"/>
        <v>71.303829296810989</v>
      </c>
      <c r="L24" s="169"/>
      <c r="M24" s="169"/>
      <c r="N24" s="169"/>
      <c r="O24" s="169"/>
      <c r="P24" s="169"/>
      <c r="Q24" s="169"/>
    </row>
    <row r="25" spans="1:17" ht="15.5"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69"/>
      <c r="P25" s="169"/>
      <c r="Q25" s="169"/>
    </row>
    <row r="26" spans="1:17" ht="15.5">
      <c r="C26" s="327" t="s">
        <v>1537</v>
      </c>
      <c r="D26" s="169"/>
      <c r="E26" s="169"/>
      <c r="F26" s="169"/>
      <c r="G26" s="169"/>
      <c r="H26" s="169"/>
      <c r="I26" s="169"/>
      <c r="J26" s="169"/>
      <c r="K26" s="169"/>
      <c r="L26" s="169"/>
      <c r="M26" s="169"/>
      <c r="N26" s="169"/>
      <c r="O26" s="169"/>
      <c r="P26" s="169"/>
      <c r="Q26" s="169"/>
    </row>
    <row r="27" spans="1:17" ht="15.5">
      <c r="A27" s="169"/>
      <c r="B27" s="169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69"/>
      <c r="O27" s="169"/>
      <c r="P27" s="169"/>
      <c r="Q27" s="169"/>
    </row>
    <row r="28" spans="1:17" ht="15.5">
      <c r="A28" s="169"/>
      <c r="B28" s="169"/>
      <c r="C28" s="169"/>
      <c r="D28" s="169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</row>
    <row r="29" spans="1:17" ht="15.5">
      <c r="A29" s="169"/>
      <c r="B29" s="169"/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69"/>
      <c r="N29" s="169"/>
      <c r="O29" s="169"/>
      <c r="P29" s="169"/>
      <c r="Q29" s="169"/>
    </row>
    <row r="30" spans="1:17" ht="15.5">
      <c r="A30" s="169"/>
      <c r="B30" s="169"/>
      <c r="C30" s="169"/>
      <c r="D30" s="169"/>
      <c r="E30" s="169"/>
      <c r="F30" s="169"/>
      <c r="G30" s="169"/>
      <c r="H30" s="169"/>
      <c r="I30" s="169"/>
      <c r="J30" s="169"/>
      <c r="K30" s="169"/>
      <c r="L30" s="169"/>
      <c r="M30" s="169"/>
      <c r="N30" s="169"/>
      <c r="O30" s="169"/>
      <c r="P30" s="169"/>
      <c r="Q30" s="169"/>
    </row>
    <row r="31" spans="1:17" ht="15.5">
      <c r="A31" s="169"/>
      <c r="B31" s="169"/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  <c r="N31" s="169"/>
      <c r="O31" s="169"/>
      <c r="P31" s="169"/>
      <c r="Q31" s="169"/>
    </row>
    <row r="32" spans="1:17" ht="15.5">
      <c r="A32" s="169"/>
      <c r="B32" s="169"/>
      <c r="C32" s="172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</row>
    <row r="33" spans="1:17" ht="15.5">
      <c r="A33" s="169"/>
      <c r="B33" s="169"/>
      <c r="C33" s="172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</row>
    <row r="34" spans="1:17" ht="15.5">
      <c r="A34" s="169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</row>
    <row r="35" spans="1:17" ht="15.5">
      <c r="A35" s="169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</row>
    <row r="36" spans="1:17" ht="15.5">
      <c r="A36" s="169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</row>
    <row r="37" spans="1:17" ht="15.5">
      <c r="A37" s="176"/>
      <c r="B37" s="176"/>
      <c r="C37" s="176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</row>
    <row r="38" spans="1:17" ht="15.5">
      <c r="A38" s="176"/>
      <c r="B38" s="176"/>
      <c r="C38" s="176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</row>
    <row r="39" spans="1:17" ht="15.5">
      <c r="A39" s="176"/>
      <c r="B39" s="176"/>
      <c r="C39" s="176"/>
      <c r="D39" s="169"/>
      <c r="E39" s="169"/>
      <c r="F39" s="169"/>
      <c r="G39" s="169"/>
      <c r="H39" s="169"/>
      <c r="I39" s="169"/>
      <c r="J39" s="169"/>
      <c r="K39" s="169"/>
      <c r="L39" s="169"/>
      <c r="M39" s="169"/>
      <c r="N39" s="169"/>
      <c r="O39" s="169"/>
      <c r="P39" s="169"/>
      <c r="Q39" s="169"/>
    </row>
    <row r="40" spans="1:17" ht="15.5">
      <c r="A40" s="176"/>
      <c r="B40" s="176"/>
      <c r="C40" s="176"/>
      <c r="D40" s="169"/>
      <c r="E40" s="169"/>
      <c r="F40" s="169"/>
      <c r="G40" s="169"/>
      <c r="H40" s="169"/>
      <c r="I40" s="169"/>
      <c r="J40" s="169"/>
      <c r="K40" s="169"/>
      <c r="L40" s="169"/>
      <c r="M40" s="169"/>
      <c r="N40" s="169"/>
      <c r="O40" s="169"/>
      <c r="P40" s="169"/>
      <c r="Q40" s="169"/>
    </row>
    <row r="41" spans="1:17" ht="15.5">
      <c r="A41" s="176"/>
      <c r="B41" s="176"/>
      <c r="C41" s="176"/>
      <c r="D41" s="169"/>
      <c r="E41" s="169"/>
      <c r="F41" s="169"/>
      <c r="G41" s="169"/>
      <c r="H41" s="169"/>
      <c r="I41" s="169"/>
      <c r="J41" s="169"/>
      <c r="K41" s="169"/>
      <c r="L41" s="169"/>
      <c r="M41" s="169"/>
      <c r="N41" s="169"/>
      <c r="O41" s="169"/>
      <c r="P41" s="169"/>
      <c r="Q41" s="169"/>
    </row>
    <row r="42" spans="1:17" ht="15.5">
      <c r="A42" s="176"/>
      <c r="B42" s="176"/>
      <c r="C42" s="176"/>
      <c r="D42" s="169"/>
      <c r="E42" s="169"/>
      <c r="F42" s="169"/>
      <c r="G42" s="169"/>
      <c r="H42" s="169"/>
      <c r="I42" s="169"/>
      <c r="J42" s="169"/>
      <c r="K42" s="169"/>
      <c r="L42" s="169"/>
      <c r="M42" s="169"/>
      <c r="N42" s="169"/>
      <c r="O42" s="169"/>
      <c r="P42" s="169"/>
      <c r="Q42" s="169"/>
    </row>
    <row r="43" spans="1:17" ht="15.5">
      <c r="A43" s="176"/>
      <c r="B43" s="176"/>
      <c r="C43" s="176"/>
      <c r="D43" s="169"/>
      <c r="E43" s="169"/>
      <c r="F43" s="169"/>
      <c r="G43" s="169"/>
      <c r="H43" s="169"/>
      <c r="I43" s="169"/>
      <c r="J43" s="169"/>
      <c r="K43" s="169"/>
      <c r="L43" s="169"/>
      <c r="M43" s="169"/>
      <c r="N43" s="169"/>
      <c r="O43" s="169"/>
      <c r="P43" s="169"/>
      <c r="Q43" s="169"/>
    </row>
    <row r="44" spans="1:17" ht="15.5">
      <c r="D44" s="169"/>
      <c r="E44" s="169"/>
      <c r="F44" s="169"/>
      <c r="G44" s="169"/>
      <c r="H44" s="169"/>
      <c r="I44" s="169"/>
      <c r="J44" s="169"/>
      <c r="K44" s="169"/>
      <c r="L44" s="169"/>
      <c r="M44" s="169"/>
      <c r="N44" s="169"/>
      <c r="O44" s="169"/>
      <c r="P44" s="169"/>
      <c r="Q44" s="169"/>
    </row>
    <row r="45" spans="1:17" ht="15.5"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169"/>
      <c r="O45" s="169"/>
      <c r="P45" s="169"/>
      <c r="Q45" s="169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4"/>
  <sheetViews>
    <sheetView rightToLeft="1" topLeftCell="A10" workbookViewId="0">
      <selection activeCell="T20" sqref="T20"/>
    </sheetView>
  </sheetViews>
  <sheetFormatPr defaultColWidth="9.1796875" defaultRowHeight="14"/>
  <cols>
    <col min="1" max="3" width="4.1796875" style="167" customWidth="1"/>
    <col min="4" max="4" width="33" style="167" customWidth="1"/>
    <col min="5" max="9" width="12.1796875" style="167" customWidth="1"/>
    <col min="10" max="10" width="7.81640625" style="167" customWidth="1"/>
    <col min="11" max="16384" width="9.1796875" style="167"/>
  </cols>
  <sheetData>
    <row r="3" spans="1:17" ht="20.5">
      <c r="E3" s="168"/>
    </row>
    <row r="4" spans="1:17" s="179" customFormat="1" ht="18">
      <c r="A4" s="177" t="s">
        <v>441</v>
      </c>
      <c r="C4" s="178" t="s">
        <v>617</v>
      </c>
    </row>
    <row r="5" spans="1:17" ht="15.5">
      <c r="A5" s="169"/>
      <c r="C5" s="170"/>
      <c r="G5" s="170" t="s">
        <v>423</v>
      </c>
    </row>
    <row r="6" spans="1:17" ht="16" thickBot="1">
      <c r="A6" s="169"/>
      <c r="C6" s="170"/>
    </row>
    <row r="7" spans="1:17" ht="16" thickBot="1">
      <c r="A7" s="169">
        <v>3.1</v>
      </c>
      <c r="C7" s="169" t="s">
        <v>440</v>
      </c>
      <c r="D7" s="169"/>
      <c r="E7" s="169"/>
      <c r="F7" s="169"/>
      <c r="G7" s="189">
        <f>מבוא!E26</f>
        <v>489407.84619398665</v>
      </c>
    </row>
    <row r="8" spans="1:17" ht="16" thickBot="1">
      <c r="A8" s="169"/>
      <c r="C8" s="169"/>
      <c r="D8" s="169"/>
      <c r="E8" s="169"/>
      <c r="F8" s="169"/>
      <c r="G8" s="174"/>
    </row>
    <row r="9" spans="1:17" ht="16" thickBot="1">
      <c r="A9" s="169"/>
      <c r="C9" s="169" t="s">
        <v>620</v>
      </c>
      <c r="D9" s="169"/>
      <c r="E9" s="169"/>
      <c r="F9" s="169"/>
      <c r="G9" s="189">
        <f>מבוא!E28</f>
        <v>526734.77413398668</v>
      </c>
      <c r="I9" s="169"/>
      <c r="J9" s="169"/>
      <c r="K9" s="169"/>
      <c r="L9" s="169"/>
    </row>
    <row r="10" spans="1:17" ht="16" thickBot="1">
      <c r="A10" s="169"/>
      <c r="C10" s="169"/>
      <c r="D10" s="169"/>
      <c r="E10" s="169"/>
      <c r="F10" s="169"/>
      <c r="G10" s="174"/>
      <c r="I10" s="169"/>
      <c r="J10" s="169"/>
      <c r="K10" s="169"/>
      <c r="L10" s="169"/>
    </row>
    <row r="11" spans="1:17" ht="16" thickBot="1">
      <c r="A11" s="169"/>
      <c r="C11" s="169" t="s">
        <v>424</v>
      </c>
      <c r="D11" s="169"/>
      <c r="E11" s="169"/>
      <c r="F11" s="169"/>
      <c r="G11" s="189">
        <f>מבוא!E30</f>
        <v>4672611.5011339867</v>
      </c>
      <c r="I11" s="169"/>
      <c r="J11" s="169"/>
      <c r="K11" s="169"/>
      <c r="L11" s="169"/>
      <c r="O11" s="169"/>
      <c r="P11" s="169"/>
      <c r="Q11" s="169"/>
    </row>
    <row r="12" spans="1:17" ht="15.5">
      <c r="A12" s="169"/>
      <c r="C12" s="169"/>
      <c r="D12" s="169"/>
      <c r="E12" s="169"/>
      <c r="F12" s="169"/>
      <c r="G12" s="188"/>
      <c r="I12" s="169"/>
      <c r="J12" s="169"/>
      <c r="K12" s="169"/>
      <c r="L12" s="169"/>
      <c r="O12" s="169"/>
      <c r="P12" s="169"/>
      <c r="Q12" s="169"/>
    </row>
    <row r="13" spans="1:17" ht="15.5">
      <c r="A13" s="169"/>
      <c r="C13" s="169"/>
      <c r="D13" s="169"/>
      <c r="E13" s="169"/>
      <c r="F13" s="169"/>
      <c r="G13" s="188"/>
      <c r="I13" s="169"/>
      <c r="J13" s="169"/>
      <c r="K13" s="169"/>
      <c r="L13" s="169"/>
      <c r="O13" s="169"/>
      <c r="P13" s="169"/>
      <c r="Q13" s="169"/>
    </row>
    <row r="14" spans="1:17" ht="15.5">
      <c r="A14" s="169"/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O14" s="169"/>
      <c r="P14" s="169"/>
      <c r="Q14" s="169"/>
    </row>
    <row r="15" spans="1:17" ht="15.5">
      <c r="A15" s="169">
        <v>3.2</v>
      </c>
      <c r="C15" s="169" t="s">
        <v>1422</v>
      </c>
      <c r="D15" s="169"/>
      <c r="E15" s="169"/>
      <c r="F15" s="169"/>
      <c r="G15" s="169"/>
      <c r="H15" s="169"/>
      <c r="I15" s="169"/>
      <c r="J15" s="169"/>
      <c r="K15" s="169"/>
      <c r="L15" s="169"/>
      <c r="O15" s="169"/>
      <c r="P15" s="169"/>
      <c r="Q15" s="169"/>
    </row>
    <row r="16" spans="1:17" ht="15.5">
      <c r="A16" s="169"/>
      <c r="B16" s="172" t="s">
        <v>344</v>
      </c>
      <c r="C16" s="169" t="s">
        <v>439</v>
      </c>
      <c r="D16" s="169"/>
      <c r="E16" s="169"/>
      <c r="F16" s="169"/>
      <c r="G16" s="169"/>
      <c r="H16" s="169"/>
      <c r="I16" s="169"/>
      <c r="J16" s="169"/>
      <c r="K16" s="169"/>
      <c r="L16" s="169"/>
      <c r="O16" s="169"/>
      <c r="P16" s="169"/>
      <c r="Q16" s="169"/>
    </row>
    <row r="17" spans="1:17" ht="15.5">
      <c r="A17" s="169"/>
      <c r="B17" s="172" t="s">
        <v>344</v>
      </c>
      <c r="C17" s="169" t="s">
        <v>437</v>
      </c>
      <c r="D17" s="169"/>
      <c r="E17" s="169"/>
      <c r="F17" s="169"/>
      <c r="G17" s="169"/>
      <c r="H17" s="169"/>
      <c r="I17" s="169"/>
      <c r="J17" s="169"/>
      <c r="K17" s="169"/>
      <c r="L17" s="169"/>
      <c r="O17" s="169"/>
      <c r="P17" s="169"/>
      <c r="Q17" s="169"/>
    </row>
    <row r="18" spans="1:17" ht="15.5">
      <c r="A18" s="169"/>
      <c r="B18" s="172" t="s">
        <v>344</v>
      </c>
      <c r="C18" s="169" t="s">
        <v>436</v>
      </c>
      <c r="D18" s="169"/>
      <c r="E18" s="169"/>
      <c r="F18" s="169"/>
      <c r="G18" s="169"/>
      <c r="H18" s="169"/>
      <c r="I18" s="169"/>
      <c r="J18" s="169"/>
      <c r="K18" s="169"/>
      <c r="L18" s="169"/>
      <c r="O18" s="169"/>
      <c r="P18" s="169"/>
      <c r="Q18" s="169"/>
    </row>
    <row r="19" spans="1:17" ht="15.5">
      <c r="A19" s="169"/>
      <c r="B19" s="172" t="s">
        <v>344</v>
      </c>
      <c r="C19" s="169" t="s">
        <v>1474</v>
      </c>
      <c r="D19" s="169"/>
      <c r="E19" s="169"/>
      <c r="F19" s="169"/>
      <c r="G19" s="169"/>
      <c r="H19" s="169"/>
      <c r="I19" s="169"/>
      <c r="J19" s="169"/>
      <c r="K19" s="169"/>
      <c r="L19" s="169"/>
      <c r="O19" s="169"/>
      <c r="P19" s="169"/>
      <c r="Q19" s="169"/>
    </row>
    <row r="20" spans="1:17" ht="15.5">
      <c r="A20" s="169"/>
      <c r="B20" s="172" t="s">
        <v>344</v>
      </c>
      <c r="C20" s="169" t="s">
        <v>438</v>
      </c>
      <c r="D20" s="169"/>
      <c r="E20" s="169"/>
      <c r="F20" s="169"/>
      <c r="G20" s="169"/>
      <c r="H20" s="169"/>
      <c r="I20" s="169"/>
      <c r="J20" s="169"/>
      <c r="K20" s="169"/>
      <c r="L20" s="169"/>
      <c r="O20" s="169"/>
      <c r="P20" s="169"/>
      <c r="Q20" s="169"/>
    </row>
    <row r="21" spans="1:17" ht="15.5">
      <c r="A21" s="169"/>
      <c r="B21" s="172" t="s">
        <v>344</v>
      </c>
      <c r="C21" s="169" t="s">
        <v>1423</v>
      </c>
      <c r="D21" s="169"/>
      <c r="E21" s="169"/>
      <c r="F21" s="169"/>
      <c r="G21" s="169"/>
      <c r="H21" s="169"/>
      <c r="I21" s="169"/>
      <c r="J21" s="169"/>
      <c r="K21" s="169"/>
      <c r="L21" s="169"/>
      <c r="O21" s="169"/>
      <c r="P21" s="169"/>
      <c r="Q21" s="169"/>
    </row>
    <row r="22" spans="1:17" ht="15.5">
      <c r="A22" s="169"/>
      <c r="B22" s="172" t="s">
        <v>344</v>
      </c>
      <c r="C22" s="169" t="s">
        <v>588</v>
      </c>
      <c r="D22" s="169"/>
      <c r="E22" s="169"/>
      <c r="F22" s="169"/>
      <c r="G22" s="169"/>
      <c r="H22" s="169"/>
      <c r="I22" s="169"/>
      <c r="J22" s="169"/>
      <c r="K22" s="169"/>
      <c r="L22" s="169"/>
      <c r="O22" s="169"/>
      <c r="P22" s="169"/>
      <c r="Q22" s="169"/>
    </row>
    <row r="23" spans="1:17" ht="15.5">
      <c r="A23" s="169"/>
      <c r="B23" s="172" t="s">
        <v>344</v>
      </c>
      <c r="C23" s="169" t="s">
        <v>599</v>
      </c>
      <c r="D23" s="169"/>
      <c r="E23" s="169"/>
      <c r="F23" s="169"/>
      <c r="G23" s="169"/>
      <c r="H23" s="169"/>
      <c r="I23" s="169"/>
      <c r="J23" s="169"/>
      <c r="K23" s="169"/>
      <c r="L23" s="169"/>
      <c r="O23" s="169"/>
      <c r="P23" s="169"/>
      <c r="Q23" s="169"/>
    </row>
    <row r="24" spans="1:17" ht="15.5">
      <c r="A24" s="169"/>
      <c r="B24" s="172" t="s">
        <v>344</v>
      </c>
      <c r="C24" s="169" t="s">
        <v>1424</v>
      </c>
      <c r="D24" s="169"/>
      <c r="E24" s="169"/>
      <c r="F24" s="169"/>
      <c r="G24" s="169"/>
      <c r="H24" s="169"/>
      <c r="I24" s="169"/>
      <c r="J24" s="169"/>
      <c r="K24" s="169"/>
      <c r="L24" s="169"/>
      <c r="O24" s="169"/>
      <c r="P24" s="169"/>
      <c r="Q24" s="169"/>
    </row>
    <row r="25" spans="1:17" ht="15.5">
      <c r="A25" s="169"/>
      <c r="B25" s="172" t="s">
        <v>344</v>
      </c>
      <c r="C25" s="169" t="s">
        <v>435</v>
      </c>
      <c r="D25" s="169"/>
      <c r="E25" s="169"/>
      <c r="F25" s="169"/>
      <c r="G25" s="169"/>
      <c r="H25" s="169"/>
      <c r="I25" s="169"/>
      <c r="J25" s="169"/>
      <c r="K25" s="169"/>
      <c r="L25" s="169"/>
      <c r="O25" s="169"/>
      <c r="P25" s="169"/>
      <c r="Q25" s="169"/>
    </row>
    <row r="26" spans="1:17" ht="15.5">
      <c r="A26" s="169"/>
      <c r="B26" s="172" t="s">
        <v>344</v>
      </c>
      <c r="C26" s="169" t="s">
        <v>587</v>
      </c>
      <c r="D26" s="169"/>
      <c r="E26" s="169"/>
      <c r="F26" s="169"/>
      <c r="G26" s="169"/>
      <c r="H26" s="169"/>
      <c r="I26" s="169"/>
      <c r="J26" s="169"/>
      <c r="K26" s="169"/>
      <c r="L26" s="169"/>
      <c r="O26" s="169"/>
      <c r="P26" s="169"/>
      <c r="Q26" s="169"/>
    </row>
    <row r="27" spans="1:17" ht="15.5">
      <c r="A27" s="169"/>
      <c r="B27" s="172" t="s">
        <v>344</v>
      </c>
      <c r="C27" s="169" t="s">
        <v>434</v>
      </c>
      <c r="D27" s="169"/>
      <c r="E27" s="169"/>
      <c r="F27" s="169"/>
      <c r="G27" s="169"/>
      <c r="H27" s="169"/>
      <c r="I27" s="169"/>
      <c r="J27" s="169"/>
      <c r="K27" s="169"/>
      <c r="L27" s="169"/>
      <c r="O27" s="169"/>
      <c r="P27" s="169"/>
      <c r="Q27" s="169"/>
    </row>
    <row r="28" spans="1:17" ht="15.5">
      <c r="A28" s="169"/>
      <c r="C28" s="169"/>
      <c r="D28" s="169"/>
      <c r="E28" s="169"/>
      <c r="F28" s="169"/>
      <c r="G28" s="169"/>
      <c r="H28" s="169"/>
      <c r="I28" s="169"/>
      <c r="J28" s="169"/>
      <c r="K28" s="169"/>
      <c r="L28" s="169"/>
      <c r="O28" s="169"/>
      <c r="P28" s="169"/>
      <c r="Q28" s="169"/>
    </row>
    <row r="29" spans="1:17" ht="15.5">
      <c r="A29" s="169"/>
      <c r="N29" s="169"/>
      <c r="O29" s="169"/>
      <c r="P29" s="169"/>
      <c r="Q29" s="169"/>
    </row>
    <row r="30" spans="1:17" ht="15.5">
      <c r="A30" s="169"/>
      <c r="N30" s="169"/>
      <c r="O30" s="169"/>
      <c r="P30" s="169"/>
      <c r="Q30" s="169"/>
    </row>
    <row r="31" spans="1:17" ht="23">
      <c r="A31" s="169"/>
      <c r="B31" s="176"/>
      <c r="C31" s="176"/>
      <c r="D31" s="558"/>
      <c r="E31" s="169"/>
      <c r="F31" s="169"/>
      <c r="G31" s="169"/>
      <c r="H31" s="169"/>
      <c r="I31" s="169"/>
      <c r="J31" s="169"/>
      <c r="K31" s="169"/>
      <c r="L31" s="169"/>
      <c r="M31" s="169"/>
      <c r="N31" s="169"/>
      <c r="O31" s="169"/>
      <c r="P31" s="169"/>
      <c r="Q31" s="169"/>
    </row>
    <row r="32" spans="1:17" ht="15.5">
      <c r="A32" s="176"/>
      <c r="B32" s="176"/>
      <c r="C32" s="176"/>
      <c r="D32" s="176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</row>
    <row r="33" spans="5:17" ht="15.5"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</row>
    <row r="34" spans="5:17" ht="15.5"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7"/>
  <sheetViews>
    <sheetView rightToLeft="1" topLeftCell="A4" workbookViewId="0">
      <selection activeCell="T20" sqref="T20"/>
    </sheetView>
  </sheetViews>
  <sheetFormatPr defaultColWidth="9.1796875" defaultRowHeight="14"/>
  <cols>
    <col min="1" max="3" width="4.1796875" style="167" customWidth="1"/>
    <col min="4" max="4" width="33" style="167" customWidth="1"/>
    <col min="5" max="8" width="12.1796875" style="167" customWidth="1"/>
    <col min="9" max="9" width="12.1796875" style="167" hidden="1" customWidth="1"/>
    <col min="10" max="10" width="7.81640625" style="167" customWidth="1"/>
    <col min="11" max="16384" width="9.1796875" style="167"/>
  </cols>
  <sheetData>
    <row r="3" spans="1:17" ht="20.5">
      <c r="E3" s="168"/>
    </row>
    <row r="4" spans="1:17" ht="15.5">
      <c r="A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O4" s="169"/>
      <c r="P4" s="169"/>
      <c r="Q4" s="169"/>
    </row>
    <row r="5" spans="1:17" ht="15.5">
      <c r="A5" s="169">
        <v>3.3</v>
      </c>
      <c r="C5" s="169" t="s">
        <v>502</v>
      </c>
      <c r="D5" s="169"/>
      <c r="E5" s="169"/>
      <c r="F5" s="169"/>
      <c r="G5" s="169"/>
      <c r="H5" s="169"/>
      <c r="I5" s="169"/>
      <c r="J5" s="169"/>
      <c r="K5" s="169"/>
      <c r="L5" s="169"/>
      <c r="O5" s="169"/>
      <c r="P5" s="169"/>
      <c r="Q5" s="169"/>
    </row>
    <row r="6" spans="1:17" ht="16" thickBot="1">
      <c r="A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O6" s="169"/>
      <c r="P6" s="169"/>
      <c r="Q6" s="169"/>
    </row>
    <row r="7" spans="1:17" ht="20.149999999999999" customHeight="1">
      <c r="A7" s="169"/>
      <c r="C7" s="190" t="s">
        <v>443</v>
      </c>
      <c r="D7" s="191"/>
      <c r="E7" s="692" t="s">
        <v>1393</v>
      </c>
      <c r="F7" s="193" t="s">
        <v>915</v>
      </c>
      <c r="G7" s="194" t="s">
        <v>472</v>
      </c>
      <c r="O7" s="169"/>
      <c r="P7" s="169"/>
      <c r="Q7" s="169"/>
    </row>
    <row r="8" spans="1:17" ht="20.149999999999999" customHeight="1">
      <c r="A8" s="169"/>
      <c r="C8" s="195" t="s">
        <v>503</v>
      </c>
      <c r="D8" s="196"/>
      <c r="E8" s="328">
        <v>74</v>
      </c>
      <c r="F8" s="328">
        <f>'ריכוז פרקים'!S8/1000</f>
        <v>244596.685</v>
      </c>
      <c r="G8" s="284">
        <v>283583</v>
      </c>
      <c r="I8" s="398">
        <f>F8/$F$21</f>
        <v>0.4997808819416622</v>
      </c>
      <c r="O8" s="169"/>
      <c r="P8" s="169"/>
      <c r="Q8" s="169"/>
    </row>
    <row r="9" spans="1:17" ht="20.149999999999999" customHeight="1">
      <c r="A9" s="169"/>
      <c r="C9" s="195" t="s">
        <v>1405</v>
      </c>
      <c r="D9" s="201"/>
      <c r="E9" s="328">
        <v>81</v>
      </c>
      <c r="F9" s="328">
        <f>'ריכוז פרקים'!S11/1000</f>
        <v>83574.382133986655</v>
      </c>
      <c r="G9" s="284">
        <v>125424</v>
      </c>
      <c r="I9" s="398">
        <f t="shared" ref="I9:I20" si="0">F9/$F$21</f>
        <v>0.1707663307483229</v>
      </c>
      <c r="O9" s="169"/>
      <c r="P9" s="169"/>
      <c r="Q9" s="169"/>
    </row>
    <row r="10" spans="1:17" ht="20.149999999999999" customHeight="1">
      <c r="A10" s="169"/>
      <c r="C10" s="195" t="s">
        <v>1400</v>
      </c>
      <c r="D10" s="201"/>
      <c r="E10" s="328">
        <v>82</v>
      </c>
      <c r="F10" s="328">
        <f>'ריכוז פרקים'!S12/1000</f>
        <v>80246.2</v>
      </c>
      <c r="G10" s="284">
        <v>53300</v>
      </c>
      <c r="I10" s="398">
        <f t="shared" si="0"/>
        <v>0.16396590415142795</v>
      </c>
      <c r="O10" s="169"/>
      <c r="P10" s="169"/>
      <c r="Q10" s="169"/>
    </row>
    <row r="11" spans="1:17" ht="20.149999999999999" customHeight="1">
      <c r="A11" s="169"/>
      <c r="C11" s="195" t="s">
        <v>1406</v>
      </c>
      <c r="D11" s="201"/>
      <c r="E11" s="328">
        <v>84</v>
      </c>
      <c r="F11" s="328">
        <f>'ריכוז פרקים'!S13/1000</f>
        <v>50</v>
      </c>
      <c r="G11" s="284">
        <f>50</f>
        <v>50</v>
      </c>
      <c r="I11" s="398">
        <f t="shared" ref="I11" si="1">F11/$F$21</f>
        <v>1.0216427952440611E-4</v>
      </c>
      <c r="O11" s="169"/>
      <c r="P11" s="169"/>
      <c r="Q11" s="169"/>
    </row>
    <row r="12" spans="1:17" ht="20.149999999999999" customHeight="1">
      <c r="A12" s="169"/>
      <c r="C12" s="202" t="s">
        <v>504</v>
      </c>
      <c r="D12" s="203"/>
      <c r="E12" s="328">
        <v>93</v>
      </c>
      <c r="F12" s="328">
        <f>'ריכוז פרקים'!S18/1000</f>
        <v>12154.3</v>
      </c>
      <c r="G12" s="284">
        <v>4770</v>
      </c>
      <c r="I12" s="398">
        <f t="shared" si="0"/>
        <v>2.4834706052469784E-2</v>
      </c>
      <c r="O12" s="169"/>
      <c r="P12" s="169"/>
      <c r="Q12" s="169"/>
    </row>
    <row r="13" spans="1:17" ht="20.149999999999999" customHeight="1">
      <c r="A13" s="169"/>
      <c r="C13" s="195" t="s">
        <v>1425</v>
      </c>
      <c r="D13" s="196"/>
      <c r="E13" s="328">
        <v>764</v>
      </c>
      <c r="F13" s="328">
        <f>'ריכוז פרקים'!S17/1000</f>
        <v>16350</v>
      </c>
      <c r="G13" s="284">
        <f>13700</f>
        <v>13700</v>
      </c>
      <c r="I13" s="398">
        <f t="shared" si="0"/>
        <v>3.3407719404480798E-2</v>
      </c>
      <c r="O13" s="169"/>
      <c r="P13" s="169"/>
      <c r="Q13" s="169"/>
    </row>
    <row r="14" spans="1:17" ht="20.149999999999999" customHeight="1">
      <c r="A14" s="169"/>
      <c r="C14" s="202" t="s">
        <v>141</v>
      </c>
      <c r="D14" s="285"/>
      <c r="E14" s="328">
        <v>747</v>
      </c>
      <c r="F14" s="328">
        <f>'ריכוז פרקים'!S9/1000</f>
        <v>3416.1590000000001</v>
      </c>
      <c r="G14" s="284">
        <v>2734</v>
      </c>
      <c r="I14" s="398">
        <f t="shared" si="0"/>
        <v>6.980188459516313E-3</v>
      </c>
      <c r="O14" s="169"/>
      <c r="P14" s="169"/>
      <c r="Q14" s="169"/>
    </row>
    <row r="15" spans="1:17" ht="20.149999999999999" customHeight="1">
      <c r="A15" s="169"/>
      <c r="C15" s="195" t="s">
        <v>505</v>
      </c>
      <c r="D15" s="196"/>
      <c r="E15" s="328">
        <v>73</v>
      </c>
      <c r="F15" s="328">
        <f>'ריכוז פרקים'!S7/1000</f>
        <v>19720.12</v>
      </c>
      <c r="G15" s="284">
        <v>19749</v>
      </c>
      <c r="I15" s="398">
        <f t="shared" si="0"/>
        <v>4.0293837038696628E-2</v>
      </c>
      <c r="O15" s="169"/>
      <c r="P15" s="169"/>
      <c r="Q15" s="169"/>
    </row>
    <row r="16" spans="1:17" ht="20.149999999999999" customHeight="1">
      <c r="A16" s="169"/>
      <c r="C16" s="195" t="s">
        <v>506</v>
      </c>
      <c r="D16" s="201"/>
      <c r="E16" s="328">
        <v>61</v>
      </c>
      <c r="F16" s="328">
        <f>'ריכוז פרקים'!S6/1000</f>
        <v>285.00006000000008</v>
      </c>
      <c r="G16" s="284">
        <v>200</v>
      </c>
      <c r="I16" s="398">
        <f t="shared" si="0"/>
        <v>5.8233651588625041E-4</v>
      </c>
      <c r="O16" s="169"/>
      <c r="P16" s="169"/>
      <c r="Q16" s="169"/>
    </row>
    <row r="17" spans="1:17" ht="20.149999999999999" customHeight="1">
      <c r="A17" s="169"/>
      <c r="C17" s="195" t="s">
        <v>507</v>
      </c>
      <c r="D17" s="201"/>
      <c r="E17" s="328">
        <v>76</v>
      </c>
      <c r="F17" s="328">
        <f>'ריכוז פרקים'!S10/1000</f>
        <v>13960</v>
      </c>
      <c r="G17" s="284">
        <f>21485-50</f>
        <v>21435</v>
      </c>
      <c r="I17" s="398">
        <f t="shared" si="0"/>
        <v>2.8524266843214185E-2</v>
      </c>
      <c r="O17" s="169"/>
      <c r="P17" s="169"/>
      <c r="Q17" s="169"/>
    </row>
    <row r="18" spans="1:17" ht="20.149999999999999" customHeight="1">
      <c r="A18" s="169"/>
      <c r="C18" s="195" t="s">
        <v>508</v>
      </c>
      <c r="D18" s="196"/>
      <c r="E18" s="328">
        <v>85</v>
      </c>
      <c r="F18" s="328">
        <f>'ריכוז פרקים'!S14/1000</f>
        <v>5425</v>
      </c>
      <c r="G18" s="284">
        <v>2500</v>
      </c>
      <c r="I18" s="398">
        <f t="shared" si="0"/>
        <v>1.1084824328398062E-2</v>
      </c>
      <c r="O18" s="169"/>
      <c r="P18" s="169"/>
      <c r="Q18" s="169"/>
    </row>
    <row r="19" spans="1:17" ht="20.149999999999999" customHeight="1">
      <c r="A19" s="169"/>
      <c r="C19" s="195" t="s">
        <v>1399</v>
      </c>
      <c r="D19" s="196"/>
      <c r="E19" s="328">
        <v>848</v>
      </c>
      <c r="F19" s="328">
        <f>'ריכוז פרקים'!S16/1000</f>
        <v>6500</v>
      </c>
      <c r="G19" s="284">
        <v>4100</v>
      </c>
      <c r="I19" s="398">
        <f t="shared" si="0"/>
        <v>1.3281356338172795E-2</v>
      </c>
      <c r="N19" s="206"/>
      <c r="O19" s="169"/>
      <c r="P19" s="169"/>
      <c r="Q19" s="169"/>
    </row>
    <row r="20" spans="1:17" ht="20.149999999999999" customHeight="1">
      <c r="A20" s="169"/>
      <c r="C20" s="195" t="s">
        <v>143</v>
      </c>
      <c r="D20" s="196"/>
      <c r="E20" s="328">
        <v>87</v>
      </c>
      <c r="F20" s="328">
        <f>'ריכוז פרקים'!S15/1000</f>
        <v>3130</v>
      </c>
      <c r="G20" s="284">
        <f>5551</f>
        <v>5551</v>
      </c>
      <c r="I20" s="398">
        <f t="shared" si="0"/>
        <v>6.3954838982278224E-3</v>
      </c>
      <c r="O20" s="169"/>
      <c r="P20" s="169"/>
      <c r="Q20" s="169"/>
    </row>
    <row r="21" spans="1:17" ht="20.149999999999999" customHeight="1" thickBot="1">
      <c r="A21" s="169"/>
      <c r="C21" s="286" t="s">
        <v>160</v>
      </c>
      <c r="D21" s="287"/>
      <c r="E21" s="288"/>
      <c r="F21" s="314">
        <f>SUM(F8:F20)</f>
        <v>489407.8461939866</v>
      </c>
      <c r="G21" s="315">
        <f>SUM(G8:G20)</f>
        <v>537096</v>
      </c>
      <c r="I21" s="289">
        <f>SUM(I8:I20)</f>
        <v>1</v>
      </c>
      <c r="O21" s="169"/>
      <c r="P21" s="169"/>
      <c r="Q21" s="169"/>
    </row>
    <row r="22" spans="1:17" ht="15.5">
      <c r="A22" s="169"/>
      <c r="N22" s="169"/>
      <c r="O22" s="169"/>
      <c r="P22" s="169"/>
      <c r="Q22" s="169"/>
    </row>
    <row r="23" spans="1:17" ht="15.5">
      <c r="A23" s="169"/>
      <c r="C23" s="681" t="s">
        <v>457</v>
      </c>
      <c r="D23" s="169" t="s">
        <v>1397</v>
      </c>
      <c r="N23" s="169"/>
      <c r="O23" s="169"/>
      <c r="P23" s="169"/>
      <c r="Q23" s="169"/>
    </row>
    <row r="24" spans="1:17" ht="15.5">
      <c r="A24" s="169"/>
      <c r="B24" s="176"/>
      <c r="C24" s="176"/>
      <c r="D24" s="176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69"/>
      <c r="P24" s="169"/>
      <c r="Q24" s="169"/>
    </row>
    <row r="25" spans="1:17" ht="15.5">
      <c r="A25" s="176"/>
      <c r="B25" s="176"/>
      <c r="C25" s="176"/>
      <c r="D25" s="176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69"/>
      <c r="P25" s="169"/>
      <c r="Q25" s="169"/>
    </row>
    <row r="26" spans="1:17" ht="15.5">
      <c r="E26" s="169"/>
      <c r="F26" s="169"/>
      <c r="G26" s="169"/>
      <c r="H26" s="169"/>
      <c r="I26" s="169"/>
      <c r="J26" s="169"/>
      <c r="K26" s="169"/>
      <c r="L26" s="169"/>
      <c r="M26" s="169"/>
      <c r="N26" s="169"/>
      <c r="O26" s="169"/>
      <c r="P26" s="169"/>
      <c r="Q26" s="169"/>
    </row>
    <row r="27" spans="1:17" ht="15.5">
      <c r="E27" s="169"/>
      <c r="F27" s="169"/>
      <c r="G27" s="169"/>
      <c r="H27" s="169"/>
      <c r="I27" s="169"/>
      <c r="J27" s="169"/>
      <c r="K27" s="169"/>
      <c r="L27" s="169"/>
      <c r="M27" s="169"/>
      <c r="N27" s="169"/>
      <c r="O27" s="169"/>
      <c r="P27" s="169"/>
      <c r="Q27" s="169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8"/>
  <sheetViews>
    <sheetView rightToLeft="1" topLeftCell="A4" workbookViewId="0">
      <selection activeCell="T20" sqref="T20"/>
    </sheetView>
  </sheetViews>
  <sheetFormatPr defaultColWidth="9.1796875" defaultRowHeight="14"/>
  <cols>
    <col min="1" max="3" width="4.1796875" style="167" customWidth="1"/>
    <col min="4" max="4" width="33" style="167" customWidth="1"/>
    <col min="5" max="8" width="12.1796875" style="167" customWidth="1"/>
    <col min="9" max="9" width="7.81640625" style="167" hidden="1" customWidth="1"/>
    <col min="10" max="10" width="9.1796875" style="167" hidden="1" customWidth="1"/>
    <col min="11" max="16384" width="9.1796875" style="167"/>
  </cols>
  <sheetData>
    <row r="5" spans="1:16" ht="15.5">
      <c r="A5" s="169">
        <v>3.4</v>
      </c>
      <c r="C5" s="169" t="s">
        <v>442</v>
      </c>
    </row>
    <row r="6" spans="1:16" ht="16" thickBot="1">
      <c r="A6" s="169"/>
      <c r="H6" s="169"/>
      <c r="I6" s="169"/>
      <c r="J6" s="169"/>
      <c r="K6" s="169"/>
      <c r="N6" s="169"/>
      <c r="O6" s="169"/>
      <c r="P6" s="169"/>
    </row>
    <row r="7" spans="1:16" ht="20.149999999999999" customHeight="1">
      <c r="A7" s="169"/>
      <c r="C7" s="190" t="s">
        <v>443</v>
      </c>
      <c r="D7" s="191"/>
      <c r="E7" s="192"/>
      <c r="F7" s="193" t="s">
        <v>915</v>
      </c>
      <c r="G7" s="194" t="s">
        <v>472</v>
      </c>
      <c r="N7" s="169"/>
      <c r="O7" s="169"/>
      <c r="P7" s="169"/>
    </row>
    <row r="8" spans="1:16" ht="20.149999999999999" customHeight="1">
      <c r="A8" s="169"/>
      <c r="C8" s="195" t="s">
        <v>1174</v>
      </c>
      <c r="D8" s="196"/>
      <c r="E8" s="197"/>
      <c r="F8" s="198">
        <f>'ריכוז אגפים'!$S7/1000</f>
        <v>42416.58</v>
      </c>
      <c r="G8" s="199">
        <v>17142</v>
      </c>
      <c r="J8" s="398">
        <f>F8/$F$22</f>
        <v>8.6669186711786667E-2</v>
      </c>
      <c r="N8" s="169"/>
      <c r="O8" s="169"/>
      <c r="P8" s="169"/>
    </row>
    <row r="9" spans="1:16" ht="20.149999999999999" customHeight="1">
      <c r="A9" s="169"/>
      <c r="C9" s="195" t="s">
        <v>444</v>
      </c>
      <c r="D9" s="201"/>
      <c r="E9" s="197"/>
      <c r="F9" s="198">
        <f>'ריכוז אגפים'!$S8/1000</f>
        <v>309252.68</v>
      </c>
      <c r="G9" s="199">
        <v>396380.56800000003</v>
      </c>
      <c r="J9" s="398">
        <f t="shared" ref="J9:J21" si="0">F9/$F$22</f>
        <v>0.63189154486383425</v>
      </c>
      <c r="N9" s="169"/>
      <c r="O9" s="169"/>
      <c r="P9" s="169"/>
    </row>
    <row r="10" spans="1:16" ht="20.149999999999999" customHeight="1">
      <c r="A10" s="169"/>
      <c r="C10" s="195" t="s">
        <v>153</v>
      </c>
      <c r="D10" s="196"/>
      <c r="E10" s="197"/>
      <c r="F10" s="198">
        <f>'ריכוז אגפים'!$S9/1000</f>
        <v>49451.3</v>
      </c>
      <c r="G10" s="199">
        <v>49542.6</v>
      </c>
      <c r="J10" s="398">
        <f t="shared" si="0"/>
        <v>0.10104312872090528</v>
      </c>
      <c r="N10" s="169"/>
      <c r="O10" s="169"/>
      <c r="P10" s="169"/>
    </row>
    <row r="11" spans="1:16" ht="20.149999999999999" customHeight="1">
      <c r="A11" s="169"/>
      <c r="C11" s="195" t="s">
        <v>445</v>
      </c>
      <c r="D11" s="196"/>
      <c r="E11" s="197"/>
      <c r="F11" s="198">
        <f>'ריכוז אגפים'!$S10/1000</f>
        <v>1660</v>
      </c>
      <c r="G11" s="199">
        <v>900</v>
      </c>
      <c r="J11" s="398">
        <f t="shared" si="0"/>
        <v>3.3918540802102826E-3</v>
      </c>
      <c r="N11" s="169"/>
      <c r="O11" s="169"/>
      <c r="P11" s="169"/>
    </row>
    <row r="12" spans="1:16" ht="20.149999999999999" customHeight="1">
      <c r="A12" s="169"/>
      <c r="C12" s="195" t="s">
        <v>388</v>
      </c>
      <c r="D12" s="201"/>
      <c r="E12" s="197"/>
      <c r="F12" s="198">
        <f>'ריכוז אגפים'!$S11/1000</f>
        <v>8412.1001339866507</v>
      </c>
      <c r="G12" s="199">
        <v>2580.1370000000002</v>
      </c>
      <c r="J12" s="398">
        <f t="shared" si="0"/>
        <v>1.7188322989518123E-2</v>
      </c>
      <c r="N12" s="169"/>
      <c r="O12" s="169"/>
      <c r="P12" s="169"/>
    </row>
    <row r="13" spans="1:16" ht="20.149999999999999" customHeight="1">
      <c r="A13" s="169"/>
      <c r="C13" s="195" t="s">
        <v>1048</v>
      </c>
      <c r="D13" s="201"/>
      <c r="E13" s="197"/>
      <c r="F13" s="198">
        <f>'ריכוז אגפים'!$S12/1000</f>
        <v>3120</v>
      </c>
      <c r="G13" s="199">
        <v>1480</v>
      </c>
      <c r="J13" s="398">
        <f>F13/$F$22</f>
        <v>6.3750510423229408E-3</v>
      </c>
      <c r="N13" s="169"/>
      <c r="O13" s="169"/>
      <c r="P13" s="169"/>
    </row>
    <row r="14" spans="1:16" ht="20.149999999999999" customHeight="1">
      <c r="A14" s="169"/>
      <c r="C14" s="202" t="s">
        <v>1402</v>
      </c>
      <c r="D14" s="203"/>
      <c r="E14" s="204"/>
      <c r="F14" s="198">
        <f>'ריכוז אגפים'!$S13/1000</f>
        <v>36405</v>
      </c>
      <c r="G14" s="199">
        <f>20498+3211.058+13700</f>
        <v>37409.058000000005</v>
      </c>
      <c r="J14" s="398">
        <f t="shared" si="0"/>
        <v>7.4385811921720085E-2</v>
      </c>
      <c r="N14" s="169"/>
      <c r="O14" s="169"/>
      <c r="P14" s="169"/>
    </row>
    <row r="15" spans="1:16" ht="20.149999999999999" customHeight="1">
      <c r="A15" s="169"/>
      <c r="C15" s="195" t="s">
        <v>371</v>
      </c>
      <c r="D15" s="201"/>
      <c r="E15" s="197"/>
      <c r="F15" s="198">
        <f>'ריכוז אגפים'!$S14/1000</f>
        <v>1866.1590000000001</v>
      </c>
      <c r="G15" s="199">
        <v>2734</v>
      </c>
      <c r="J15" s="398">
        <f t="shared" si="0"/>
        <v>3.8130957942597234E-3</v>
      </c>
      <c r="N15" s="169"/>
      <c r="O15" s="169"/>
      <c r="P15" s="169"/>
    </row>
    <row r="16" spans="1:16" ht="20.149999999999999" customHeight="1">
      <c r="A16" s="169"/>
      <c r="C16" s="195" t="s">
        <v>1403</v>
      </c>
      <c r="D16" s="201"/>
      <c r="E16" s="197"/>
      <c r="F16" s="198"/>
      <c r="G16" s="205">
        <f>3211.058-3211.058</f>
        <v>0</v>
      </c>
      <c r="J16" s="398">
        <f t="shared" si="0"/>
        <v>0</v>
      </c>
      <c r="N16" s="169"/>
      <c r="O16" s="169"/>
      <c r="P16" s="169"/>
    </row>
    <row r="17" spans="1:16" ht="20.149999999999999" customHeight="1">
      <c r="A17" s="169"/>
      <c r="C17" s="195" t="s">
        <v>156</v>
      </c>
      <c r="D17" s="196"/>
      <c r="E17" s="197"/>
      <c r="F17" s="198">
        <f>'ריכוז אגפים'!$S15/1000</f>
        <v>7930</v>
      </c>
      <c r="G17" s="199">
        <v>9180</v>
      </c>
      <c r="J17" s="398">
        <f t="shared" si="0"/>
        <v>1.6203254732570806E-2</v>
      </c>
      <c r="N17" s="169"/>
      <c r="O17" s="169"/>
      <c r="P17" s="169"/>
    </row>
    <row r="18" spans="1:16" ht="20.149999999999999" customHeight="1">
      <c r="A18" s="169"/>
      <c r="C18" s="202" t="s">
        <v>574</v>
      </c>
      <c r="D18" s="203"/>
      <c r="E18" s="204"/>
      <c r="F18" s="198">
        <f>'ריכוז אגפים'!$S16/1000</f>
        <v>12925.00006</v>
      </c>
      <c r="G18" s="199">
        <v>9860</v>
      </c>
      <c r="J18" s="398">
        <f t="shared" si="0"/>
        <v>2.6409466379656112E-2</v>
      </c>
      <c r="M18" s="206"/>
      <c r="N18" s="169"/>
      <c r="O18" s="169"/>
      <c r="P18" s="169"/>
    </row>
    <row r="19" spans="1:16" ht="20.149999999999999" customHeight="1">
      <c r="A19" s="169"/>
      <c r="C19" s="195" t="s">
        <v>1093</v>
      </c>
      <c r="D19" s="196"/>
      <c r="E19" s="197"/>
      <c r="F19" s="198">
        <f>'ריכוז אגפים'!$S17/1000</f>
        <v>7949.3</v>
      </c>
      <c r="G19" s="199">
        <v>3070</v>
      </c>
      <c r="J19" s="398">
        <f t="shared" si="0"/>
        <v>1.6242690144467227E-2</v>
      </c>
      <c r="N19" s="169"/>
      <c r="O19" s="169"/>
      <c r="P19" s="169"/>
    </row>
    <row r="20" spans="1:16" ht="20.149999999999999" customHeight="1">
      <c r="A20" s="169"/>
      <c r="C20" s="195" t="s">
        <v>1404</v>
      </c>
      <c r="D20" s="196"/>
      <c r="E20" s="197"/>
      <c r="F20" s="198"/>
      <c r="G20" s="199">
        <f>13750-13750</f>
        <v>0</v>
      </c>
      <c r="J20" s="398">
        <f t="shared" si="0"/>
        <v>0</v>
      </c>
      <c r="N20" s="169"/>
      <c r="O20" s="169"/>
      <c r="P20" s="169"/>
    </row>
    <row r="21" spans="1:16" ht="20.149999999999999" customHeight="1">
      <c r="A21" s="169"/>
      <c r="C21" s="195" t="s">
        <v>177</v>
      </c>
      <c r="D21" s="196"/>
      <c r="E21" s="197"/>
      <c r="F21" s="198">
        <f>'ריכוז אגפים'!$S18/1000</f>
        <v>8019.7269999999999</v>
      </c>
      <c r="G21" s="199">
        <f>6767.586+50</f>
        <v>6817.5860000000002</v>
      </c>
      <c r="J21" s="398">
        <f t="shared" si="0"/>
        <v>1.6386592618748533E-2</v>
      </c>
      <c r="N21" s="169"/>
      <c r="O21" s="169"/>
      <c r="P21" s="169"/>
    </row>
    <row r="22" spans="1:16" ht="20.149999999999999" customHeight="1" thickBot="1">
      <c r="A22" s="169"/>
      <c r="C22" s="207" t="s">
        <v>160</v>
      </c>
      <c r="D22" s="208"/>
      <c r="E22" s="209"/>
      <c r="F22" s="314">
        <f>SUM(F8:F21)</f>
        <v>489407.84619398665</v>
      </c>
      <c r="G22" s="315">
        <f>SUM(G8:G21)</f>
        <v>537095.94900000002</v>
      </c>
      <c r="J22" s="211">
        <f>SUM(J8:J21)</f>
        <v>1</v>
      </c>
      <c r="N22" s="169"/>
      <c r="O22" s="169"/>
      <c r="P22" s="169"/>
    </row>
    <row r="23" spans="1:16" ht="17">
      <c r="A23" s="169"/>
      <c r="C23" s="170"/>
      <c r="D23" s="169"/>
      <c r="F23" s="182"/>
      <c r="G23" s="182"/>
      <c r="N23" s="169"/>
      <c r="O23" s="169"/>
      <c r="P23" s="169"/>
    </row>
    <row r="24" spans="1:16" ht="15.5">
      <c r="A24" s="169"/>
      <c r="C24" s="559" t="s">
        <v>457</v>
      </c>
      <c r="D24" s="169" t="s">
        <v>1401</v>
      </c>
      <c r="E24" s="169"/>
      <c r="F24" s="169"/>
      <c r="M24" s="169"/>
      <c r="N24" s="169"/>
      <c r="O24" s="169"/>
      <c r="P24" s="169"/>
    </row>
    <row r="25" spans="1:16" ht="15.5">
      <c r="A25" s="169"/>
      <c r="B25" s="176"/>
      <c r="C25" s="176"/>
      <c r="D25" s="176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69"/>
      <c r="P25" s="169"/>
    </row>
    <row r="26" spans="1:16" ht="15.5">
      <c r="A26" s="176"/>
      <c r="B26" s="176"/>
      <c r="C26" s="176"/>
      <c r="D26" s="176"/>
      <c r="E26" s="169"/>
      <c r="F26" s="169"/>
      <c r="G26" s="169"/>
      <c r="H26" s="169"/>
      <c r="I26" s="169"/>
      <c r="J26" s="169"/>
      <c r="K26" s="169"/>
      <c r="L26" s="169"/>
      <c r="M26" s="169"/>
      <c r="N26" s="169"/>
      <c r="O26" s="169"/>
      <c r="P26" s="169"/>
    </row>
    <row r="27" spans="1:16" ht="15.5">
      <c r="E27" s="169"/>
      <c r="F27" s="169"/>
      <c r="G27" s="169"/>
      <c r="H27" s="169"/>
      <c r="I27" s="169"/>
      <c r="J27" s="169"/>
      <c r="K27" s="169"/>
      <c r="L27" s="169"/>
      <c r="M27" s="169"/>
      <c r="N27" s="169"/>
      <c r="O27" s="169"/>
      <c r="P27" s="169"/>
    </row>
    <row r="28" spans="1:16" ht="15.5"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20"/>
  <sheetViews>
    <sheetView rightToLeft="1" workbookViewId="0">
      <selection activeCell="T20" sqref="T20"/>
    </sheetView>
  </sheetViews>
  <sheetFormatPr defaultColWidth="9.1796875" defaultRowHeight="14"/>
  <cols>
    <col min="1" max="3" width="4.1796875" style="167" customWidth="1"/>
    <col min="4" max="4" width="33" style="167" customWidth="1"/>
    <col min="5" max="8" width="12.1796875" style="167" customWidth="1"/>
    <col min="9" max="9" width="7.81640625" style="167" customWidth="1"/>
    <col min="10" max="10" width="9.1796875" style="167" hidden="1" customWidth="1"/>
    <col min="11" max="16384" width="9.1796875" style="167"/>
  </cols>
  <sheetData>
    <row r="4" spans="1:16" ht="12.75" customHeight="1">
      <c r="A4" s="169"/>
      <c r="C4" s="212"/>
      <c r="D4" s="174"/>
      <c r="E4" s="213"/>
      <c r="F4" s="214"/>
      <c r="G4" s="214"/>
      <c r="N4" s="169"/>
      <c r="O4" s="169"/>
      <c r="P4" s="169"/>
    </row>
    <row r="5" spans="1:16" ht="15.5">
      <c r="A5" s="169">
        <v>3.5</v>
      </c>
      <c r="C5" s="169" t="s">
        <v>446</v>
      </c>
    </row>
    <row r="6" spans="1:16" ht="16" thickBot="1">
      <c r="A6" s="169"/>
      <c r="H6" s="169"/>
      <c r="I6" s="169"/>
      <c r="J6" s="169"/>
      <c r="K6" s="169"/>
      <c r="N6" s="169"/>
      <c r="O6" s="169"/>
      <c r="P6" s="169"/>
    </row>
    <row r="7" spans="1:16" ht="20.149999999999999" customHeight="1">
      <c r="A7" s="169"/>
      <c r="C7" s="190" t="s">
        <v>447</v>
      </c>
      <c r="D7" s="317"/>
      <c r="E7" s="192"/>
      <c r="F7" s="193" t="s">
        <v>915</v>
      </c>
      <c r="G7" s="215" t="s">
        <v>509</v>
      </c>
      <c r="J7" s="200"/>
      <c r="M7" s="169"/>
      <c r="N7" s="169"/>
      <c r="O7" s="169"/>
    </row>
    <row r="8" spans="1:16" ht="20.149999999999999" customHeight="1">
      <c r="A8" s="169"/>
      <c r="C8" s="195" t="s">
        <v>448</v>
      </c>
      <c r="D8" s="195"/>
      <c r="E8" s="197"/>
      <c r="F8" s="198">
        <f>'תקציב 2019 קרנות הרשות'!C21</f>
        <v>290040</v>
      </c>
      <c r="G8" s="199">
        <v>237740</v>
      </c>
      <c r="J8" s="398">
        <f>F8/$F$13</f>
        <v>0.59263455290007749</v>
      </c>
      <c r="M8" s="169"/>
      <c r="N8" s="169"/>
      <c r="O8" s="169"/>
    </row>
    <row r="9" spans="1:16" ht="20.149999999999999" customHeight="1">
      <c r="A9" s="169"/>
      <c r="C9" s="195" t="s">
        <v>14</v>
      </c>
      <c r="D9" s="195"/>
      <c r="E9" s="197"/>
      <c r="F9" s="198">
        <f>'תקציב 2019 קרנות הרשות'!D21</f>
        <v>44000</v>
      </c>
      <c r="G9" s="199">
        <v>27000</v>
      </c>
      <c r="J9" s="398">
        <f>F9/$F$13</f>
        <v>8.9904566017112844E-2</v>
      </c>
      <c r="M9" s="169"/>
      <c r="N9" s="169"/>
      <c r="O9" s="169"/>
    </row>
    <row r="10" spans="1:16" ht="20.149999999999999" customHeight="1">
      <c r="A10" s="169"/>
      <c r="C10" s="195" t="s">
        <v>15</v>
      </c>
      <c r="D10" s="195"/>
      <c r="E10" s="197"/>
      <c r="F10" s="198"/>
      <c r="G10" s="199">
        <v>1250</v>
      </c>
      <c r="J10" s="398">
        <f>F10/$F$13</f>
        <v>0</v>
      </c>
      <c r="M10" s="169"/>
      <c r="N10" s="169"/>
      <c r="O10" s="169"/>
    </row>
    <row r="11" spans="1:16" ht="20.149999999999999" customHeight="1">
      <c r="A11" s="169"/>
      <c r="C11" s="195" t="s">
        <v>524</v>
      </c>
      <c r="D11" s="202"/>
      <c r="E11" s="204"/>
      <c r="F11" s="198">
        <v>34722.656999999999</v>
      </c>
      <c r="G11" s="199">
        <v>48963</v>
      </c>
      <c r="J11" s="398">
        <f>F11/$F$13</f>
        <v>7.0948304739683304E-2</v>
      </c>
      <c r="M11" s="169"/>
      <c r="N11" s="169"/>
      <c r="O11" s="169"/>
    </row>
    <row r="12" spans="1:16" ht="20.149999999999999" customHeight="1">
      <c r="A12" s="169"/>
      <c r="C12" s="195" t="s">
        <v>449</v>
      </c>
      <c r="D12" s="335"/>
      <c r="E12" s="217"/>
      <c r="F12" s="198">
        <f>'תקציב 2019 מקורות אחרים'!F14</f>
        <v>120645.189</v>
      </c>
      <c r="G12" s="199">
        <v>222143</v>
      </c>
      <c r="J12" s="398">
        <f>F12/$F$13</f>
        <v>0.24651257634312629</v>
      </c>
      <c r="L12" s="206"/>
      <c r="M12" s="169"/>
      <c r="N12" s="169"/>
      <c r="O12" s="169"/>
    </row>
    <row r="13" spans="1:16" ht="20.149999999999999" customHeight="1" thickBot="1">
      <c r="A13" s="169"/>
      <c r="C13" s="316" t="s">
        <v>160</v>
      </c>
      <c r="D13" s="318"/>
      <c r="E13" s="209"/>
      <c r="F13" s="314">
        <f>SUM(F8:F12)</f>
        <v>489407.84600000002</v>
      </c>
      <c r="G13" s="315">
        <f>SUM(G8:G12)</f>
        <v>537096</v>
      </c>
      <c r="J13" s="399">
        <f>SUM(J8:J12)</f>
        <v>0.99999999999999989</v>
      </c>
      <c r="M13" s="169"/>
      <c r="N13" s="169"/>
      <c r="O13" s="169"/>
    </row>
    <row r="14" spans="1:16" ht="17">
      <c r="A14" s="169"/>
      <c r="C14" s="170"/>
      <c r="D14" s="169"/>
      <c r="F14" s="182"/>
      <c r="G14" s="182"/>
      <c r="N14" s="169"/>
      <c r="O14" s="169"/>
      <c r="P14" s="169"/>
    </row>
    <row r="15" spans="1:16" ht="15.5">
      <c r="A15" s="169"/>
      <c r="M15" s="169"/>
      <c r="N15" s="169"/>
      <c r="O15" s="169"/>
      <c r="P15" s="169"/>
    </row>
    <row r="16" spans="1:16" ht="15.5">
      <c r="A16" s="169"/>
      <c r="M16" s="169"/>
      <c r="N16" s="169"/>
      <c r="O16" s="169"/>
      <c r="P16" s="169"/>
    </row>
    <row r="17" spans="1:16" ht="15.5">
      <c r="A17" s="169"/>
      <c r="B17" s="176"/>
      <c r="C17" s="176"/>
      <c r="D17" s="176"/>
      <c r="E17" s="169"/>
      <c r="F17" s="169"/>
      <c r="G17" s="169"/>
      <c r="H17" s="169"/>
      <c r="I17" s="169"/>
      <c r="J17" s="169"/>
      <c r="K17" s="169"/>
      <c r="L17" s="169"/>
      <c r="M17" s="169"/>
      <c r="N17" s="169"/>
      <c r="O17" s="169"/>
      <c r="P17" s="169"/>
    </row>
    <row r="18" spans="1:16" ht="15.5">
      <c r="A18" s="176"/>
      <c r="B18" s="176"/>
      <c r="C18" s="176"/>
      <c r="D18" s="176"/>
      <c r="E18" s="169"/>
      <c r="F18" s="169"/>
      <c r="G18" s="169"/>
      <c r="H18" s="169"/>
      <c r="I18" s="169"/>
      <c r="J18" s="169"/>
      <c r="K18" s="169"/>
      <c r="L18" s="169"/>
      <c r="M18" s="169"/>
      <c r="N18" s="169"/>
      <c r="O18" s="169"/>
      <c r="P18" s="169"/>
    </row>
    <row r="19" spans="1:16" ht="15.5">
      <c r="E19" s="169"/>
      <c r="F19" s="169"/>
      <c r="G19" s="169"/>
      <c r="H19" s="169"/>
      <c r="I19" s="169"/>
      <c r="J19" s="169"/>
      <c r="K19" s="169"/>
      <c r="L19" s="169"/>
      <c r="M19" s="169"/>
      <c r="N19" s="169"/>
      <c r="O19" s="169"/>
      <c r="P19" s="169"/>
    </row>
    <row r="20" spans="1:16" ht="15.5">
      <c r="E20" s="169"/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69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showZeros="0" rightToLeft="1" workbookViewId="0">
      <selection activeCell="T20" sqref="T20"/>
    </sheetView>
  </sheetViews>
  <sheetFormatPr defaultRowHeight="15.5"/>
  <cols>
    <col min="1" max="1" width="3.453125" style="146" customWidth="1"/>
    <col min="2" max="2" width="37.26953125" style="146" bestFit="1" customWidth="1"/>
    <col min="3" max="3" width="16.453125" style="148" bestFit="1" customWidth="1"/>
    <col min="4" max="4" width="19.81640625" style="148" bestFit="1" customWidth="1"/>
    <col min="5" max="5" width="13.453125" style="148" customWidth="1"/>
    <col min="6" max="6" width="16.453125" style="148" bestFit="1" customWidth="1"/>
    <col min="7" max="7" width="19.81640625" style="148" bestFit="1" customWidth="1"/>
    <col min="8" max="8" width="12.453125" style="148" customWidth="1"/>
    <col min="9" max="10" width="9.1796875" style="146"/>
    <col min="11" max="15" width="0" style="146" hidden="1" customWidth="1"/>
    <col min="16" max="256" width="9.1796875" style="146"/>
    <col min="257" max="257" width="3.453125" style="146" customWidth="1"/>
    <col min="258" max="258" width="37.26953125" style="146" bestFit="1" customWidth="1"/>
    <col min="259" max="259" width="16.453125" style="146" bestFit="1" customWidth="1"/>
    <col min="260" max="260" width="19.81640625" style="146" bestFit="1" customWidth="1"/>
    <col min="261" max="261" width="13.453125" style="146" customWidth="1"/>
    <col min="262" max="262" width="16.453125" style="146" bestFit="1" customWidth="1"/>
    <col min="263" max="263" width="19.81640625" style="146" bestFit="1" customWidth="1"/>
    <col min="264" max="264" width="12.453125" style="146" customWidth="1"/>
    <col min="265" max="512" width="9.1796875" style="146"/>
    <col min="513" max="513" width="3.453125" style="146" customWidth="1"/>
    <col min="514" max="514" width="37.26953125" style="146" bestFit="1" customWidth="1"/>
    <col min="515" max="515" width="16.453125" style="146" bestFit="1" customWidth="1"/>
    <col min="516" max="516" width="19.81640625" style="146" bestFit="1" customWidth="1"/>
    <col min="517" max="517" width="13.453125" style="146" customWidth="1"/>
    <col min="518" max="518" width="16.453125" style="146" bestFit="1" customWidth="1"/>
    <col min="519" max="519" width="19.81640625" style="146" bestFit="1" customWidth="1"/>
    <col min="520" max="520" width="12.453125" style="146" customWidth="1"/>
    <col min="521" max="768" width="9.1796875" style="146"/>
    <col min="769" max="769" width="3.453125" style="146" customWidth="1"/>
    <col min="770" max="770" width="37.26953125" style="146" bestFit="1" customWidth="1"/>
    <col min="771" max="771" width="16.453125" style="146" bestFit="1" customWidth="1"/>
    <col min="772" max="772" width="19.81640625" style="146" bestFit="1" customWidth="1"/>
    <col min="773" max="773" width="13.453125" style="146" customWidth="1"/>
    <col min="774" max="774" width="16.453125" style="146" bestFit="1" customWidth="1"/>
    <col min="775" max="775" width="19.81640625" style="146" bestFit="1" customWidth="1"/>
    <col min="776" max="776" width="12.453125" style="146" customWidth="1"/>
    <col min="777" max="1024" width="9.1796875" style="146"/>
    <col min="1025" max="1025" width="3.453125" style="146" customWidth="1"/>
    <col min="1026" max="1026" width="37.26953125" style="146" bestFit="1" customWidth="1"/>
    <col min="1027" max="1027" width="16.453125" style="146" bestFit="1" customWidth="1"/>
    <col min="1028" max="1028" width="19.81640625" style="146" bestFit="1" customWidth="1"/>
    <col min="1029" max="1029" width="13.453125" style="146" customWidth="1"/>
    <col min="1030" max="1030" width="16.453125" style="146" bestFit="1" customWidth="1"/>
    <col min="1031" max="1031" width="19.81640625" style="146" bestFit="1" customWidth="1"/>
    <col min="1032" max="1032" width="12.453125" style="146" customWidth="1"/>
    <col min="1033" max="1280" width="9.1796875" style="146"/>
    <col min="1281" max="1281" width="3.453125" style="146" customWidth="1"/>
    <col min="1282" max="1282" width="37.26953125" style="146" bestFit="1" customWidth="1"/>
    <col min="1283" max="1283" width="16.453125" style="146" bestFit="1" customWidth="1"/>
    <col min="1284" max="1284" width="19.81640625" style="146" bestFit="1" customWidth="1"/>
    <col min="1285" max="1285" width="13.453125" style="146" customWidth="1"/>
    <col min="1286" max="1286" width="16.453125" style="146" bestFit="1" customWidth="1"/>
    <col min="1287" max="1287" width="19.81640625" style="146" bestFit="1" customWidth="1"/>
    <col min="1288" max="1288" width="12.453125" style="146" customWidth="1"/>
    <col min="1289" max="1536" width="9.1796875" style="146"/>
    <col min="1537" max="1537" width="3.453125" style="146" customWidth="1"/>
    <col min="1538" max="1538" width="37.26953125" style="146" bestFit="1" customWidth="1"/>
    <col min="1539" max="1539" width="16.453125" style="146" bestFit="1" customWidth="1"/>
    <col min="1540" max="1540" width="19.81640625" style="146" bestFit="1" customWidth="1"/>
    <col min="1541" max="1541" width="13.453125" style="146" customWidth="1"/>
    <col min="1542" max="1542" width="16.453125" style="146" bestFit="1" customWidth="1"/>
    <col min="1543" max="1543" width="19.81640625" style="146" bestFit="1" customWidth="1"/>
    <col min="1544" max="1544" width="12.453125" style="146" customWidth="1"/>
    <col min="1545" max="1792" width="9.1796875" style="146"/>
    <col min="1793" max="1793" width="3.453125" style="146" customWidth="1"/>
    <col min="1794" max="1794" width="37.26953125" style="146" bestFit="1" customWidth="1"/>
    <col min="1795" max="1795" width="16.453125" style="146" bestFit="1" customWidth="1"/>
    <col min="1796" max="1796" width="19.81640625" style="146" bestFit="1" customWidth="1"/>
    <col min="1797" max="1797" width="13.453125" style="146" customWidth="1"/>
    <col min="1798" max="1798" width="16.453125" style="146" bestFit="1" customWidth="1"/>
    <col min="1799" max="1799" width="19.81640625" style="146" bestFit="1" customWidth="1"/>
    <col min="1800" max="1800" width="12.453125" style="146" customWidth="1"/>
    <col min="1801" max="2048" width="9.1796875" style="146"/>
    <col min="2049" max="2049" width="3.453125" style="146" customWidth="1"/>
    <col min="2050" max="2050" width="37.26953125" style="146" bestFit="1" customWidth="1"/>
    <col min="2051" max="2051" width="16.453125" style="146" bestFit="1" customWidth="1"/>
    <col min="2052" max="2052" width="19.81640625" style="146" bestFit="1" customWidth="1"/>
    <col min="2053" max="2053" width="13.453125" style="146" customWidth="1"/>
    <col min="2054" max="2054" width="16.453125" style="146" bestFit="1" customWidth="1"/>
    <col min="2055" max="2055" width="19.81640625" style="146" bestFit="1" customWidth="1"/>
    <col min="2056" max="2056" width="12.453125" style="146" customWidth="1"/>
    <col min="2057" max="2304" width="9.1796875" style="146"/>
    <col min="2305" max="2305" width="3.453125" style="146" customWidth="1"/>
    <col min="2306" max="2306" width="37.26953125" style="146" bestFit="1" customWidth="1"/>
    <col min="2307" max="2307" width="16.453125" style="146" bestFit="1" customWidth="1"/>
    <col min="2308" max="2308" width="19.81640625" style="146" bestFit="1" customWidth="1"/>
    <col min="2309" max="2309" width="13.453125" style="146" customWidth="1"/>
    <col min="2310" max="2310" width="16.453125" style="146" bestFit="1" customWidth="1"/>
    <col min="2311" max="2311" width="19.81640625" style="146" bestFit="1" customWidth="1"/>
    <col min="2312" max="2312" width="12.453125" style="146" customWidth="1"/>
    <col min="2313" max="2560" width="9.1796875" style="146"/>
    <col min="2561" max="2561" width="3.453125" style="146" customWidth="1"/>
    <col min="2562" max="2562" width="37.26953125" style="146" bestFit="1" customWidth="1"/>
    <col min="2563" max="2563" width="16.453125" style="146" bestFit="1" customWidth="1"/>
    <col min="2564" max="2564" width="19.81640625" style="146" bestFit="1" customWidth="1"/>
    <col min="2565" max="2565" width="13.453125" style="146" customWidth="1"/>
    <col min="2566" max="2566" width="16.453125" style="146" bestFit="1" customWidth="1"/>
    <col min="2567" max="2567" width="19.81640625" style="146" bestFit="1" customWidth="1"/>
    <col min="2568" max="2568" width="12.453125" style="146" customWidth="1"/>
    <col min="2569" max="2816" width="9.1796875" style="146"/>
    <col min="2817" max="2817" width="3.453125" style="146" customWidth="1"/>
    <col min="2818" max="2818" width="37.26953125" style="146" bestFit="1" customWidth="1"/>
    <col min="2819" max="2819" width="16.453125" style="146" bestFit="1" customWidth="1"/>
    <col min="2820" max="2820" width="19.81640625" style="146" bestFit="1" customWidth="1"/>
    <col min="2821" max="2821" width="13.453125" style="146" customWidth="1"/>
    <col min="2822" max="2822" width="16.453125" style="146" bestFit="1" customWidth="1"/>
    <col min="2823" max="2823" width="19.81640625" style="146" bestFit="1" customWidth="1"/>
    <col min="2824" max="2824" width="12.453125" style="146" customWidth="1"/>
    <col min="2825" max="3072" width="9.1796875" style="146"/>
    <col min="3073" max="3073" width="3.453125" style="146" customWidth="1"/>
    <col min="3074" max="3074" width="37.26953125" style="146" bestFit="1" customWidth="1"/>
    <col min="3075" max="3075" width="16.453125" style="146" bestFit="1" customWidth="1"/>
    <col min="3076" max="3076" width="19.81640625" style="146" bestFit="1" customWidth="1"/>
    <col min="3077" max="3077" width="13.453125" style="146" customWidth="1"/>
    <col min="3078" max="3078" width="16.453125" style="146" bestFit="1" customWidth="1"/>
    <col min="3079" max="3079" width="19.81640625" style="146" bestFit="1" customWidth="1"/>
    <col min="3080" max="3080" width="12.453125" style="146" customWidth="1"/>
    <col min="3081" max="3328" width="9.1796875" style="146"/>
    <col min="3329" max="3329" width="3.453125" style="146" customWidth="1"/>
    <col min="3330" max="3330" width="37.26953125" style="146" bestFit="1" customWidth="1"/>
    <col min="3331" max="3331" width="16.453125" style="146" bestFit="1" customWidth="1"/>
    <col min="3332" max="3332" width="19.81640625" style="146" bestFit="1" customWidth="1"/>
    <col min="3333" max="3333" width="13.453125" style="146" customWidth="1"/>
    <col min="3334" max="3334" width="16.453125" style="146" bestFit="1" customWidth="1"/>
    <col min="3335" max="3335" width="19.81640625" style="146" bestFit="1" customWidth="1"/>
    <col min="3336" max="3336" width="12.453125" style="146" customWidth="1"/>
    <col min="3337" max="3584" width="9.1796875" style="146"/>
    <col min="3585" max="3585" width="3.453125" style="146" customWidth="1"/>
    <col min="3586" max="3586" width="37.26953125" style="146" bestFit="1" customWidth="1"/>
    <col min="3587" max="3587" width="16.453125" style="146" bestFit="1" customWidth="1"/>
    <col min="3588" max="3588" width="19.81640625" style="146" bestFit="1" customWidth="1"/>
    <col min="3589" max="3589" width="13.453125" style="146" customWidth="1"/>
    <col min="3590" max="3590" width="16.453125" style="146" bestFit="1" customWidth="1"/>
    <col min="3591" max="3591" width="19.81640625" style="146" bestFit="1" customWidth="1"/>
    <col min="3592" max="3592" width="12.453125" style="146" customWidth="1"/>
    <col min="3593" max="3840" width="9.1796875" style="146"/>
    <col min="3841" max="3841" width="3.453125" style="146" customWidth="1"/>
    <col min="3842" max="3842" width="37.26953125" style="146" bestFit="1" customWidth="1"/>
    <col min="3843" max="3843" width="16.453125" style="146" bestFit="1" customWidth="1"/>
    <col min="3844" max="3844" width="19.81640625" style="146" bestFit="1" customWidth="1"/>
    <col min="3845" max="3845" width="13.453125" style="146" customWidth="1"/>
    <col min="3846" max="3846" width="16.453125" style="146" bestFit="1" customWidth="1"/>
    <col min="3847" max="3847" width="19.81640625" style="146" bestFit="1" customWidth="1"/>
    <col min="3848" max="3848" width="12.453125" style="146" customWidth="1"/>
    <col min="3849" max="4096" width="9.1796875" style="146"/>
    <col min="4097" max="4097" width="3.453125" style="146" customWidth="1"/>
    <col min="4098" max="4098" width="37.26953125" style="146" bestFit="1" customWidth="1"/>
    <col min="4099" max="4099" width="16.453125" style="146" bestFit="1" customWidth="1"/>
    <col min="4100" max="4100" width="19.81640625" style="146" bestFit="1" customWidth="1"/>
    <col min="4101" max="4101" width="13.453125" style="146" customWidth="1"/>
    <col min="4102" max="4102" width="16.453125" style="146" bestFit="1" customWidth="1"/>
    <col min="4103" max="4103" width="19.81640625" style="146" bestFit="1" customWidth="1"/>
    <col min="4104" max="4104" width="12.453125" style="146" customWidth="1"/>
    <col min="4105" max="4352" width="9.1796875" style="146"/>
    <col min="4353" max="4353" width="3.453125" style="146" customWidth="1"/>
    <col min="4354" max="4354" width="37.26953125" style="146" bestFit="1" customWidth="1"/>
    <col min="4355" max="4355" width="16.453125" style="146" bestFit="1" customWidth="1"/>
    <col min="4356" max="4356" width="19.81640625" style="146" bestFit="1" customWidth="1"/>
    <col min="4357" max="4357" width="13.453125" style="146" customWidth="1"/>
    <col min="4358" max="4358" width="16.453125" style="146" bestFit="1" customWidth="1"/>
    <col min="4359" max="4359" width="19.81640625" style="146" bestFit="1" customWidth="1"/>
    <col min="4360" max="4360" width="12.453125" style="146" customWidth="1"/>
    <col min="4361" max="4608" width="9.1796875" style="146"/>
    <col min="4609" max="4609" width="3.453125" style="146" customWidth="1"/>
    <col min="4610" max="4610" width="37.26953125" style="146" bestFit="1" customWidth="1"/>
    <col min="4611" max="4611" width="16.453125" style="146" bestFit="1" customWidth="1"/>
    <col min="4612" max="4612" width="19.81640625" style="146" bestFit="1" customWidth="1"/>
    <col min="4613" max="4613" width="13.453125" style="146" customWidth="1"/>
    <col min="4614" max="4614" width="16.453125" style="146" bestFit="1" customWidth="1"/>
    <col min="4615" max="4615" width="19.81640625" style="146" bestFit="1" customWidth="1"/>
    <col min="4616" max="4616" width="12.453125" style="146" customWidth="1"/>
    <col min="4617" max="4864" width="9.1796875" style="146"/>
    <col min="4865" max="4865" width="3.453125" style="146" customWidth="1"/>
    <col min="4866" max="4866" width="37.26953125" style="146" bestFit="1" customWidth="1"/>
    <col min="4867" max="4867" width="16.453125" style="146" bestFit="1" customWidth="1"/>
    <col min="4868" max="4868" width="19.81640625" style="146" bestFit="1" customWidth="1"/>
    <col min="4869" max="4869" width="13.453125" style="146" customWidth="1"/>
    <col min="4870" max="4870" width="16.453125" style="146" bestFit="1" customWidth="1"/>
    <col min="4871" max="4871" width="19.81640625" style="146" bestFit="1" customWidth="1"/>
    <col min="4872" max="4872" width="12.453125" style="146" customWidth="1"/>
    <col min="4873" max="5120" width="9.1796875" style="146"/>
    <col min="5121" max="5121" width="3.453125" style="146" customWidth="1"/>
    <col min="5122" max="5122" width="37.26953125" style="146" bestFit="1" customWidth="1"/>
    <col min="5123" max="5123" width="16.453125" style="146" bestFit="1" customWidth="1"/>
    <col min="5124" max="5124" width="19.81640625" style="146" bestFit="1" customWidth="1"/>
    <col min="5125" max="5125" width="13.453125" style="146" customWidth="1"/>
    <col min="5126" max="5126" width="16.453125" style="146" bestFit="1" customWidth="1"/>
    <col min="5127" max="5127" width="19.81640625" style="146" bestFit="1" customWidth="1"/>
    <col min="5128" max="5128" width="12.453125" style="146" customWidth="1"/>
    <col min="5129" max="5376" width="9.1796875" style="146"/>
    <col min="5377" max="5377" width="3.453125" style="146" customWidth="1"/>
    <col min="5378" max="5378" width="37.26953125" style="146" bestFit="1" customWidth="1"/>
    <col min="5379" max="5379" width="16.453125" style="146" bestFit="1" customWidth="1"/>
    <col min="5380" max="5380" width="19.81640625" style="146" bestFit="1" customWidth="1"/>
    <col min="5381" max="5381" width="13.453125" style="146" customWidth="1"/>
    <col min="5382" max="5382" width="16.453125" style="146" bestFit="1" customWidth="1"/>
    <col min="5383" max="5383" width="19.81640625" style="146" bestFit="1" customWidth="1"/>
    <col min="5384" max="5384" width="12.453125" style="146" customWidth="1"/>
    <col min="5385" max="5632" width="9.1796875" style="146"/>
    <col min="5633" max="5633" width="3.453125" style="146" customWidth="1"/>
    <col min="5634" max="5634" width="37.26953125" style="146" bestFit="1" customWidth="1"/>
    <col min="5635" max="5635" width="16.453125" style="146" bestFit="1" customWidth="1"/>
    <col min="5636" max="5636" width="19.81640625" style="146" bestFit="1" customWidth="1"/>
    <col min="5637" max="5637" width="13.453125" style="146" customWidth="1"/>
    <col min="5638" max="5638" width="16.453125" style="146" bestFit="1" customWidth="1"/>
    <col min="5639" max="5639" width="19.81640625" style="146" bestFit="1" customWidth="1"/>
    <col min="5640" max="5640" width="12.453125" style="146" customWidth="1"/>
    <col min="5641" max="5888" width="9.1796875" style="146"/>
    <col min="5889" max="5889" width="3.453125" style="146" customWidth="1"/>
    <col min="5890" max="5890" width="37.26953125" style="146" bestFit="1" customWidth="1"/>
    <col min="5891" max="5891" width="16.453125" style="146" bestFit="1" customWidth="1"/>
    <col min="5892" max="5892" width="19.81640625" style="146" bestFit="1" customWidth="1"/>
    <col min="5893" max="5893" width="13.453125" style="146" customWidth="1"/>
    <col min="5894" max="5894" width="16.453125" style="146" bestFit="1" customWidth="1"/>
    <col min="5895" max="5895" width="19.81640625" style="146" bestFit="1" customWidth="1"/>
    <col min="5896" max="5896" width="12.453125" style="146" customWidth="1"/>
    <col min="5897" max="6144" width="9.1796875" style="146"/>
    <col min="6145" max="6145" width="3.453125" style="146" customWidth="1"/>
    <col min="6146" max="6146" width="37.26953125" style="146" bestFit="1" customWidth="1"/>
    <col min="6147" max="6147" width="16.453125" style="146" bestFit="1" customWidth="1"/>
    <col min="6148" max="6148" width="19.81640625" style="146" bestFit="1" customWidth="1"/>
    <col min="6149" max="6149" width="13.453125" style="146" customWidth="1"/>
    <col min="6150" max="6150" width="16.453125" style="146" bestFit="1" customWidth="1"/>
    <col min="6151" max="6151" width="19.81640625" style="146" bestFit="1" customWidth="1"/>
    <col min="6152" max="6152" width="12.453125" style="146" customWidth="1"/>
    <col min="6153" max="6400" width="9.1796875" style="146"/>
    <col min="6401" max="6401" width="3.453125" style="146" customWidth="1"/>
    <col min="6402" max="6402" width="37.26953125" style="146" bestFit="1" customWidth="1"/>
    <col min="6403" max="6403" width="16.453125" style="146" bestFit="1" customWidth="1"/>
    <col min="6404" max="6404" width="19.81640625" style="146" bestFit="1" customWidth="1"/>
    <col min="6405" max="6405" width="13.453125" style="146" customWidth="1"/>
    <col min="6406" max="6406" width="16.453125" style="146" bestFit="1" customWidth="1"/>
    <col min="6407" max="6407" width="19.81640625" style="146" bestFit="1" customWidth="1"/>
    <col min="6408" max="6408" width="12.453125" style="146" customWidth="1"/>
    <col min="6409" max="6656" width="9.1796875" style="146"/>
    <col min="6657" max="6657" width="3.453125" style="146" customWidth="1"/>
    <col min="6658" max="6658" width="37.26953125" style="146" bestFit="1" customWidth="1"/>
    <col min="6659" max="6659" width="16.453125" style="146" bestFit="1" customWidth="1"/>
    <col min="6660" max="6660" width="19.81640625" style="146" bestFit="1" customWidth="1"/>
    <col min="6661" max="6661" width="13.453125" style="146" customWidth="1"/>
    <col min="6662" max="6662" width="16.453125" style="146" bestFit="1" customWidth="1"/>
    <col min="6663" max="6663" width="19.81640625" style="146" bestFit="1" customWidth="1"/>
    <col min="6664" max="6664" width="12.453125" style="146" customWidth="1"/>
    <col min="6665" max="6912" width="9.1796875" style="146"/>
    <col min="6913" max="6913" width="3.453125" style="146" customWidth="1"/>
    <col min="6914" max="6914" width="37.26953125" style="146" bestFit="1" customWidth="1"/>
    <col min="6915" max="6915" width="16.453125" style="146" bestFit="1" customWidth="1"/>
    <col min="6916" max="6916" width="19.81640625" style="146" bestFit="1" customWidth="1"/>
    <col min="6917" max="6917" width="13.453125" style="146" customWidth="1"/>
    <col min="6918" max="6918" width="16.453125" style="146" bestFit="1" customWidth="1"/>
    <col min="6919" max="6919" width="19.81640625" style="146" bestFit="1" customWidth="1"/>
    <col min="6920" max="6920" width="12.453125" style="146" customWidth="1"/>
    <col min="6921" max="7168" width="9.1796875" style="146"/>
    <col min="7169" max="7169" width="3.453125" style="146" customWidth="1"/>
    <col min="7170" max="7170" width="37.26953125" style="146" bestFit="1" customWidth="1"/>
    <col min="7171" max="7171" width="16.453125" style="146" bestFit="1" customWidth="1"/>
    <col min="7172" max="7172" width="19.81640625" style="146" bestFit="1" customWidth="1"/>
    <col min="7173" max="7173" width="13.453125" style="146" customWidth="1"/>
    <col min="7174" max="7174" width="16.453125" style="146" bestFit="1" customWidth="1"/>
    <col min="7175" max="7175" width="19.81640625" style="146" bestFit="1" customWidth="1"/>
    <col min="7176" max="7176" width="12.453125" style="146" customWidth="1"/>
    <col min="7177" max="7424" width="9.1796875" style="146"/>
    <col min="7425" max="7425" width="3.453125" style="146" customWidth="1"/>
    <col min="7426" max="7426" width="37.26953125" style="146" bestFit="1" customWidth="1"/>
    <col min="7427" max="7427" width="16.453125" style="146" bestFit="1" customWidth="1"/>
    <col min="7428" max="7428" width="19.81640625" style="146" bestFit="1" customWidth="1"/>
    <col min="7429" max="7429" width="13.453125" style="146" customWidth="1"/>
    <col min="7430" max="7430" width="16.453125" style="146" bestFit="1" customWidth="1"/>
    <col min="7431" max="7431" width="19.81640625" style="146" bestFit="1" customWidth="1"/>
    <col min="7432" max="7432" width="12.453125" style="146" customWidth="1"/>
    <col min="7433" max="7680" width="9.1796875" style="146"/>
    <col min="7681" max="7681" width="3.453125" style="146" customWidth="1"/>
    <col min="7682" max="7682" width="37.26953125" style="146" bestFit="1" customWidth="1"/>
    <col min="7683" max="7683" width="16.453125" style="146" bestFit="1" customWidth="1"/>
    <col min="7684" max="7684" width="19.81640625" style="146" bestFit="1" customWidth="1"/>
    <col min="7685" max="7685" width="13.453125" style="146" customWidth="1"/>
    <col min="7686" max="7686" width="16.453125" style="146" bestFit="1" customWidth="1"/>
    <col min="7687" max="7687" width="19.81640625" style="146" bestFit="1" customWidth="1"/>
    <col min="7688" max="7688" width="12.453125" style="146" customWidth="1"/>
    <col min="7689" max="7936" width="9.1796875" style="146"/>
    <col min="7937" max="7937" width="3.453125" style="146" customWidth="1"/>
    <col min="7938" max="7938" width="37.26953125" style="146" bestFit="1" customWidth="1"/>
    <col min="7939" max="7939" width="16.453125" style="146" bestFit="1" customWidth="1"/>
    <col min="7940" max="7940" width="19.81640625" style="146" bestFit="1" customWidth="1"/>
    <col min="7941" max="7941" width="13.453125" style="146" customWidth="1"/>
    <col min="7942" max="7942" width="16.453125" style="146" bestFit="1" customWidth="1"/>
    <col min="7943" max="7943" width="19.81640625" style="146" bestFit="1" customWidth="1"/>
    <col min="7944" max="7944" width="12.453125" style="146" customWidth="1"/>
    <col min="7945" max="8192" width="9.1796875" style="146"/>
    <col min="8193" max="8193" width="3.453125" style="146" customWidth="1"/>
    <col min="8194" max="8194" width="37.26953125" style="146" bestFit="1" customWidth="1"/>
    <col min="8195" max="8195" width="16.453125" style="146" bestFit="1" customWidth="1"/>
    <col min="8196" max="8196" width="19.81640625" style="146" bestFit="1" customWidth="1"/>
    <col min="8197" max="8197" width="13.453125" style="146" customWidth="1"/>
    <col min="8198" max="8198" width="16.453125" style="146" bestFit="1" customWidth="1"/>
    <col min="8199" max="8199" width="19.81640625" style="146" bestFit="1" customWidth="1"/>
    <col min="8200" max="8200" width="12.453125" style="146" customWidth="1"/>
    <col min="8201" max="8448" width="9.1796875" style="146"/>
    <col min="8449" max="8449" width="3.453125" style="146" customWidth="1"/>
    <col min="8450" max="8450" width="37.26953125" style="146" bestFit="1" customWidth="1"/>
    <col min="8451" max="8451" width="16.453125" style="146" bestFit="1" customWidth="1"/>
    <col min="8452" max="8452" width="19.81640625" style="146" bestFit="1" customWidth="1"/>
    <col min="8453" max="8453" width="13.453125" style="146" customWidth="1"/>
    <col min="8454" max="8454" width="16.453125" style="146" bestFit="1" customWidth="1"/>
    <col min="8455" max="8455" width="19.81640625" style="146" bestFit="1" customWidth="1"/>
    <col min="8456" max="8456" width="12.453125" style="146" customWidth="1"/>
    <col min="8457" max="8704" width="9.1796875" style="146"/>
    <col min="8705" max="8705" width="3.453125" style="146" customWidth="1"/>
    <col min="8706" max="8706" width="37.26953125" style="146" bestFit="1" customWidth="1"/>
    <col min="8707" max="8707" width="16.453125" style="146" bestFit="1" customWidth="1"/>
    <col min="8708" max="8708" width="19.81640625" style="146" bestFit="1" customWidth="1"/>
    <col min="8709" max="8709" width="13.453125" style="146" customWidth="1"/>
    <col min="8710" max="8710" width="16.453125" style="146" bestFit="1" customWidth="1"/>
    <col min="8711" max="8711" width="19.81640625" style="146" bestFit="1" customWidth="1"/>
    <col min="8712" max="8712" width="12.453125" style="146" customWidth="1"/>
    <col min="8713" max="8960" width="9.1796875" style="146"/>
    <col min="8961" max="8961" width="3.453125" style="146" customWidth="1"/>
    <col min="8962" max="8962" width="37.26953125" style="146" bestFit="1" customWidth="1"/>
    <col min="8963" max="8963" width="16.453125" style="146" bestFit="1" customWidth="1"/>
    <col min="8964" max="8964" width="19.81640625" style="146" bestFit="1" customWidth="1"/>
    <col min="8965" max="8965" width="13.453125" style="146" customWidth="1"/>
    <col min="8966" max="8966" width="16.453125" style="146" bestFit="1" customWidth="1"/>
    <col min="8967" max="8967" width="19.81640625" style="146" bestFit="1" customWidth="1"/>
    <col min="8968" max="8968" width="12.453125" style="146" customWidth="1"/>
    <col min="8969" max="9216" width="9.1796875" style="146"/>
    <col min="9217" max="9217" width="3.453125" style="146" customWidth="1"/>
    <col min="9218" max="9218" width="37.26953125" style="146" bestFit="1" customWidth="1"/>
    <col min="9219" max="9219" width="16.453125" style="146" bestFit="1" customWidth="1"/>
    <col min="9220" max="9220" width="19.81640625" style="146" bestFit="1" customWidth="1"/>
    <col min="9221" max="9221" width="13.453125" style="146" customWidth="1"/>
    <col min="9222" max="9222" width="16.453125" style="146" bestFit="1" customWidth="1"/>
    <col min="9223" max="9223" width="19.81640625" style="146" bestFit="1" customWidth="1"/>
    <col min="9224" max="9224" width="12.453125" style="146" customWidth="1"/>
    <col min="9225" max="9472" width="9.1796875" style="146"/>
    <col min="9473" max="9473" width="3.453125" style="146" customWidth="1"/>
    <col min="9474" max="9474" width="37.26953125" style="146" bestFit="1" customWidth="1"/>
    <col min="9475" max="9475" width="16.453125" style="146" bestFit="1" customWidth="1"/>
    <col min="9476" max="9476" width="19.81640625" style="146" bestFit="1" customWidth="1"/>
    <col min="9477" max="9477" width="13.453125" style="146" customWidth="1"/>
    <col min="9478" max="9478" width="16.453125" style="146" bestFit="1" customWidth="1"/>
    <col min="9479" max="9479" width="19.81640625" style="146" bestFit="1" customWidth="1"/>
    <col min="9480" max="9480" width="12.453125" style="146" customWidth="1"/>
    <col min="9481" max="9728" width="9.1796875" style="146"/>
    <col min="9729" max="9729" width="3.453125" style="146" customWidth="1"/>
    <col min="9730" max="9730" width="37.26953125" style="146" bestFit="1" customWidth="1"/>
    <col min="9731" max="9731" width="16.453125" style="146" bestFit="1" customWidth="1"/>
    <col min="9732" max="9732" width="19.81640625" style="146" bestFit="1" customWidth="1"/>
    <col min="9733" max="9733" width="13.453125" style="146" customWidth="1"/>
    <col min="9734" max="9734" width="16.453125" style="146" bestFit="1" customWidth="1"/>
    <col min="9735" max="9735" width="19.81640625" style="146" bestFit="1" customWidth="1"/>
    <col min="9736" max="9736" width="12.453125" style="146" customWidth="1"/>
    <col min="9737" max="9984" width="9.1796875" style="146"/>
    <col min="9985" max="9985" width="3.453125" style="146" customWidth="1"/>
    <col min="9986" max="9986" width="37.26953125" style="146" bestFit="1" customWidth="1"/>
    <col min="9987" max="9987" width="16.453125" style="146" bestFit="1" customWidth="1"/>
    <col min="9988" max="9988" width="19.81640625" style="146" bestFit="1" customWidth="1"/>
    <col min="9989" max="9989" width="13.453125" style="146" customWidth="1"/>
    <col min="9990" max="9990" width="16.453125" style="146" bestFit="1" customWidth="1"/>
    <col min="9991" max="9991" width="19.81640625" style="146" bestFit="1" customWidth="1"/>
    <col min="9992" max="9992" width="12.453125" style="146" customWidth="1"/>
    <col min="9993" max="10240" width="9.1796875" style="146"/>
    <col min="10241" max="10241" width="3.453125" style="146" customWidth="1"/>
    <col min="10242" max="10242" width="37.26953125" style="146" bestFit="1" customWidth="1"/>
    <col min="10243" max="10243" width="16.453125" style="146" bestFit="1" customWidth="1"/>
    <col min="10244" max="10244" width="19.81640625" style="146" bestFit="1" customWidth="1"/>
    <col min="10245" max="10245" width="13.453125" style="146" customWidth="1"/>
    <col min="10246" max="10246" width="16.453125" style="146" bestFit="1" customWidth="1"/>
    <col min="10247" max="10247" width="19.81640625" style="146" bestFit="1" customWidth="1"/>
    <col min="10248" max="10248" width="12.453125" style="146" customWidth="1"/>
    <col min="10249" max="10496" width="9.1796875" style="146"/>
    <col min="10497" max="10497" width="3.453125" style="146" customWidth="1"/>
    <col min="10498" max="10498" width="37.26953125" style="146" bestFit="1" customWidth="1"/>
    <col min="10499" max="10499" width="16.453125" style="146" bestFit="1" customWidth="1"/>
    <col min="10500" max="10500" width="19.81640625" style="146" bestFit="1" customWidth="1"/>
    <col min="10501" max="10501" width="13.453125" style="146" customWidth="1"/>
    <col min="10502" max="10502" width="16.453125" style="146" bestFit="1" customWidth="1"/>
    <col min="10503" max="10503" width="19.81640625" style="146" bestFit="1" customWidth="1"/>
    <col min="10504" max="10504" width="12.453125" style="146" customWidth="1"/>
    <col min="10505" max="10752" width="9.1796875" style="146"/>
    <col min="10753" max="10753" width="3.453125" style="146" customWidth="1"/>
    <col min="10754" max="10754" width="37.26953125" style="146" bestFit="1" customWidth="1"/>
    <col min="10755" max="10755" width="16.453125" style="146" bestFit="1" customWidth="1"/>
    <col min="10756" max="10756" width="19.81640625" style="146" bestFit="1" customWidth="1"/>
    <col min="10757" max="10757" width="13.453125" style="146" customWidth="1"/>
    <col min="10758" max="10758" width="16.453125" style="146" bestFit="1" customWidth="1"/>
    <col min="10759" max="10759" width="19.81640625" style="146" bestFit="1" customWidth="1"/>
    <col min="10760" max="10760" width="12.453125" style="146" customWidth="1"/>
    <col min="10761" max="11008" width="9.1796875" style="146"/>
    <col min="11009" max="11009" width="3.453125" style="146" customWidth="1"/>
    <col min="11010" max="11010" width="37.26953125" style="146" bestFit="1" customWidth="1"/>
    <col min="11011" max="11011" width="16.453125" style="146" bestFit="1" customWidth="1"/>
    <col min="11012" max="11012" width="19.81640625" style="146" bestFit="1" customWidth="1"/>
    <col min="11013" max="11013" width="13.453125" style="146" customWidth="1"/>
    <col min="11014" max="11014" width="16.453125" style="146" bestFit="1" customWidth="1"/>
    <col min="11015" max="11015" width="19.81640625" style="146" bestFit="1" customWidth="1"/>
    <col min="11016" max="11016" width="12.453125" style="146" customWidth="1"/>
    <col min="11017" max="11264" width="9.1796875" style="146"/>
    <col min="11265" max="11265" width="3.453125" style="146" customWidth="1"/>
    <col min="11266" max="11266" width="37.26953125" style="146" bestFit="1" customWidth="1"/>
    <col min="11267" max="11267" width="16.453125" style="146" bestFit="1" customWidth="1"/>
    <col min="11268" max="11268" width="19.81640625" style="146" bestFit="1" customWidth="1"/>
    <col min="11269" max="11269" width="13.453125" style="146" customWidth="1"/>
    <col min="11270" max="11270" width="16.453125" style="146" bestFit="1" customWidth="1"/>
    <col min="11271" max="11271" width="19.81640625" style="146" bestFit="1" customWidth="1"/>
    <col min="11272" max="11272" width="12.453125" style="146" customWidth="1"/>
    <col min="11273" max="11520" width="9.1796875" style="146"/>
    <col min="11521" max="11521" width="3.453125" style="146" customWidth="1"/>
    <col min="11522" max="11522" width="37.26953125" style="146" bestFit="1" customWidth="1"/>
    <col min="11523" max="11523" width="16.453125" style="146" bestFit="1" customWidth="1"/>
    <col min="11524" max="11524" width="19.81640625" style="146" bestFit="1" customWidth="1"/>
    <col min="11525" max="11525" width="13.453125" style="146" customWidth="1"/>
    <col min="11526" max="11526" width="16.453125" style="146" bestFit="1" customWidth="1"/>
    <col min="11527" max="11527" width="19.81640625" style="146" bestFit="1" customWidth="1"/>
    <col min="11528" max="11528" width="12.453125" style="146" customWidth="1"/>
    <col min="11529" max="11776" width="9.1796875" style="146"/>
    <col min="11777" max="11777" width="3.453125" style="146" customWidth="1"/>
    <col min="11778" max="11778" width="37.26953125" style="146" bestFit="1" customWidth="1"/>
    <col min="11779" max="11779" width="16.453125" style="146" bestFit="1" customWidth="1"/>
    <col min="11780" max="11780" width="19.81640625" style="146" bestFit="1" customWidth="1"/>
    <col min="11781" max="11781" width="13.453125" style="146" customWidth="1"/>
    <col min="11782" max="11782" width="16.453125" style="146" bestFit="1" customWidth="1"/>
    <col min="11783" max="11783" width="19.81640625" style="146" bestFit="1" customWidth="1"/>
    <col min="11784" max="11784" width="12.453125" style="146" customWidth="1"/>
    <col min="11785" max="12032" width="9.1796875" style="146"/>
    <col min="12033" max="12033" width="3.453125" style="146" customWidth="1"/>
    <col min="12034" max="12034" width="37.26953125" style="146" bestFit="1" customWidth="1"/>
    <col min="12035" max="12035" width="16.453125" style="146" bestFit="1" customWidth="1"/>
    <col min="12036" max="12036" width="19.81640625" style="146" bestFit="1" customWidth="1"/>
    <col min="12037" max="12037" width="13.453125" style="146" customWidth="1"/>
    <col min="12038" max="12038" width="16.453125" style="146" bestFit="1" customWidth="1"/>
    <col min="12039" max="12039" width="19.81640625" style="146" bestFit="1" customWidth="1"/>
    <col min="12040" max="12040" width="12.453125" style="146" customWidth="1"/>
    <col min="12041" max="12288" width="9.1796875" style="146"/>
    <col min="12289" max="12289" width="3.453125" style="146" customWidth="1"/>
    <col min="12290" max="12290" width="37.26953125" style="146" bestFit="1" customWidth="1"/>
    <col min="12291" max="12291" width="16.453125" style="146" bestFit="1" customWidth="1"/>
    <col min="12292" max="12292" width="19.81640625" style="146" bestFit="1" customWidth="1"/>
    <col min="12293" max="12293" width="13.453125" style="146" customWidth="1"/>
    <col min="12294" max="12294" width="16.453125" style="146" bestFit="1" customWidth="1"/>
    <col min="12295" max="12295" width="19.81640625" style="146" bestFit="1" customWidth="1"/>
    <col min="12296" max="12296" width="12.453125" style="146" customWidth="1"/>
    <col min="12297" max="12544" width="9.1796875" style="146"/>
    <col min="12545" max="12545" width="3.453125" style="146" customWidth="1"/>
    <col min="12546" max="12546" width="37.26953125" style="146" bestFit="1" customWidth="1"/>
    <col min="12547" max="12547" width="16.453125" style="146" bestFit="1" customWidth="1"/>
    <col min="12548" max="12548" width="19.81640625" style="146" bestFit="1" customWidth="1"/>
    <col min="12549" max="12549" width="13.453125" style="146" customWidth="1"/>
    <col min="12550" max="12550" width="16.453125" style="146" bestFit="1" customWidth="1"/>
    <col min="12551" max="12551" width="19.81640625" style="146" bestFit="1" customWidth="1"/>
    <col min="12552" max="12552" width="12.453125" style="146" customWidth="1"/>
    <col min="12553" max="12800" width="9.1796875" style="146"/>
    <col min="12801" max="12801" width="3.453125" style="146" customWidth="1"/>
    <col min="12802" max="12802" width="37.26953125" style="146" bestFit="1" customWidth="1"/>
    <col min="12803" max="12803" width="16.453125" style="146" bestFit="1" customWidth="1"/>
    <col min="12804" max="12804" width="19.81640625" style="146" bestFit="1" customWidth="1"/>
    <col min="12805" max="12805" width="13.453125" style="146" customWidth="1"/>
    <col min="12806" max="12806" width="16.453125" style="146" bestFit="1" customWidth="1"/>
    <col min="12807" max="12807" width="19.81640625" style="146" bestFit="1" customWidth="1"/>
    <col min="12808" max="12808" width="12.453125" style="146" customWidth="1"/>
    <col min="12809" max="13056" width="9.1796875" style="146"/>
    <col min="13057" max="13057" width="3.453125" style="146" customWidth="1"/>
    <col min="13058" max="13058" width="37.26953125" style="146" bestFit="1" customWidth="1"/>
    <col min="13059" max="13059" width="16.453125" style="146" bestFit="1" customWidth="1"/>
    <col min="13060" max="13060" width="19.81640625" style="146" bestFit="1" customWidth="1"/>
    <col min="13061" max="13061" width="13.453125" style="146" customWidth="1"/>
    <col min="13062" max="13062" width="16.453125" style="146" bestFit="1" customWidth="1"/>
    <col min="13063" max="13063" width="19.81640625" style="146" bestFit="1" customWidth="1"/>
    <col min="13064" max="13064" width="12.453125" style="146" customWidth="1"/>
    <col min="13065" max="13312" width="9.1796875" style="146"/>
    <col min="13313" max="13313" width="3.453125" style="146" customWidth="1"/>
    <col min="13314" max="13314" width="37.26953125" style="146" bestFit="1" customWidth="1"/>
    <col min="13315" max="13315" width="16.453125" style="146" bestFit="1" customWidth="1"/>
    <col min="13316" max="13316" width="19.81640625" style="146" bestFit="1" customWidth="1"/>
    <col min="13317" max="13317" width="13.453125" style="146" customWidth="1"/>
    <col min="13318" max="13318" width="16.453125" style="146" bestFit="1" customWidth="1"/>
    <col min="13319" max="13319" width="19.81640625" style="146" bestFit="1" customWidth="1"/>
    <col min="13320" max="13320" width="12.453125" style="146" customWidth="1"/>
    <col min="13321" max="13568" width="9.1796875" style="146"/>
    <col min="13569" max="13569" width="3.453125" style="146" customWidth="1"/>
    <col min="13570" max="13570" width="37.26953125" style="146" bestFit="1" customWidth="1"/>
    <col min="13571" max="13571" width="16.453125" style="146" bestFit="1" customWidth="1"/>
    <col min="13572" max="13572" width="19.81640625" style="146" bestFit="1" customWidth="1"/>
    <col min="13573" max="13573" width="13.453125" style="146" customWidth="1"/>
    <col min="13574" max="13574" width="16.453125" style="146" bestFit="1" customWidth="1"/>
    <col min="13575" max="13575" width="19.81640625" style="146" bestFit="1" customWidth="1"/>
    <col min="13576" max="13576" width="12.453125" style="146" customWidth="1"/>
    <col min="13577" max="13824" width="9.1796875" style="146"/>
    <col min="13825" max="13825" width="3.453125" style="146" customWidth="1"/>
    <col min="13826" max="13826" width="37.26953125" style="146" bestFit="1" customWidth="1"/>
    <col min="13827" max="13827" width="16.453125" style="146" bestFit="1" customWidth="1"/>
    <col min="13828" max="13828" width="19.81640625" style="146" bestFit="1" customWidth="1"/>
    <col min="13829" max="13829" width="13.453125" style="146" customWidth="1"/>
    <col min="13830" max="13830" width="16.453125" style="146" bestFit="1" customWidth="1"/>
    <col min="13831" max="13831" width="19.81640625" style="146" bestFit="1" customWidth="1"/>
    <col min="13832" max="13832" width="12.453125" style="146" customWidth="1"/>
    <col min="13833" max="14080" width="9.1796875" style="146"/>
    <col min="14081" max="14081" width="3.453125" style="146" customWidth="1"/>
    <col min="14082" max="14082" width="37.26953125" style="146" bestFit="1" customWidth="1"/>
    <col min="14083" max="14083" width="16.453125" style="146" bestFit="1" customWidth="1"/>
    <col min="14084" max="14084" width="19.81640625" style="146" bestFit="1" customWidth="1"/>
    <col min="14085" max="14085" width="13.453125" style="146" customWidth="1"/>
    <col min="14086" max="14086" width="16.453125" style="146" bestFit="1" customWidth="1"/>
    <col min="14087" max="14087" width="19.81640625" style="146" bestFit="1" customWidth="1"/>
    <col min="14088" max="14088" width="12.453125" style="146" customWidth="1"/>
    <col min="14089" max="14336" width="9.1796875" style="146"/>
    <col min="14337" max="14337" width="3.453125" style="146" customWidth="1"/>
    <col min="14338" max="14338" width="37.26953125" style="146" bestFit="1" customWidth="1"/>
    <col min="14339" max="14339" width="16.453125" style="146" bestFit="1" customWidth="1"/>
    <col min="14340" max="14340" width="19.81640625" style="146" bestFit="1" customWidth="1"/>
    <col min="14341" max="14341" width="13.453125" style="146" customWidth="1"/>
    <col min="14342" max="14342" width="16.453125" style="146" bestFit="1" customWidth="1"/>
    <col min="14343" max="14343" width="19.81640625" style="146" bestFit="1" customWidth="1"/>
    <col min="14344" max="14344" width="12.453125" style="146" customWidth="1"/>
    <col min="14345" max="14592" width="9.1796875" style="146"/>
    <col min="14593" max="14593" width="3.453125" style="146" customWidth="1"/>
    <col min="14594" max="14594" width="37.26953125" style="146" bestFit="1" customWidth="1"/>
    <col min="14595" max="14595" width="16.453125" style="146" bestFit="1" customWidth="1"/>
    <col min="14596" max="14596" width="19.81640625" style="146" bestFit="1" customWidth="1"/>
    <col min="14597" max="14597" width="13.453125" style="146" customWidth="1"/>
    <col min="14598" max="14598" width="16.453125" style="146" bestFit="1" customWidth="1"/>
    <col min="14599" max="14599" width="19.81640625" style="146" bestFit="1" customWidth="1"/>
    <col min="14600" max="14600" width="12.453125" style="146" customWidth="1"/>
    <col min="14601" max="14848" width="9.1796875" style="146"/>
    <col min="14849" max="14849" width="3.453125" style="146" customWidth="1"/>
    <col min="14850" max="14850" width="37.26953125" style="146" bestFit="1" customWidth="1"/>
    <col min="14851" max="14851" width="16.453125" style="146" bestFit="1" customWidth="1"/>
    <col min="14852" max="14852" width="19.81640625" style="146" bestFit="1" customWidth="1"/>
    <col min="14853" max="14853" width="13.453125" style="146" customWidth="1"/>
    <col min="14854" max="14854" width="16.453125" style="146" bestFit="1" customWidth="1"/>
    <col min="14855" max="14855" width="19.81640625" style="146" bestFit="1" customWidth="1"/>
    <col min="14856" max="14856" width="12.453125" style="146" customWidth="1"/>
    <col min="14857" max="15104" width="9.1796875" style="146"/>
    <col min="15105" max="15105" width="3.453125" style="146" customWidth="1"/>
    <col min="15106" max="15106" width="37.26953125" style="146" bestFit="1" customWidth="1"/>
    <col min="15107" max="15107" width="16.453125" style="146" bestFit="1" customWidth="1"/>
    <col min="15108" max="15108" width="19.81640625" style="146" bestFit="1" customWidth="1"/>
    <col min="15109" max="15109" width="13.453125" style="146" customWidth="1"/>
    <col min="15110" max="15110" width="16.453125" style="146" bestFit="1" customWidth="1"/>
    <col min="15111" max="15111" width="19.81640625" style="146" bestFit="1" customWidth="1"/>
    <col min="15112" max="15112" width="12.453125" style="146" customWidth="1"/>
    <col min="15113" max="15360" width="9.1796875" style="146"/>
    <col min="15361" max="15361" width="3.453125" style="146" customWidth="1"/>
    <col min="15362" max="15362" width="37.26953125" style="146" bestFit="1" customWidth="1"/>
    <col min="15363" max="15363" width="16.453125" style="146" bestFit="1" customWidth="1"/>
    <col min="15364" max="15364" width="19.81640625" style="146" bestFit="1" customWidth="1"/>
    <col min="15365" max="15365" width="13.453125" style="146" customWidth="1"/>
    <col min="15366" max="15366" width="16.453125" style="146" bestFit="1" customWidth="1"/>
    <col min="15367" max="15367" width="19.81640625" style="146" bestFit="1" customWidth="1"/>
    <col min="15368" max="15368" width="12.453125" style="146" customWidth="1"/>
    <col min="15369" max="15616" width="9.1796875" style="146"/>
    <col min="15617" max="15617" width="3.453125" style="146" customWidth="1"/>
    <col min="15618" max="15618" width="37.26953125" style="146" bestFit="1" customWidth="1"/>
    <col min="15619" max="15619" width="16.453125" style="146" bestFit="1" customWidth="1"/>
    <col min="15620" max="15620" width="19.81640625" style="146" bestFit="1" customWidth="1"/>
    <col min="15621" max="15621" width="13.453125" style="146" customWidth="1"/>
    <col min="15622" max="15622" width="16.453125" style="146" bestFit="1" customWidth="1"/>
    <col min="15623" max="15623" width="19.81640625" style="146" bestFit="1" customWidth="1"/>
    <col min="15624" max="15624" width="12.453125" style="146" customWidth="1"/>
    <col min="15625" max="15872" width="9.1796875" style="146"/>
    <col min="15873" max="15873" width="3.453125" style="146" customWidth="1"/>
    <col min="15874" max="15874" width="37.26953125" style="146" bestFit="1" customWidth="1"/>
    <col min="15875" max="15875" width="16.453125" style="146" bestFit="1" customWidth="1"/>
    <col min="15876" max="15876" width="19.81640625" style="146" bestFit="1" customWidth="1"/>
    <col min="15877" max="15877" width="13.453125" style="146" customWidth="1"/>
    <col min="15878" max="15878" width="16.453125" style="146" bestFit="1" customWidth="1"/>
    <col min="15879" max="15879" width="19.81640625" style="146" bestFit="1" customWidth="1"/>
    <col min="15880" max="15880" width="12.453125" style="146" customWidth="1"/>
    <col min="15881" max="16128" width="9.1796875" style="146"/>
    <col min="16129" max="16129" width="3.453125" style="146" customWidth="1"/>
    <col min="16130" max="16130" width="37.26953125" style="146" bestFit="1" customWidth="1"/>
    <col min="16131" max="16131" width="16.453125" style="146" bestFit="1" customWidth="1"/>
    <col min="16132" max="16132" width="19.81640625" style="146" bestFit="1" customWidth="1"/>
    <col min="16133" max="16133" width="13.453125" style="146" customWidth="1"/>
    <col min="16134" max="16134" width="16.453125" style="146" bestFit="1" customWidth="1"/>
    <col min="16135" max="16135" width="19.81640625" style="146" bestFit="1" customWidth="1"/>
    <col min="16136" max="16136" width="12.453125" style="146" customWidth="1"/>
    <col min="16137" max="16384" width="9.1796875" style="146"/>
  </cols>
  <sheetData>
    <row r="1" spans="1:11" ht="20.5">
      <c r="B1" s="713"/>
      <c r="C1" s="713"/>
      <c r="D1" s="713"/>
      <c r="E1" s="713"/>
      <c r="F1" s="713"/>
      <c r="G1" s="713"/>
      <c r="H1" s="713"/>
    </row>
    <row r="2" spans="1:11" ht="20.5">
      <c r="B2" s="713"/>
      <c r="C2" s="713"/>
      <c r="D2" s="713"/>
      <c r="E2" s="713"/>
      <c r="F2" s="713"/>
      <c r="G2" s="713"/>
      <c r="H2" s="713"/>
    </row>
    <row r="3" spans="1:11" ht="20.5">
      <c r="A3" s="147" t="s">
        <v>390</v>
      </c>
      <c r="B3" s="323" t="s">
        <v>391</v>
      </c>
      <c r="C3" s="396"/>
      <c r="D3" s="396"/>
      <c r="E3" s="396"/>
      <c r="F3" s="396"/>
      <c r="G3" s="396"/>
      <c r="H3" s="396"/>
    </row>
    <row r="5" spans="1:11" ht="16" thickBot="1"/>
    <row r="6" spans="1:11">
      <c r="B6" s="149"/>
      <c r="C6" s="714" t="s">
        <v>916</v>
      </c>
      <c r="D6" s="715"/>
      <c r="E6" s="716"/>
      <c r="F6" s="714" t="s">
        <v>472</v>
      </c>
      <c r="G6" s="715"/>
      <c r="H6" s="716"/>
    </row>
    <row r="7" spans="1:11">
      <c r="B7" s="150" t="s">
        <v>392</v>
      </c>
      <c r="C7" s="151" t="s">
        <v>13</v>
      </c>
      <c r="D7" s="152" t="s">
        <v>14</v>
      </c>
      <c r="E7" s="153" t="s">
        <v>160</v>
      </c>
      <c r="F7" s="151" t="s">
        <v>13</v>
      </c>
      <c r="G7" s="152" t="s">
        <v>14</v>
      </c>
      <c r="H7" s="153" t="s">
        <v>160</v>
      </c>
    </row>
    <row r="8" spans="1:11">
      <c r="B8" s="154" t="s">
        <v>393</v>
      </c>
      <c r="C8" s="151"/>
      <c r="D8" s="152"/>
      <c r="E8" s="153"/>
      <c r="F8" s="151"/>
      <c r="G8" s="152"/>
      <c r="H8" s="153"/>
    </row>
    <row r="9" spans="1:11">
      <c r="B9" s="150" t="s">
        <v>394</v>
      </c>
      <c r="C9" s="155">
        <f>80000+10000+6000</f>
        <v>96000</v>
      </c>
      <c r="D9" s="152">
        <f>3000+1000</f>
        <v>4000</v>
      </c>
      <c r="E9" s="153">
        <f t="shared" ref="E9:E17" si="0">SUM(C9:D9)</f>
        <v>100000</v>
      </c>
      <c r="F9" s="155">
        <v>60280</v>
      </c>
      <c r="G9" s="152">
        <v>7000</v>
      </c>
      <c r="H9" s="153">
        <f t="shared" ref="H9:H21" si="1">SUM(F9:G9)</f>
        <v>67280</v>
      </c>
    </row>
    <row r="10" spans="1:11">
      <c r="B10" s="150" t="s">
        <v>395</v>
      </c>
      <c r="C10" s="155">
        <f>250000-40000</f>
        <v>210000</v>
      </c>
      <c r="D10" s="152"/>
      <c r="E10" s="153">
        <f t="shared" si="0"/>
        <v>210000</v>
      </c>
      <c r="F10" s="155">
        <v>193000</v>
      </c>
      <c r="G10" s="152"/>
      <c r="H10" s="153">
        <f t="shared" si="1"/>
        <v>193000</v>
      </c>
    </row>
    <row r="11" spans="1:11">
      <c r="B11" s="150"/>
      <c r="C11" s="155"/>
      <c r="D11" s="152"/>
      <c r="E11" s="153">
        <f t="shared" si="0"/>
        <v>0</v>
      </c>
      <c r="F11" s="155"/>
      <c r="G11" s="152"/>
      <c r="H11" s="153">
        <f t="shared" si="1"/>
        <v>0</v>
      </c>
    </row>
    <row r="12" spans="1:11">
      <c r="B12" s="150" t="s">
        <v>473</v>
      </c>
      <c r="C12" s="155"/>
      <c r="D12" s="162"/>
      <c r="E12" s="153"/>
      <c r="F12" s="155"/>
      <c r="G12" s="152">
        <v>15000</v>
      </c>
      <c r="H12" s="153">
        <f>SUM(F12:G12)</f>
        <v>15000</v>
      </c>
    </row>
    <row r="13" spans="1:11">
      <c r="B13" s="150" t="s">
        <v>1392</v>
      </c>
      <c r="C13" s="693"/>
      <c r="D13" s="152">
        <f>10000+5000+10000</f>
        <v>25000</v>
      </c>
      <c r="E13" s="153">
        <f>SUM(C13:D13)</f>
        <v>25000</v>
      </c>
      <c r="F13" s="155"/>
      <c r="G13" s="152"/>
      <c r="H13" s="153">
        <f>SUM(F13:G13)</f>
        <v>0</v>
      </c>
      <c r="K13" s="146">
        <f>140000+31553</f>
        <v>171553</v>
      </c>
    </row>
    <row r="14" spans="1:11">
      <c r="B14" s="150" t="s">
        <v>585</v>
      </c>
      <c r="C14" s="693"/>
      <c r="D14" s="152">
        <f>5000+10000</f>
        <v>15000</v>
      </c>
      <c r="E14" s="153">
        <f>SUM(C14:D14)</f>
        <v>15000</v>
      </c>
      <c r="F14" s="155"/>
      <c r="G14" s="152">
        <v>5000</v>
      </c>
      <c r="H14" s="153">
        <f>SUM(F14:G14)</f>
        <v>5000</v>
      </c>
    </row>
    <row r="15" spans="1:11">
      <c r="B15" s="150"/>
      <c r="C15" s="156"/>
      <c r="D15" s="152"/>
      <c r="E15" s="153">
        <f t="shared" si="0"/>
        <v>0</v>
      </c>
      <c r="F15" s="155"/>
      <c r="G15" s="152"/>
      <c r="H15" s="153">
        <f t="shared" si="1"/>
        <v>0</v>
      </c>
    </row>
    <row r="16" spans="1:11">
      <c r="B16" s="150" t="s">
        <v>396</v>
      </c>
      <c r="C16" s="155">
        <v>10000</v>
      </c>
      <c r="D16" s="152"/>
      <c r="E16" s="153">
        <f t="shared" si="0"/>
        <v>10000</v>
      </c>
      <c r="F16" s="155">
        <v>10000</v>
      </c>
      <c r="G16" s="152"/>
      <c r="H16" s="153">
        <f t="shared" si="1"/>
        <v>10000</v>
      </c>
    </row>
    <row r="17" spans="2:12" s="157" customFormat="1">
      <c r="B17" s="154" t="s">
        <v>397</v>
      </c>
      <c r="C17" s="158">
        <f>SUM(C9:C16)</f>
        <v>316000</v>
      </c>
      <c r="D17" s="159">
        <f>SUM(D9:D16)</f>
        <v>44000</v>
      </c>
      <c r="E17" s="160">
        <f t="shared" si="0"/>
        <v>360000</v>
      </c>
      <c r="F17" s="158">
        <f>SUM(F9:F16)</f>
        <v>263280</v>
      </c>
      <c r="G17" s="159">
        <f>SUM(G9:G16)</f>
        <v>27000</v>
      </c>
      <c r="H17" s="160">
        <f>SUM(H9:H16)</f>
        <v>290280</v>
      </c>
    </row>
    <row r="18" spans="2:12">
      <c r="B18" s="154" t="s">
        <v>398</v>
      </c>
      <c r="C18" s="155"/>
      <c r="D18" s="152"/>
      <c r="E18" s="153"/>
      <c r="F18" s="155"/>
      <c r="G18" s="152"/>
      <c r="H18" s="161">
        <f t="shared" si="1"/>
        <v>0</v>
      </c>
    </row>
    <row r="19" spans="2:12">
      <c r="B19" s="150" t="s">
        <v>399</v>
      </c>
      <c r="C19" s="155">
        <f>5900+3800+5000</f>
        <v>14700</v>
      </c>
      <c r="D19" s="152"/>
      <c r="E19" s="153">
        <f>SUM(C19:D19)</f>
        <v>14700</v>
      </c>
      <c r="F19" s="155">
        <v>12227</v>
      </c>
      <c r="G19" s="152"/>
      <c r="H19" s="153">
        <f t="shared" si="1"/>
        <v>12227</v>
      </c>
      <c r="K19" s="152">
        <f>C20</f>
        <v>11260</v>
      </c>
    </row>
    <row r="20" spans="2:12">
      <c r="B20" s="150" t="s">
        <v>400</v>
      </c>
      <c r="C20" s="155">
        <f>5860+3500+1900</f>
        <v>11260</v>
      </c>
      <c r="D20" s="152"/>
      <c r="E20" s="153">
        <f>SUM(C20:D20)</f>
        <v>11260</v>
      </c>
      <c r="F20" s="155">
        <v>13313</v>
      </c>
      <c r="G20" s="152"/>
      <c r="H20" s="153">
        <f t="shared" si="1"/>
        <v>13313</v>
      </c>
      <c r="K20" s="146" t="s">
        <v>401</v>
      </c>
    </row>
    <row r="21" spans="2:12">
      <c r="B21" s="150" t="s">
        <v>402</v>
      </c>
      <c r="C21" s="155">
        <f>C17-C19-C20</f>
        <v>290040</v>
      </c>
      <c r="D21" s="162">
        <f>D17-D19-D20</f>
        <v>44000</v>
      </c>
      <c r="E21" s="153">
        <f>SUM(C21:D21)</f>
        <v>334040</v>
      </c>
      <c r="F21" s="155">
        <f>F17-F19-F20</f>
        <v>237740</v>
      </c>
      <c r="G21" s="162">
        <f>G17-G19-G20</f>
        <v>27000</v>
      </c>
      <c r="H21" s="153">
        <f t="shared" si="1"/>
        <v>264740</v>
      </c>
    </row>
    <row r="22" spans="2:12" s="157" customFormat="1" ht="16" thickBot="1">
      <c r="B22" s="163" t="s">
        <v>403</v>
      </c>
      <c r="C22" s="164">
        <f>C17</f>
        <v>316000</v>
      </c>
      <c r="D22" s="165">
        <f>D17</f>
        <v>44000</v>
      </c>
      <c r="E22" s="166">
        <f>SUM(C22:D22)</f>
        <v>360000</v>
      </c>
      <c r="F22" s="164">
        <f>SUM(F19:F21)</f>
        <v>263280</v>
      </c>
      <c r="G22" s="165">
        <f>SUM(G19:G21)</f>
        <v>27000</v>
      </c>
      <c r="H22" s="166">
        <f>SUM(H19:H21)</f>
        <v>290280</v>
      </c>
    </row>
    <row r="23" spans="2:12">
      <c r="K23" s="146" t="s">
        <v>404</v>
      </c>
      <c r="L23" s="146" t="s">
        <v>405</v>
      </c>
    </row>
    <row r="24" spans="2:12">
      <c r="K24" s="148"/>
    </row>
    <row r="25" spans="2:12">
      <c r="K25" s="148"/>
    </row>
  </sheetData>
  <mergeCells count="4">
    <mergeCell ref="B1:H1"/>
    <mergeCell ref="B2:H2"/>
    <mergeCell ref="C6:E6"/>
    <mergeCell ref="F6:H6"/>
  </mergeCells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4"/>
  <sheetViews>
    <sheetView rightToLeft="1" topLeftCell="A10" workbookViewId="0">
      <selection activeCell="T20" sqref="T20"/>
    </sheetView>
  </sheetViews>
  <sheetFormatPr defaultColWidth="9.1796875" defaultRowHeight="14"/>
  <cols>
    <col min="1" max="3" width="4.1796875" style="167" customWidth="1"/>
    <col min="4" max="4" width="33" style="167" customWidth="1"/>
    <col min="5" max="9" width="12.1796875" style="167" customWidth="1"/>
    <col min="10" max="10" width="7.81640625" style="167" customWidth="1"/>
    <col min="11" max="16384" width="9.1796875" style="167"/>
  </cols>
  <sheetData>
    <row r="3" spans="1:17" ht="20.5">
      <c r="E3" s="168"/>
    </row>
    <row r="4" spans="1:17" ht="15.5">
      <c r="A4" s="169">
        <v>3.7</v>
      </c>
      <c r="C4" s="169" t="s">
        <v>450</v>
      </c>
      <c r="D4" s="169"/>
      <c r="E4" s="169"/>
      <c r="F4" s="169"/>
      <c r="G4" s="169"/>
      <c r="H4" s="169"/>
      <c r="I4" s="169"/>
      <c r="J4" s="169"/>
      <c r="K4" s="169"/>
      <c r="L4" s="169"/>
    </row>
    <row r="5" spans="1:17" ht="16" thickBot="1">
      <c r="C5" s="169"/>
      <c r="D5" s="169"/>
      <c r="E5" s="169"/>
      <c r="F5" s="169"/>
      <c r="G5" s="169"/>
      <c r="H5" s="169"/>
      <c r="I5" s="169"/>
      <c r="J5" s="169"/>
      <c r="K5" s="169"/>
      <c r="L5" s="169"/>
    </row>
    <row r="6" spans="1:17" ht="20.149999999999999" customHeight="1">
      <c r="A6" s="169"/>
      <c r="C6" s="190" t="s">
        <v>392</v>
      </c>
      <c r="D6" s="191"/>
      <c r="E6" s="192"/>
      <c r="F6" s="193" t="s">
        <v>915</v>
      </c>
      <c r="G6" s="215" t="s">
        <v>509</v>
      </c>
      <c r="M6" s="169"/>
      <c r="N6" s="169"/>
      <c r="O6" s="169"/>
    </row>
    <row r="7" spans="1:17" ht="20.149999999999999" customHeight="1">
      <c r="A7" s="169"/>
      <c r="C7" s="195" t="s">
        <v>451</v>
      </c>
      <c r="D7" s="196"/>
      <c r="E7" s="197"/>
      <c r="F7" s="198">
        <f>'פרוט מקורות אחרים'!M16/1000</f>
        <v>5967.54</v>
      </c>
      <c r="G7" s="199">
        <v>8745</v>
      </c>
      <c r="M7" s="169"/>
      <c r="N7" s="169"/>
      <c r="O7" s="169"/>
    </row>
    <row r="8" spans="1:17" ht="20.149999999999999" customHeight="1">
      <c r="A8" s="169"/>
      <c r="C8" s="195" t="s">
        <v>452</v>
      </c>
      <c r="D8" s="201"/>
      <c r="E8" s="197"/>
      <c r="F8" s="198">
        <f>'פרוט מקורות אחרים'!E16/1000</f>
        <v>9299.2999999999993</v>
      </c>
      <c r="G8" s="199">
        <v>29983</v>
      </c>
      <c r="M8" s="169"/>
      <c r="N8" s="169"/>
      <c r="O8" s="169"/>
    </row>
    <row r="9" spans="1:17" ht="20.149999999999999" hidden="1" customHeight="1">
      <c r="A9" s="169"/>
      <c r="C9" s="195" t="s">
        <v>453</v>
      </c>
      <c r="D9" s="196"/>
      <c r="E9" s="197"/>
      <c r="F9" s="198"/>
      <c r="G9" s="199"/>
      <c r="M9" s="169"/>
      <c r="N9" s="169"/>
      <c r="O9" s="169"/>
    </row>
    <row r="10" spans="1:17" ht="20.149999999999999" customHeight="1">
      <c r="A10" s="169"/>
      <c r="C10" s="195" t="s">
        <v>454</v>
      </c>
      <c r="D10" s="196"/>
      <c r="E10" s="197"/>
      <c r="F10" s="198">
        <f>'פרוט מקורות אחרים'!C16/1000</f>
        <v>66237.612999999998</v>
      </c>
      <c r="G10" s="199">
        <v>124916</v>
      </c>
      <c r="M10" s="169"/>
      <c r="N10" s="169"/>
      <c r="O10" s="169"/>
    </row>
    <row r="11" spans="1:17" ht="20.149999999999999" customHeight="1">
      <c r="A11" s="169"/>
      <c r="C11" s="195" t="s">
        <v>428</v>
      </c>
      <c r="D11" s="216"/>
      <c r="E11" s="217"/>
      <c r="F11" s="198">
        <f>('פרוט מקורות אחרים'!D16+'פרוט מקורות אחרים'!F16+'פרוט מקורות אחרים'!G16+'פרוט מקורות אחרים'!I16+'פרוט מקורות אחרים'!J16+'פרוט מקורות אחרים'!K16+'פרוט מקורות אחרים'!L16)/1000</f>
        <v>19790.736000000001</v>
      </c>
      <c r="G11" s="199">
        <v>32499</v>
      </c>
      <c r="L11" s="206"/>
      <c r="M11" s="169"/>
      <c r="N11" s="169"/>
      <c r="O11" s="169"/>
    </row>
    <row r="12" spans="1:17" ht="20.149999999999999" customHeight="1">
      <c r="A12" s="169"/>
      <c r="C12" s="195" t="s">
        <v>455</v>
      </c>
      <c r="D12" s="196"/>
      <c r="E12" s="197"/>
      <c r="F12" s="198">
        <f>'פרוט מקורות אחרים'!H16/1000</f>
        <v>3000</v>
      </c>
      <c r="G12" s="199">
        <v>12300</v>
      </c>
      <c r="M12" s="169"/>
      <c r="N12" s="169"/>
      <c r="O12" s="169"/>
    </row>
    <row r="13" spans="1:17" ht="20.149999999999999" customHeight="1">
      <c r="A13" s="169"/>
      <c r="C13" s="195" t="s">
        <v>456</v>
      </c>
      <c r="D13" s="201"/>
      <c r="E13" s="197"/>
      <c r="F13" s="198">
        <f>'פרוט מקורות אחרים'!N16/1000</f>
        <v>16350</v>
      </c>
      <c r="G13" s="199">
        <v>13700</v>
      </c>
      <c r="M13" s="169"/>
      <c r="N13" s="169"/>
      <c r="O13" s="169"/>
    </row>
    <row r="14" spans="1:17" ht="20.149999999999999" customHeight="1" thickBot="1">
      <c r="A14" s="169"/>
      <c r="C14" s="207" t="s">
        <v>160</v>
      </c>
      <c r="D14" s="208"/>
      <c r="E14" s="209"/>
      <c r="F14" s="210">
        <f>SUM(F7:F13)</f>
        <v>120645.189</v>
      </c>
      <c r="G14" s="218">
        <f>SUM(G7:G13)</f>
        <v>222143</v>
      </c>
      <c r="M14" s="169"/>
      <c r="N14" s="169"/>
      <c r="O14" s="169"/>
    </row>
    <row r="15" spans="1:17" ht="15.5">
      <c r="C15" s="169"/>
      <c r="D15" s="169"/>
      <c r="E15" s="169"/>
      <c r="F15" s="169"/>
      <c r="G15" s="169"/>
      <c r="H15" s="169"/>
      <c r="I15" s="169"/>
      <c r="J15" s="169"/>
      <c r="K15" s="169"/>
      <c r="L15" s="595"/>
    </row>
    <row r="16" spans="1:17" ht="15.5">
      <c r="B16" s="167" t="s">
        <v>457</v>
      </c>
      <c r="C16" s="169" t="s">
        <v>458</v>
      </c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69"/>
      <c r="O16" s="169"/>
      <c r="P16" s="169"/>
      <c r="Q16" s="169"/>
    </row>
    <row r="17" spans="1:17" ht="15.5">
      <c r="C17" s="169" t="s">
        <v>459</v>
      </c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69"/>
      <c r="O17" s="169"/>
      <c r="P17" s="169"/>
      <c r="Q17" s="169"/>
    </row>
    <row r="18" spans="1:17" ht="15.5">
      <c r="C18" s="169"/>
      <c r="D18" s="169"/>
      <c r="E18" s="169"/>
      <c r="F18" s="169"/>
      <c r="G18" s="169"/>
      <c r="H18" s="169"/>
      <c r="I18" s="169"/>
      <c r="J18" s="169"/>
      <c r="K18" s="169"/>
      <c r="L18" s="169"/>
      <c r="M18" s="169"/>
      <c r="N18" s="169"/>
      <c r="O18" s="169"/>
      <c r="P18" s="169"/>
      <c r="Q18" s="169"/>
    </row>
    <row r="19" spans="1:17" ht="15.5" hidden="1">
      <c r="A19" s="176" t="s">
        <v>460</v>
      </c>
      <c r="B19" s="170" t="s">
        <v>461</v>
      </c>
    </row>
    <row r="20" spans="1:17" ht="15.5" hidden="1">
      <c r="B20" s="169"/>
      <c r="C20" s="169"/>
      <c r="D20" s="169"/>
      <c r="E20" s="169"/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69"/>
      <c r="Q20" s="169"/>
    </row>
    <row r="21" spans="1:17" ht="23" hidden="1">
      <c r="A21" s="169">
        <v>4.0999999999999996</v>
      </c>
      <c r="B21" s="169" t="s">
        <v>462</v>
      </c>
      <c r="C21" s="169"/>
      <c r="D21" s="169"/>
      <c r="E21" s="169"/>
      <c r="F21" s="169"/>
      <c r="G21" s="169"/>
      <c r="H21" s="169"/>
      <c r="I21" s="220"/>
      <c r="J21" s="169"/>
      <c r="K21" s="169"/>
      <c r="L21" s="169"/>
      <c r="M21" s="169"/>
      <c r="N21" s="169"/>
      <c r="O21" s="169"/>
      <c r="P21" s="169"/>
      <c r="Q21" s="169"/>
    </row>
    <row r="22" spans="1:17" ht="15.5" hidden="1">
      <c r="B22" s="169" t="s">
        <v>463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N22" s="169"/>
      <c r="O22" s="169"/>
      <c r="P22" s="169"/>
      <c r="Q22" s="169"/>
    </row>
    <row r="23" spans="1:17" ht="15.5" hidden="1">
      <c r="B23" s="169" t="s">
        <v>464</v>
      </c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69"/>
      <c r="O23" s="169"/>
      <c r="P23" s="169"/>
      <c r="Q23" s="169"/>
    </row>
    <row r="24" spans="1:17" ht="15.5" hidden="1">
      <c r="B24" s="169" t="s">
        <v>465</v>
      </c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69"/>
      <c r="P24" s="169"/>
      <c r="Q24" s="169"/>
    </row>
    <row r="25" spans="1:17" ht="15.5" hidden="1">
      <c r="B25" s="169" t="s">
        <v>466</v>
      </c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69"/>
      <c r="P25" s="169"/>
      <c r="Q25" s="169"/>
    </row>
    <row r="26" spans="1:17" ht="15.5" hidden="1">
      <c r="B26" s="169"/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  <c r="N26" s="169"/>
      <c r="O26" s="169"/>
      <c r="P26" s="169"/>
      <c r="Q26" s="169"/>
    </row>
    <row r="27" spans="1:17" ht="15.5" hidden="1">
      <c r="A27" s="169">
        <v>4.2</v>
      </c>
      <c r="B27" s="169" t="s">
        <v>467</v>
      </c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69"/>
      <c r="O27" s="169"/>
      <c r="P27" s="169"/>
      <c r="Q27" s="169"/>
    </row>
    <row r="28" spans="1:17" ht="15.5" hidden="1">
      <c r="A28" s="169"/>
      <c r="B28" s="169"/>
      <c r="C28" s="169"/>
      <c r="D28" s="169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</row>
    <row r="29" spans="1:17" ht="15.5" hidden="1">
      <c r="A29" s="169"/>
      <c r="B29" s="169" t="s">
        <v>468</v>
      </c>
      <c r="C29" s="169"/>
      <c r="D29" s="169"/>
      <c r="E29" s="169"/>
      <c r="F29" s="169"/>
      <c r="H29" s="169"/>
      <c r="I29" s="169"/>
      <c r="J29" s="169"/>
      <c r="K29" s="169"/>
      <c r="L29" s="169"/>
      <c r="M29" s="169"/>
      <c r="N29" s="169"/>
      <c r="O29" s="169"/>
      <c r="P29" s="169"/>
      <c r="Q29" s="169"/>
    </row>
    <row r="30" spans="1:17" ht="15.5">
      <c r="A30" s="169"/>
      <c r="B30" s="169"/>
      <c r="C30" s="329" t="s">
        <v>1426</v>
      </c>
      <c r="D30" s="329"/>
      <c r="E30" s="169"/>
      <c r="F30" s="169"/>
      <c r="G30" s="174"/>
      <c r="H30" s="169"/>
      <c r="I30" s="169"/>
      <c r="J30" s="169"/>
      <c r="K30" s="169"/>
      <c r="L30" s="169"/>
      <c r="M30" s="169"/>
      <c r="N30" s="169"/>
      <c r="O30" s="169"/>
      <c r="P30" s="169"/>
      <c r="Q30" s="169"/>
    </row>
    <row r="31" spans="1:17" ht="20.149999999999999" customHeight="1">
      <c r="B31" s="169"/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  <c r="N31" s="169"/>
      <c r="O31" s="169"/>
      <c r="P31" s="169"/>
      <c r="Q31" s="169"/>
    </row>
    <row r="32" spans="1:17" ht="15.5">
      <c r="A32" s="176" t="s">
        <v>460</v>
      </c>
      <c r="B32" s="170" t="s">
        <v>469</v>
      </c>
    </row>
    <row r="33" spans="1:17" ht="20.149999999999999" customHeight="1"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</row>
    <row r="34" spans="1:17" ht="20.149999999999999" customHeight="1">
      <c r="B34" s="169" t="s">
        <v>470</v>
      </c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</row>
    <row r="35" spans="1:17" ht="20.149999999999999" customHeight="1">
      <c r="B35" s="169" t="s">
        <v>471</v>
      </c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</row>
    <row r="36" spans="1:17" ht="20.149999999999999" customHeight="1">
      <c r="B36" s="169" t="s">
        <v>1476</v>
      </c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</row>
    <row r="37" spans="1:17" ht="20.149999999999999" customHeight="1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</row>
    <row r="38" spans="1:17" ht="20.149999999999999" customHeight="1">
      <c r="B38" s="327" t="s">
        <v>1538</v>
      </c>
      <c r="C38" s="327"/>
      <c r="D38" s="327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</row>
    <row r="39" spans="1:17" ht="15.5">
      <c r="A39" s="169"/>
      <c r="B39" s="169"/>
      <c r="C39" s="169"/>
      <c r="D39" s="169"/>
      <c r="E39" s="169"/>
      <c r="F39" s="169"/>
      <c r="G39" s="169"/>
      <c r="H39" s="169"/>
      <c r="I39" s="169"/>
      <c r="J39" s="169"/>
      <c r="K39" s="169"/>
      <c r="L39" s="169"/>
      <c r="M39" s="169"/>
      <c r="N39" s="169"/>
      <c r="O39" s="169"/>
      <c r="P39" s="169"/>
      <c r="Q39" s="169"/>
    </row>
    <row r="40" spans="1:17" ht="15.5">
      <c r="A40" s="169"/>
      <c r="B40" s="169"/>
      <c r="C40" s="169"/>
      <c r="D40" s="169"/>
      <c r="E40" s="169"/>
      <c r="F40" s="169"/>
      <c r="G40" s="169"/>
      <c r="H40" s="169"/>
      <c r="I40" s="169"/>
      <c r="J40" s="169"/>
      <c r="K40" s="169"/>
      <c r="L40" s="169"/>
      <c r="M40" s="169"/>
      <c r="N40" s="169"/>
      <c r="O40" s="169"/>
      <c r="P40" s="169"/>
      <c r="Q40" s="169"/>
    </row>
    <row r="41" spans="1:17" ht="15.5">
      <c r="A41" s="169"/>
      <c r="B41" s="169"/>
      <c r="C41" s="169"/>
      <c r="D41" s="169"/>
      <c r="E41" s="169"/>
      <c r="F41" s="169"/>
      <c r="G41" s="169"/>
      <c r="H41" s="169"/>
      <c r="I41" s="169"/>
      <c r="J41" s="169"/>
      <c r="K41" s="169"/>
      <c r="L41" s="169"/>
      <c r="M41" s="169"/>
      <c r="N41" s="169"/>
      <c r="O41" s="169"/>
      <c r="P41" s="169"/>
      <c r="Q41" s="169"/>
    </row>
    <row r="42" spans="1:17" ht="15.5">
      <c r="A42" s="176"/>
      <c r="B42" s="169"/>
      <c r="C42" s="169"/>
      <c r="D42" s="169"/>
      <c r="E42" s="169"/>
      <c r="F42" s="169"/>
      <c r="G42" s="169"/>
      <c r="H42" s="169"/>
      <c r="I42" s="169"/>
      <c r="J42" s="169"/>
      <c r="K42" s="169"/>
      <c r="L42" s="169"/>
      <c r="M42" s="169"/>
      <c r="N42" s="169"/>
      <c r="O42" s="169"/>
      <c r="P42" s="169"/>
      <c r="Q42" s="169"/>
    </row>
    <row r="43" spans="1:17" ht="15.5">
      <c r="E43" s="169"/>
      <c r="F43" s="169"/>
      <c r="G43" s="169"/>
      <c r="H43" s="169"/>
      <c r="I43" s="169"/>
      <c r="J43" s="169"/>
      <c r="K43" s="169"/>
      <c r="L43" s="169"/>
      <c r="M43" s="169"/>
      <c r="N43" s="169"/>
      <c r="O43" s="169"/>
      <c r="P43" s="169"/>
      <c r="Q43" s="169"/>
    </row>
    <row r="44" spans="1:17" ht="15.5">
      <c r="E44" s="169"/>
      <c r="F44" s="169"/>
      <c r="G44" s="169"/>
      <c r="H44" s="169"/>
      <c r="I44" s="169"/>
      <c r="J44" s="169"/>
      <c r="K44" s="169"/>
      <c r="L44" s="169"/>
      <c r="M44" s="169"/>
      <c r="N44" s="169"/>
      <c r="O44" s="169"/>
      <c r="P44" s="169"/>
      <c r="Q44" s="169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4"/>
  <sheetViews>
    <sheetView rightToLeft="1" topLeftCell="A2" workbookViewId="0">
      <selection activeCell="T20" sqref="T20"/>
    </sheetView>
  </sheetViews>
  <sheetFormatPr defaultColWidth="9.1796875" defaultRowHeight="14"/>
  <cols>
    <col min="1" max="3" width="4.1796875" style="340" customWidth="1"/>
    <col min="4" max="4" width="33" style="340" customWidth="1"/>
    <col min="5" max="9" width="12.1796875" style="340" customWidth="1"/>
    <col min="10" max="10" width="7.81640625" style="340" customWidth="1"/>
    <col min="11" max="16384" width="9.1796875" style="340"/>
  </cols>
  <sheetData>
    <row r="3" spans="1:17" ht="20.5">
      <c r="E3" s="341"/>
    </row>
    <row r="4" spans="1:17" ht="15.5">
      <c r="A4" s="342"/>
      <c r="C4" s="342"/>
      <c r="D4" s="342"/>
      <c r="E4" s="342"/>
      <c r="F4" s="342"/>
      <c r="G4" s="342"/>
      <c r="H4" s="342"/>
      <c r="I4" s="342"/>
      <c r="J4" s="342"/>
      <c r="K4" s="342"/>
      <c r="L4" s="342"/>
    </row>
    <row r="5" spans="1:17" ht="15.5">
      <c r="C5" s="342"/>
      <c r="D5" s="342"/>
      <c r="E5" s="342"/>
      <c r="F5" s="342"/>
      <c r="G5" s="342"/>
      <c r="H5" s="342"/>
      <c r="I5" s="342"/>
      <c r="J5" s="342"/>
      <c r="K5" s="342"/>
      <c r="L5" s="342"/>
    </row>
    <row r="6" spans="1:17" ht="20.149999999999999" customHeight="1">
      <c r="A6" s="342"/>
      <c r="C6" s="343"/>
      <c r="D6" s="344"/>
      <c r="F6" s="345"/>
      <c r="G6" s="345"/>
      <c r="M6" s="342"/>
      <c r="N6" s="342"/>
      <c r="O6" s="342"/>
    </row>
    <row r="7" spans="1:17" ht="20.149999999999999" customHeight="1">
      <c r="A7" s="342"/>
      <c r="C7" s="342"/>
      <c r="D7" s="342"/>
      <c r="F7" s="346"/>
      <c r="G7" s="346"/>
      <c r="M7" s="342"/>
      <c r="N7" s="342"/>
      <c r="O7" s="342"/>
    </row>
    <row r="8" spans="1:17" ht="20.149999999999999" customHeight="1">
      <c r="A8" s="342"/>
      <c r="C8" s="342"/>
      <c r="D8" s="342"/>
      <c r="F8" s="346"/>
      <c r="G8" s="346"/>
      <c r="M8" s="342"/>
      <c r="N8" s="342"/>
      <c r="O8" s="342"/>
    </row>
    <row r="9" spans="1:17" ht="20.149999999999999" customHeight="1">
      <c r="A9" s="342"/>
      <c r="C9" s="342"/>
      <c r="D9" s="342"/>
      <c r="F9" s="346"/>
      <c r="G9" s="346"/>
      <c r="M9" s="342"/>
      <c r="N9" s="342"/>
      <c r="O9" s="342"/>
    </row>
    <row r="10" spans="1:17" ht="20.149999999999999" customHeight="1">
      <c r="A10" s="342"/>
      <c r="C10" s="342"/>
      <c r="D10" s="342"/>
      <c r="F10" s="346"/>
      <c r="G10" s="346"/>
      <c r="M10" s="342"/>
      <c r="N10" s="342"/>
      <c r="O10" s="342"/>
    </row>
    <row r="11" spans="1:17" ht="20.149999999999999" customHeight="1">
      <c r="A11" s="342"/>
      <c r="C11" s="342"/>
      <c r="D11" s="343"/>
      <c r="E11" s="347"/>
      <c r="F11" s="346"/>
      <c r="G11" s="346"/>
      <c r="L11" s="346"/>
      <c r="M11" s="342"/>
      <c r="N11" s="342"/>
      <c r="O11" s="342"/>
    </row>
    <row r="12" spans="1:17" ht="20.149999999999999" customHeight="1">
      <c r="A12" s="342"/>
      <c r="C12" s="342"/>
      <c r="D12" s="342"/>
      <c r="F12" s="346"/>
      <c r="G12" s="346"/>
      <c r="M12" s="342"/>
      <c r="N12" s="342"/>
      <c r="O12" s="342"/>
    </row>
    <row r="13" spans="1:17" ht="20.149999999999999" customHeight="1">
      <c r="A13" s="342"/>
      <c r="C13" s="342"/>
      <c r="D13" s="342"/>
      <c r="F13" s="346"/>
      <c r="G13" s="346"/>
      <c r="M13" s="342"/>
      <c r="N13" s="342"/>
      <c r="O13" s="342"/>
    </row>
    <row r="14" spans="1:17" ht="20.149999999999999" customHeight="1">
      <c r="A14" s="342"/>
      <c r="C14" s="343"/>
      <c r="D14" s="342"/>
      <c r="F14" s="348"/>
      <c r="G14" s="345"/>
      <c r="M14" s="342"/>
      <c r="N14" s="342"/>
      <c r="O14" s="342"/>
    </row>
    <row r="15" spans="1:17" ht="15.5">
      <c r="C15" s="342"/>
      <c r="D15" s="342"/>
      <c r="E15" s="342"/>
      <c r="F15" s="342"/>
      <c r="G15" s="342"/>
      <c r="H15" s="342"/>
      <c r="I15" s="342"/>
      <c r="J15" s="342"/>
      <c r="K15" s="342"/>
      <c r="L15" s="342"/>
    </row>
    <row r="16" spans="1:17" ht="15.5">
      <c r="C16" s="342"/>
      <c r="D16" s="342"/>
      <c r="E16" s="342"/>
      <c r="F16" s="342"/>
      <c r="G16" s="342"/>
      <c r="H16" s="342"/>
      <c r="I16" s="342"/>
      <c r="J16" s="342"/>
      <c r="K16" s="342"/>
      <c r="L16" s="342"/>
      <c r="M16" s="342"/>
      <c r="N16" s="342"/>
      <c r="O16" s="342"/>
      <c r="P16" s="342"/>
      <c r="Q16" s="342"/>
    </row>
    <row r="17" spans="1:17" ht="15.5">
      <c r="C17" s="342"/>
      <c r="D17" s="342"/>
      <c r="E17" s="342"/>
      <c r="F17" s="342"/>
      <c r="G17" s="342"/>
      <c r="H17" s="342"/>
      <c r="I17" s="342"/>
      <c r="J17" s="342"/>
      <c r="K17" s="342"/>
      <c r="L17" s="342"/>
      <c r="M17" s="342"/>
      <c r="N17" s="342"/>
      <c r="O17" s="342"/>
      <c r="P17" s="342"/>
      <c r="Q17" s="342"/>
    </row>
    <row r="18" spans="1:17" ht="15.5">
      <c r="C18" s="342"/>
      <c r="D18" s="342"/>
      <c r="E18" s="342"/>
      <c r="F18" s="342"/>
      <c r="G18" s="342"/>
      <c r="H18" s="342"/>
      <c r="I18" s="342"/>
      <c r="J18" s="342"/>
      <c r="K18" s="342"/>
      <c r="L18" s="342"/>
      <c r="M18" s="342"/>
      <c r="N18" s="342"/>
      <c r="O18" s="342"/>
      <c r="P18" s="342"/>
      <c r="Q18" s="342"/>
    </row>
    <row r="19" spans="1:17" ht="15.5" hidden="1">
      <c r="A19" s="349"/>
      <c r="B19" s="350"/>
    </row>
    <row r="20" spans="1:17" ht="15.5" hidden="1">
      <c r="B20" s="342"/>
      <c r="C20" s="342"/>
      <c r="D20" s="342"/>
      <c r="E20" s="342"/>
      <c r="F20" s="342"/>
      <c r="G20" s="342"/>
      <c r="H20" s="342"/>
      <c r="I20" s="342"/>
      <c r="J20" s="342"/>
      <c r="K20" s="342"/>
      <c r="L20" s="342"/>
      <c r="M20" s="342"/>
      <c r="N20" s="342"/>
      <c r="O20" s="342"/>
      <c r="P20" s="342"/>
      <c r="Q20" s="342"/>
    </row>
    <row r="21" spans="1:17" ht="23" hidden="1">
      <c r="A21" s="342"/>
      <c r="B21" s="342"/>
      <c r="C21" s="342"/>
      <c r="D21" s="342"/>
      <c r="E21" s="342"/>
      <c r="F21" s="342"/>
      <c r="G21" s="342"/>
      <c r="H21" s="342"/>
      <c r="I21" s="351"/>
      <c r="J21" s="342"/>
      <c r="K21" s="342"/>
      <c r="L21" s="342"/>
      <c r="M21" s="342"/>
      <c r="N21" s="342"/>
      <c r="O21" s="342"/>
      <c r="P21" s="342"/>
      <c r="Q21" s="342"/>
    </row>
    <row r="22" spans="1:17" ht="15.5" hidden="1">
      <c r="B22" s="342"/>
      <c r="C22" s="342"/>
      <c r="D22" s="342"/>
      <c r="E22" s="342"/>
      <c r="F22" s="342"/>
      <c r="G22" s="342"/>
      <c r="H22" s="342"/>
      <c r="I22" s="342"/>
      <c r="J22" s="342"/>
      <c r="K22" s="342"/>
      <c r="L22" s="342"/>
      <c r="M22" s="342"/>
      <c r="N22" s="342"/>
      <c r="O22" s="342"/>
      <c r="P22" s="342"/>
      <c r="Q22" s="342"/>
    </row>
    <row r="23" spans="1:17" ht="15.5" hidden="1">
      <c r="B23" s="342"/>
      <c r="C23" s="342"/>
      <c r="D23" s="342"/>
      <c r="E23" s="342"/>
      <c r="F23" s="342"/>
      <c r="G23" s="342"/>
      <c r="H23" s="342"/>
      <c r="I23" s="342"/>
      <c r="J23" s="342"/>
      <c r="K23" s="342"/>
      <c r="L23" s="342"/>
      <c r="M23" s="342"/>
      <c r="N23" s="342"/>
      <c r="O23" s="342"/>
      <c r="P23" s="342"/>
      <c r="Q23" s="342"/>
    </row>
    <row r="24" spans="1:17" ht="15.5" hidden="1">
      <c r="B24" s="342"/>
      <c r="C24" s="342"/>
      <c r="D24" s="342"/>
      <c r="E24" s="342"/>
      <c r="F24" s="342"/>
      <c r="G24" s="342"/>
      <c r="H24" s="342"/>
      <c r="I24" s="342"/>
      <c r="J24" s="342"/>
      <c r="K24" s="342"/>
      <c r="L24" s="342"/>
      <c r="M24" s="342"/>
      <c r="N24" s="342"/>
      <c r="O24" s="342"/>
      <c r="P24" s="342"/>
      <c r="Q24" s="342"/>
    </row>
    <row r="25" spans="1:17" ht="15.5" hidden="1">
      <c r="B25" s="342"/>
      <c r="C25" s="342"/>
      <c r="D25" s="342"/>
      <c r="E25" s="342"/>
      <c r="F25" s="342"/>
      <c r="G25" s="342"/>
      <c r="H25" s="342"/>
      <c r="I25" s="342"/>
      <c r="J25" s="342"/>
      <c r="K25" s="342"/>
      <c r="L25" s="342"/>
      <c r="M25" s="342"/>
      <c r="N25" s="342"/>
      <c r="O25" s="342"/>
      <c r="P25" s="342"/>
      <c r="Q25" s="342"/>
    </row>
    <row r="26" spans="1:17" ht="15.5" hidden="1">
      <c r="B26" s="342"/>
      <c r="C26" s="342"/>
      <c r="D26" s="342"/>
      <c r="E26" s="342"/>
      <c r="F26" s="342"/>
      <c r="G26" s="342"/>
      <c r="H26" s="342"/>
      <c r="I26" s="342"/>
      <c r="J26" s="342"/>
      <c r="K26" s="342"/>
      <c r="L26" s="342"/>
      <c r="M26" s="342"/>
      <c r="N26" s="342"/>
      <c r="O26" s="342"/>
      <c r="P26" s="342"/>
      <c r="Q26" s="342"/>
    </row>
    <row r="27" spans="1:17" ht="15.5" hidden="1">
      <c r="A27" s="342"/>
      <c r="B27" s="342"/>
      <c r="C27" s="342"/>
      <c r="D27" s="342"/>
      <c r="E27" s="342"/>
      <c r="F27" s="342"/>
      <c r="G27" s="342"/>
      <c r="H27" s="342"/>
      <c r="I27" s="342"/>
      <c r="J27" s="342"/>
      <c r="K27" s="342"/>
      <c r="L27" s="342"/>
      <c r="M27" s="342"/>
      <c r="N27" s="342"/>
      <c r="O27" s="342"/>
      <c r="P27" s="342"/>
      <c r="Q27" s="342"/>
    </row>
    <row r="28" spans="1:17" ht="15.5" hidden="1">
      <c r="A28" s="342"/>
      <c r="B28" s="342"/>
      <c r="C28" s="342"/>
      <c r="D28" s="342"/>
      <c r="E28" s="342"/>
      <c r="F28" s="342"/>
      <c r="G28" s="342"/>
      <c r="H28" s="342"/>
      <c r="I28" s="342"/>
      <c r="J28" s="342"/>
      <c r="K28" s="342"/>
      <c r="L28" s="342"/>
      <c r="M28" s="342"/>
      <c r="N28" s="342"/>
      <c r="O28" s="342"/>
      <c r="P28" s="342"/>
      <c r="Q28" s="342"/>
    </row>
    <row r="29" spans="1:17" ht="15.5" hidden="1">
      <c r="A29" s="342"/>
      <c r="B29" s="342"/>
      <c r="C29" s="342"/>
      <c r="D29" s="342"/>
      <c r="E29" s="342"/>
      <c r="F29" s="342"/>
      <c r="H29" s="342"/>
      <c r="I29" s="342"/>
      <c r="J29" s="342"/>
      <c r="K29" s="342"/>
      <c r="L29" s="342"/>
      <c r="M29" s="342"/>
      <c r="N29" s="342"/>
      <c r="O29" s="342"/>
      <c r="P29" s="342"/>
      <c r="Q29" s="342"/>
    </row>
    <row r="30" spans="1:17" ht="15.5">
      <c r="A30" s="342"/>
      <c r="B30" s="342"/>
      <c r="C30" s="342"/>
      <c r="D30" s="342"/>
      <c r="E30" s="342"/>
      <c r="F30" s="342"/>
      <c r="G30" s="342"/>
      <c r="H30" s="342"/>
      <c r="I30" s="342"/>
      <c r="J30" s="342"/>
      <c r="K30" s="342"/>
      <c r="L30" s="342"/>
      <c r="M30" s="342"/>
      <c r="N30" s="342"/>
      <c r="O30" s="342"/>
      <c r="P30" s="342"/>
      <c r="Q30" s="342"/>
    </row>
    <row r="31" spans="1:17" ht="20.149999999999999" customHeight="1">
      <c r="B31" s="342"/>
      <c r="C31" s="342"/>
      <c r="D31" s="342"/>
      <c r="E31" s="342"/>
      <c r="F31" s="342"/>
      <c r="G31" s="342"/>
      <c r="H31" s="342"/>
      <c r="I31" s="342"/>
      <c r="J31" s="342"/>
      <c r="K31" s="342"/>
      <c r="L31" s="342"/>
      <c r="M31" s="342"/>
      <c r="N31" s="342"/>
      <c r="O31" s="342"/>
      <c r="P31" s="342"/>
      <c r="Q31" s="342"/>
    </row>
    <row r="32" spans="1:17" ht="15.5">
      <c r="A32" s="349"/>
      <c r="B32" s="350"/>
    </row>
    <row r="33" spans="1:17" ht="20.149999999999999" customHeight="1">
      <c r="B33" s="342"/>
      <c r="C33" s="342"/>
      <c r="D33" s="342"/>
      <c r="E33" s="342"/>
      <c r="F33" s="342"/>
      <c r="G33" s="342"/>
      <c r="H33" s="342"/>
      <c r="I33" s="342"/>
      <c r="J33" s="342"/>
      <c r="K33" s="342"/>
      <c r="L33" s="342"/>
      <c r="M33" s="342"/>
      <c r="N33" s="342"/>
      <c r="O33" s="342"/>
      <c r="P33" s="342"/>
      <c r="Q33" s="342"/>
    </row>
    <row r="34" spans="1:17" ht="20.149999999999999" customHeight="1">
      <c r="B34" s="342"/>
      <c r="C34" s="342"/>
      <c r="D34" s="342"/>
      <c r="E34" s="342"/>
      <c r="F34" s="342"/>
      <c r="G34" s="342"/>
      <c r="H34" s="342"/>
      <c r="I34" s="342"/>
      <c r="J34" s="342"/>
      <c r="K34" s="342"/>
      <c r="L34" s="342"/>
      <c r="M34" s="342"/>
      <c r="N34" s="342"/>
      <c r="O34" s="342"/>
      <c r="P34" s="342"/>
      <c r="Q34" s="342"/>
    </row>
    <row r="35" spans="1:17" ht="20.149999999999999" customHeight="1">
      <c r="B35" s="342"/>
      <c r="C35" s="342"/>
      <c r="D35" s="342"/>
      <c r="E35" s="342"/>
      <c r="F35" s="342"/>
      <c r="G35" s="342"/>
      <c r="H35" s="342"/>
      <c r="I35" s="342"/>
      <c r="J35" s="342"/>
      <c r="K35" s="342"/>
      <c r="L35" s="342"/>
      <c r="M35" s="342"/>
      <c r="N35" s="342"/>
      <c r="O35" s="342"/>
      <c r="P35" s="342"/>
      <c r="Q35" s="342"/>
    </row>
    <row r="36" spans="1:17" ht="20.149999999999999" customHeight="1">
      <c r="B36" s="342"/>
      <c r="C36" s="342"/>
      <c r="D36" s="342"/>
      <c r="E36" s="342"/>
      <c r="F36" s="342"/>
      <c r="G36" s="342"/>
      <c r="H36" s="342"/>
      <c r="I36" s="342"/>
      <c r="J36" s="342"/>
      <c r="K36" s="342"/>
      <c r="L36" s="342"/>
      <c r="M36" s="342"/>
      <c r="N36" s="342"/>
      <c r="O36" s="342"/>
      <c r="P36" s="342"/>
      <c r="Q36" s="342"/>
    </row>
    <row r="37" spans="1:17" ht="20.149999999999999" customHeight="1">
      <c r="B37" s="342"/>
      <c r="C37" s="342"/>
      <c r="D37" s="342"/>
      <c r="E37" s="342"/>
      <c r="F37" s="342"/>
      <c r="G37" s="342"/>
      <c r="H37" s="342"/>
      <c r="I37" s="342"/>
      <c r="J37" s="342"/>
      <c r="K37" s="342"/>
      <c r="L37" s="342"/>
      <c r="M37" s="342"/>
      <c r="N37" s="342"/>
      <c r="O37" s="342"/>
      <c r="P37" s="342"/>
      <c r="Q37" s="342"/>
    </row>
    <row r="38" spans="1:17" ht="20.149999999999999" customHeight="1">
      <c r="B38" s="342"/>
      <c r="C38" s="342"/>
      <c r="D38" s="342"/>
      <c r="E38" s="342"/>
      <c r="F38" s="342"/>
      <c r="G38" s="342"/>
      <c r="H38" s="342"/>
      <c r="I38" s="342"/>
      <c r="J38" s="342"/>
      <c r="K38" s="342"/>
      <c r="L38" s="342"/>
      <c r="M38" s="342"/>
      <c r="N38" s="342"/>
      <c r="O38" s="342"/>
      <c r="P38" s="342"/>
      <c r="Q38" s="342"/>
    </row>
    <row r="39" spans="1:17" ht="15.5">
      <c r="A39" s="342"/>
      <c r="B39" s="342"/>
      <c r="C39" s="342"/>
      <c r="D39" s="342"/>
      <c r="E39" s="342"/>
      <c r="F39" s="342"/>
      <c r="G39" s="342"/>
      <c r="H39" s="342"/>
      <c r="I39" s="342"/>
      <c r="J39" s="342"/>
      <c r="K39" s="342"/>
      <c r="L39" s="342"/>
      <c r="M39" s="342"/>
      <c r="N39" s="342"/>
      <c r="O39" s="342"/>
      <c r="P39" s="342"/>
      <c r="Q39" s="342"/>
    </row>
    <row r="40" spans="1:17" ht="15.5">
      <c r="A40" s="342"/>
      <c r="B40" s="342"/>
      <c r="C40" s="342"/>
      <c r="D40" s="342"/>
      <c r="E40" s="342"/>
      <c r="F40" s="342"/>
      <c r="G40" s="342"/>
      <c r="H40" s="342"/>
      <c r="I40" s="342"/>
      <c r="J40" s="342"/>
      <c r="K40" s="342"/>
      <c r="L40" s="342"/>
      <c r="M40" s="342"/>
      <c r="N40" s="342"/>
      <c r="O40" s="342"/>
      <c r="P40" s="342"/>
      <c r="Q40" s="342"/>
    </row>
    <row r="41" spans="1:17" ht="15.5">
      <c r="A41" s="342"/>
      <c r="B41" s="342"/>
      <c r="C41" s="342"/>
      <c r="D41" s="342"/>
      <c r="E41" s="342"/>
      <c r="F41" s="342"/>
      <c r="G41" s="342"/>
      <c r="H41" s="342"/>
      <c r="I41" s="342"/>
      <c r="J41" s="342"/>
      <c r="K41" s="342"/>
      <c r="L41" s="342"/>
      <c r="M41" s="342"/>
      <c r="N41" s="342"/>
      <c r="O41" s="342"/>
      <c r="P41" s="342"/>
      <c r="Q41" s="342"/>
    </row>
    <row r="42" spans="1:17" ht="15.5">
      <c r="A42" s="349"/>
      <c r="B42" s="342"/>
      <c r="C42" s="342"/>
      <c r="D42" s="342"/>
      <c r="E42" s="342"/>
      <c r="F42" s="342"/>
      <c r="G42" s="342"/>
      <c r="H42" s="342"/>
      <c r="I42" s="342"/>
      <c r="J42" s="342"/>
      <c r="K42" s="342"/>
      <c r="L42" s="342"/>
      <c r="M42" s="342"/>
      <c r="N42" s="342"/>
      <c r="O42" s="342"/>
      <c r="P42" s="342"/>
      <c r="Q42" s="342"/>
    </row>
    <row r="43" spans="1:17" ht="15.5">
      <c r="E43" s="342"/>
      <c r="F43" s="342"/>
      <c r="G43" s="342"/>
      <c r="H43" s="342"/>
      <c r="I43" s="342"/>
      <c r="J43" s="342"/>
      <c r="K43" s="342"/>
      <c r="L43" s="342"/>
      <c r="M43" s="342"/>
      <c r="N43" s="342"/>
      <c r="O43" s="342"/>
      <c r="P43" s="342"/>
      <c r="Q43" s="342"/>
    </row>
    <row r="44" spans="1:17" ht="15.5">
      <c r="E44" s="342"/>
      <c r="F44" s="342"/>
      <c r="G44" s="342"/>
      <c r="H44" s="342"/>
      <c r="I44" s="342"/>
      <c r="J44" s="342"/>
      <c r="K44" s="342"/>
      <c r="L44" s="342"/>
      <c r="M44" s="342"/>
      <c r="N44" s="342"/>
      <c r="O44" s="342"/>
      <c r="P44" s="342"/>
      <c r="Q44" s="342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6"/>
  <sheetViews>
    <sheetView showZeros="0" rightToLeft="1" zoomScaleNormal="100" workbookViewId="0">
      <pane xSplit="1" ySplit="5" topLeftCell="B18" activePane="bottomRight" state="frozen"/>
      <selection activeCell="T20" sqref="T20"/>
      <selection pane="topRight" activeCell="T20" sqref="T20"/>
      <selection pane="bottomLeft" activeCell="T20" sqref="T20"/>
      <selection pane="bottomRight" activeCell="T20" sqref="T20"/>
    </sheetView>
  </sheetViews>
  <sheetFormatPr defaultColWidth="9.1796875" defaultRowHeight="15.5"/>
  <cols>
    <col min="1" max="1" width="14.81640625" style="86" customWidth="1"/>
    <col min="2" max="3" width="12.7265625" style="87" customWidth="1"/>
    <col min="4" max="4" width="11.1796875" style="87" customWidth="1"/>
    <col min="5" max="5" width="14.1796875" style="87" hidden="1" customWidth="1"/>
    <col min="6" max="8" width="12.7265625" style="87" hidden="1" customWidth="1"/>
    <col min="9" max="9" width="11.1796875" style="87" hidden="1" customWidth="1"/>
    <col min="10" max="10" width="12.7265625" style="82" customWidth="1"/>
    <col min="11" max="11" width="10.81640625" style="87" customWidth="1"/>
    <col min="12" max="12" width="11.1796875" style="87" customWidth="1"/>
    <col min="13" max="13" width="12.54296875" style="87" customWidth="1"/>
    <col min="14" max="14" width="12.7265625" style="82" hidden="1" customWidth="1"/>
    <col min="15" max="17" width="12.1796875" style="87" hidden="1" customWidth="1"/>
    <col min="18" max="18" width="10.26953125" style="87" customWidth="1"/>
    <col min="19" max="19" width="12.453125" style="87" customWidth="1"/>
    <col min="20" max="20" width="12.1796875" style="87" bestFit="1" customWidth="1"/>
    <col min="21" max="21" width="10.81640625" style="87" customWidth="1"/>
    <col min="22" max="22" width="9.1796875" style="87" hidden="1" customWidth="1"/>
    <col min="23" max="23" width="11.81640625" style="87" customWidth="1"/>
    <col min="24" max="24" width="11.1796875" style="87" customWidth="1"/>
    <col min="25" max="25" width="14.1796875" style="84" hidden="1" customWidth="1"/>
    <col min="26" max="26" width="11.81640625" style="82" customWidth="1"/>
    <col min="27" max="27" width="10" style="82" customWidth="1"/>
    <col min="28" max="28" width="9.1796875" style="84"/>
    <col min="29" max="29" width="10.1796875" style="84" customWidth="1"/>
    <col min="30" max="16384" width="9.1796875" style="84"/>
  </cols>
  <sheetData>
    <row r="2" spans="1:27" s="71" customFormat="1" ht="23">
      <c r="A2" s="397" t="s">
        <v>144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Z2" s="82"/>
      <c r="AA2" s="82"/>
    </row>
    <row r="3" spans="1:27" s="587" customFormat="1" ht="20.149999999999999" customHeight="1">
      <c r="A3" s="585"/>
      <c r="B3" s="386"/>
      <c r="C3" s="586"/>
      <c r="D3" s="586"/>
      <c r="E3" s="586"/>
      <c r="F3" s="586"/>
      <c r="G3" s="586"/>
      <c r="H3" s="586"/>
      <c r="I3" s="586"/>
      <c r="J3" s="386"/>
      <c r="K3" s="386"/>
      <c r="L3" s="386"/>
      <c r="M3" s="386"/>
      <c r="N3" s="386"/>
      <c r="O3" s="386"/>
      <c r="P3" s="386"/>
      <c r="Q3" s="386"/>
      <c r="R3" s="386"/>
      <c r="S3" s="386"/>
      <c r="T3" s="386"/>
      <c r="U3" s="386"/>
      <c r="V3" s="386"/>
      <c r="W3" s="386"/>
      <c r="X3" s="386"/>
      <c r="Z3" s="82"/>
      <c r="AA3" s="82"/>
    </row>
    <row r="4" spans="1:27" s="78" customFormat="1">
      <c r="A4" s="75"/>
      <c r="B4" s="717" t="s">
        <v>145</v>
      </c>
      <c r="C4" s="717"/>
      <c r="D4" s="717"/>
      <c r="E4" s="717"/>
      <c r="F4" s="717"/>
      <c r="G4" s="717"/>
      <c r="H4" s="717"/>
      <c r="I4" s="717"/>
      <c r="J4" s="717"/>
      <c r="K4" s="717"/>
      <c r="L4" s="717"/>
      <c r="M4" s="717"/>
      <c r="N4" s="717"/>
      <c r="O4" s="717"/>
      <c r="P4" s="76"/>
      <c r="Q4" s="76"/>
      <c r="R4" s="717" t="s">
        <v>146</v>
      </c>
      <c r="S4" s="717"/>
      <c r="T4" s="717"/>
      <c r="U4" s="718"/>
      <c r="V4" s="718"/>
      <c r="W4" s="717"/>
      <c r="X4" s="717"/>
      <c r="Y4" s="78" t="s">
        <v>1084</v>
      </c>
      <c r="Z4" s="82"/>
      <c r="AA4" s="82"/>
    </row>
    <row r="5" spans="1:27" s="62" customFormat="1" ht="62">
      <c r="A5" s="75" t="s">
        <v>147</v>
      </c>
      <c r="B5" s="75" t="s">
        <v>148</v>
      </c>
      <c r="C5" s="75" t="s">
        <v>4</v>
      </c>
      <c r="D5" s="75" t="s">
        <v>149</v>
      </c>
      <c r="E5" s="75" t="s">
        <v>164</v>
      </c>
      <c r="F5" s="26" t="s">
        <v>7</v>
      </c>
      <c r="G5" s="26" t="s">
        <v>8</v>
      </c>
      <c r="H5" s="26" t="s">
        <v>9</v>
      </c>
      <c r="I5" s="26" t="s">
        <v>10</v>
      </c>
      <c r="J5" s="48" t="s">
        <v>11</v>
      </c>
      <c r="K5" s="11" t="s">
        <v>627</v>
      </c>
      <c r="L5" s="75" t="s">
        <v>628</v>
      </c>
      <c r="M5" s="75" t="s">
        <v>629</v>
      </c>
      <c r="N5" s="48" t="s">
        <v>150</v>
      </c>
      <c r="O5" s="26" t="s">
        <v>630</v>
      </c>
      <c r="P5" s="26" t="s">
        <v>740</v>
      </c>
      <c r="Q5" s="26" t="s">
        <v>632</v>
      </c>
      <c r="R5" s="26" t="s">
        <v>633</v>
      </c>
      <c r="S5" s="26" t="s">
        <v>634</v>
      </c>
      <c r="T5" s="79" t="s">
        <v>13</v>
      </c>
      <c r="U5" s="75" t="s">
        <v>14</v>
      </c>
      <c r="V5" s="54" t="s">
        <v>15</v>
      </c>
      <c r="W5" s="54" t="s">
        <v>523</v>
      </c>
      <c r="X5" s="75" t="s">
        <v>140</v>
      </c>
      <c r="Y5" s="34"/>
      <c r="Z5" s="82"/>
      <c r="AA5" s="82"/>
    </row>
    <row r="6" spans="1:27" s="62" customFormat="1">
      <c r="A6" s="75"/>
      <c r="B6" s="75"/>
      <c r="C6" s="75"/>
      <c r="D6" s="75"/>
      <c r="E6" s="75"/>
      <c r="F6" s="26"/>
      <c r="G6" s="26"/>
      <c r="H6" s="26"/>
      <c r="I6" s="26"/>
      <c r="J6" s="48"/>
      <c r="K6" s="11"/>
      <c r="L6" s="75"/>
      <c r="M6" s="75"/>
      <c r="N6" s="48"/>
      <c r="O6" s="26"/>
      <c r="P6" s="26"/>
      <c r="Q6" s="26"/>
      <c r="R6" s="26"/>
      <c r="S6" s="75"/>
      <c r="T6" s="79"/>
      <c r="U6" s="75"/>
      <c r="V6" s="54"/>
      <c r="W6" s="54"/>
      <c r="X6" s="75"/>
      <c r="Y6" s="34"/>
      <c r="Z6" s="82"/>
      <c r="AA6" s="82"/>
    </row>
    <row r="7" spans="1:27" s="62" customFormat="1" ht="27" customHeight="1">
      <c r="A7" s="392" t="s">
        <v>1173</v>
      </c>
      <c r="B7" s="14">
        <f>'תקציב הנדסה 2019'!D$104</f>
        <v>849930879</v>
      </c>
      <c r="C7" s="14">
        <f>'תקציב הנדסה 2019'!E$104</f>
        <v>699330541</v>
      </c>
      <c r="D7" s="14">
        <f>'תקציב הנדסה 2019'!F$104</f>
        <v>150600338</v>
      </c>
      <c r="E7" s="14">
        <f>'תקציב הנדסה 2019'!G$104</f>
        <v>324115229</v>
      </c>
      <c r="F7" s="14">
        <f>'תקציב הנדסה 2019'!H$104</f>
        <v>251391656.93999994</v>
      </c>
      <c r="G7" s="14">
        <f>'תקציב הנדסה 2019'!I$104</f>
        <v>22234190.400000002</v>
      </c>
      <c r="H7" s="14">
        <f>'תקציב הנדסה 2019'!J$104</f>
        <v>11172990.59</v>
      </c>
      <c r="I7" s="14">
        <f>'תקציב הנדסה 2019'!K$104</f>
        <v>33407180.989999995</v>
      </c>
      <c r="J7" s="14">
        <f>'תקציב הנדסה 2019'!L$104</f>
        <v>284798837.93000007</v>
      </c>
      <c r="K7" s="14">
        <f>'תקציב הנדסה 2019'!M$104</f>
        <v>17597391.070000004</v>
      </c>
      <c r="L7" s="14">
        <f>'תקציב הנדסה 2019'!N$104</f>
        <v>64635580</v>
      </c>
      <c r="M7" s="14">
        <f>'תקציב הנדסה 2019'!O$104</f>
        <v>482899070</v>
      </c>
      <c r="N7" s="14">
        <f>'תקציב הנדסה 2019'!P$104</f>
        <v>39316391.070000008</v>
      </c>
      <c r="O7" s="14">
        <f>'תקציב הנדסה 2019'!Q$104</f>
        <v>500000</v>
      </c>
      <c r="P7" s="14">
        <f>'תקציב הנדסה 2019'!R$104</f>
        <v>0</v>
      </c>
      <c r="Q7" s="14">
        <f>'תקציב הנדסה 2019'!S$104</f>
        <v>500000</v>
      </c>
      <c r="R7" s="14">
        <f>'תקציב הנדסה 2019'!T$104</f>
        <v>22219000</v>
      </c>
      <c r="S7" s="14">
        <f>'תקציב הנדסה 2019'!U$104</f>
        <v>42416580</v>
      </c>
      <c r="T7" s="14">
        <f>'תקציב הנדסה 2019'!V$104</f>
        <v>39542003</v>
      </c>
      <c r="U7" s="14">
        <f>'תקציב הנדסה 2019'!W$104</f>
        <v>0</v>
      </c>
      <c r="V7" s="14">
        <f>'תקציב הנדסה 2019'!X$104</f>
        <v>0</v>
      </c>
      <c r="W7" s="14">
        <f>'תקציב הנדסה 2019'!Y$104</f>
        <v>0</v>
      </c>
      <c r="X7" s="14">
        <f>'תקציב הנדסה 2019'!Z$104</f>
        <v>2874577</v>
      </c>
      <c r="Y7" s="37">
        <f>'תקציב הנדסה 2019'!A104</f>
        <v>98</v>
      </c>
      <c r="Z7" s="82"/>
      <c r="AA7" s="82"/>
    </row>
    <row r="8" spans="1:27" s="82" customFormat="1" ht="27" customHeight="1">
      <c r="A8" s="11" t="s">
        <v>444</v>
      </c>
      <c r="B8" s="80">
        <f>'תקציב החברה לפיתוח 2019'!D$117</f>
        <v>2499972125</v>
      </c>
      <c r="C8" s="80">
        <f>'תקציב החברה לפיתוח 2019'!E$117</f>
        <v>2075031725</v>
      </c>
      <c r="D8" s="80">
        <f>'תקציב החברה לפיתוח 2019'!F$117</f>
        <v>424940400</v>
      </c>
      <c r="E8" s="80">
        <f>'תקציב החברה לפיתוח 2019'!G$117</f>
        <v>959889223</v>
      </c>
      <c r="F8" s="80">
        <f>'תקציב החברה לפיתוח 2019'!H$117</f>
        <v>726844010.36000013</v>
      </c>
      <c r="G8" s="80">
        <f>'תקציב החברה לפיתוח 2019'!I$117</f>
        <v>2023721.4800000002</v>
      </c>
      <c r="H8" s="80">
        <f>'תקציב החברה לפיתוח 2019'!J$117</f>
        <v>103699919.32999998</v>
      </c>
      <c r="I8" s="80">
        <f>'תקציב החברה לפיתוח 2019'!K$117</f>
        <v>105723640.80999999</v>
      </c>
      <c r="J8" s="80">
        <f>'תקציב החברה לפיתוח 2019'!L$117</f>
        <v>832567651.1700002</v>
      </c>
      <c r="K8" s="80">
        <f>'תקציב החברה לפיתוח 2019'!M$117</f>
        <v>260752517.82999992</v>
      </c>
      <c r="L8" s="80">
        <f>'תקציב החברה לפיתוח 2019'!N$117</f>
        <v>320047335</v>
      </c>
      <c r="M8" s="80">
        <f>'תקציב החברה לפיתוח 2019'!O$117</f>
        <v>1086604621</v>
      </c>
      <c r="N8" s="80">
        <f>'תקציב החברה לפיתוח 2019'!P$117</f>
        <v>127321571.83</v>
      </c>
      <c r="O8" s="80">
        <f>'תקציב החברה לפיתוח 2019'!Q$117</f>
        <v>137425601</v>
      </c>
      <c r="P8" s="80">
        <f>'תקציב החברה לפיתוח 2019'!R$117</f>
        <v>6800000</v>
      </c>
      <c r="Q8" s="80">
        <f>'תקציב החברה לפיתוח 2019'!S$117</f>
        <v>144225601</v>
      </c>
      <c r="R8" s="80">
        <f>'תקציב החברה לפיתוח 2019'!T$117</f>
        <v>10794655</v>
      </c>
      <c r="S8" s="80">
        <f>'תקציב החברה לפיתוח 2019'!U$117</f>
        <v>309252680</v>
      </c>
      <c r="T8" s="80">
        <f>'תקציב החברה לפיתוח 2019'!V$117</f>
        <v>193844870</v>
      </c>
      <c r="U8" s="80">
        <f>'תקציב החברה לפיתוח 2019'!W$117</f>
        <v>2500000</v>
      </c>
      <c r="V8" s="80">
        <f>'תקציב החברה לפיתוח 2019'!X$117</f>
        <v>0</v>
      </c>
      <c r="W8" s="80">
        <f>'תקציב החברה לפיתוח 2019'!Y$117</f>
        <v>34722657</v>
      </c>
      <c r="X8" s="80">
        <f>'תקציב החברה לפיתוח 2019'!Z$117</f>
        <v>78185153</v>
      </c>
      <c r="Y8" s="81">
        <f>'תקציב החברה לפיתוח 2019'!A117</f>
        <v>105</v>
      </c>
      <c r="Z8" s="81"/>
    </row>
    <row r="9" spans="1:27" s="82" customFormat="1" ht="27" customHeight="1">
      <c r="A9" s="393" t="s">
        <v>1171</v>
      </c>
      <c r="B9" s="80">
        <f>'תקציב אגף ת.ב.ל 2019'!D$70</f>
        <v>659008945</v>
      </c>
      <c r="C9" s="80">
        <f>'תקציב אגף ת.ב.ל 2019'!E$70</f>
        <v>632243945</v>
      </c>
      <c r="D9" s="80">
        <f>'תקציב אגף ת.ב.ל 2019'!F$70</f>
        <v>26765000</v>
      </c>
      <c r="E9" s="80">
        <f>'תקציב אגף ת.ב.ל 2019'!G$70</f>
        <v>507684741</v>
      </c>
      <c r="F9" s="80">
        <f>'תקציב אגף ת.ב.ל 2019'!H$70</f>
        <v>432359545.21999997</v>
      </c>
      <c r="G9" s="80">
        <f>'תקציב אגף ת.ב.ל 2019'!I$70</f>
        <v>18484399.039999999</v>
      </c>
      <c r="H9" s="80">
        <f>'תקציב אגף ת.ב.ל 2019'!J$70</f>
        <v>36617167.289999999</v>
      </c>
      <c r="I9" s="80">
        <f>'תקציב אגף ת.ב.ל 2019'!K$70</f>
        <v>55101566.330000006</v>
      </c>
      <c r="J9" s="80">
        <f>'תקציב אגף ת.ב.ל 2019'!L$70</f>
        <v>487461111.55000001</v>
      </c>
      <c r="K9" s="80">
        <f>'תקציב אגף ת.ב.ל 2019'!M$70</f>
        <v>22273629.449999984</v>
      </c>
      <c r="L9" s="80">
        <f>'תקציב אגף ת.ב.ל 2019'!N$70</f>
        <v>49991300</v>
      </c>
      <c r="M9" s="80">
        <f>'תקציב אגף ת.ב.ל 2019'!O$70</f>
        <v>99282904</v>
      </c>
      <c r="N9" s="80">
        <f>'תקציב אגף ת.ב.ל 2019'!P$70</f>
        <v>20223629.449999988</v>
      </c>
      <c r="O9" s="80">
        <f>'תקציב אגף ת.ב.ל 2019'!Q$70</f>
        <v>2590000</v>
      </c>
      <c r="P9" s="80">
        <f>'תקציב אגף ת.ב.ל 2019'!R$70</f>
        <v>0</v>
      </c>
      <c r="Q9" s="80">
        <f>'תקציב אגף ת.ב.ל 2019'!S$70</f>
        <v>2590000</v>
      </c>
      <c r="R9" s="80">
        <f>'תקציב אגף ת.ב.ל 2019'!T$70</f>
        <v>540000</v>
      </c>
      <c r="S9" s="80">
        <f>'תקציב אגף ת.ב.ל 2019'!U$70</f>
        <v>49451300</v>
      </c>
      <c r="T9" s="80">
        <f>'תקציב אגף ת.ב.ל 2019'!V$70</f>
        <v>25230000</v>
      </c>
      <c r="U9" s="80">
        <f>'תקציב אגף ת.ב.ל 2019'!W$70</f>
        <v>15000000</v>
      </c>
      <c r="V9" s="80">
        <f>'תקציב אגף ת.ב.ל 2019'!X$70</f>
        <v>0</v>
      </c>
      <c r="W9" s="80">
        <f>'תקציב אגף ת.ב.ל 2019'!Y$70</f>
        <v>0</v>
      </c>
      <c r="X9" s="80">
        <f>'תקציב אגף ת.ב.ל 2019'!Z$70</f>
        <v>9221300</v>
      </c>
      <c r="Y9" s="82">
        <f>'תקציב אגף ת.ב.ל 2019'!A70</f>
        <v>64</v>
      </c>
    </row>
    <row r="10" spans="1:27" s="82" customFormat="1" ht="27" customHeight="1">
      <c r="A10" s="11" t="s">
        <v>247</v>
      </c>
      <c r="B10" s="80">
        <f>'תקציב אגף בטחון פיקוח סד"צ 2019'!D$11</f>
        <v>3735000</v>
      </c>
      <c r="C10" s="80">
        <f>'תקציב אגף בטחון פיקוח סד"צ 2019'!E$11</f>
        <v>2225000</v>
      </c>
      <c r="D10" s="80">
        <f>'תקציב אגף בטחון פיקוח סד"צ 2019'!F$11</f>
        <v>1510000</v>
      </c>
      <c r="E10" s="80">
        <f>'תקציב אגף בטחון פיקוח סד"צ 2019'!G$11</f>
        <v>2075000</v>
      </c>
      <c r="F10" s="80">
        <f>'תקציב אגף בטחון פיקוח סד"צ 2019'!H$11</f>
        <v>1876964.26</v>
      </c>
      <c r="G10" s="80">
        <f>'תקציב אגף בטחון פיקוח סד"צ 2019'!I$11</f>
        <v>0</v>
      </c>
      <c r="H10" s="80">
        <f>'תקציב אגף בטחון פיקוח סד"צ 2019'!J$11</f>
        <v>135281.96000000002</v>
      </c>
      <c r="I10" s="80">
        <f>'תקציב אגף בטחון פיקוח סד"צ 2019'!K$11</f>
        <v>135281.96000000002</v>
      </c>
      <c r="J10" s="80">
        <f>'תקציב אגף בטחון פיקוח סד"צ 2019'!L$11</f>
        <v>2012246.22</v>
      </c>
      <c r="K10" s="80">
        <f>'תקציב אגף בטחון פיקוח סד"צ 2019'!M$11</f>
        <v>22753.780000000086</v>
      </c>
      <c r="L10" s="80">
        <f>'תקציב אגף בטחון פיקוח סד"צ 2019'!N$11</f>
        <v>1700000</v>
      </c>
      <c r="M10" s="80">
        <f>'תקציב אגף בטחון פיקוח סד"צ 2019'!O$11</f>
        <v>0</v>
      </c>
      <c r="N10" s="80">
        <f>'תקציב אגף בטחון פיקוח סד"צ 2019'!P$11</f>
        <v>62753.780000000086</v>
      </c>
      <c r="O10" s="80">
        <f>'תקציב אגף בטחון פיקוח סד"צ 2019'!Q$11</f>
        <v>0</v>
      </c>
      <c r="P10" s="80">
        <f>'תקציב אגף בטחון פיקוח סד"צ 2019'!R$11</f>
        <v>0</v>
      </c>
      <c r="Q10" s="80">
        <f>'תקציב אגף בטחון פיקוח סד"צ 2019'!S$11</f>
        <v>0</v>
      </c>
      <c r="R10" s="80">
        <f>'תקציב אגף בטחון פיקוח סד"צ 2019'!T$11</f>
        <v>40000</v>
      </c>
      <c r="S10" s="80">
        <f>'תקציב אגף בטחון פיקוח סד"צ 2019'!U$11</f>
        <v>1660000</v>
      </c>
      <c r="T10" s="80">
        <f>'תקציב אגף בטחון פיקוח סד"צ 2019'!V$11</f>
        <v>0</v>
      </c>
      <c r="U10" s="80">
        <f>'תקציב אגף בטחון פיקוח סד"צ 2019'!W$11</f>
        <v>1660000</v>
      </c>
      <c r="V10" s="80">
        <f>'תקציב אגף בטחון פיקוח סד"צ 2019'!X$11</f>
        <v>0</v>
      </c>
      <c r="W10" s="80">
        <f>'תקציב אגף בטחון פיקוח סד"צ 2019'!Y$11</f>
        <v>0</v>
      </c>
      <c r="X10" s="80">
        <f>'תקציב אגף בטחון פיקוח סד"צ 2019'!Z$11</f>
        <v>0</v>
      </c>
      <c r="Y10" s="82">
        <f>'תקציב אגף בטחון פיקוח סד"צ 2019'!A11</f>
        <v>5</v>
      </c>
    </row>
    <row r="11" spans="1:27" s="82" customFormat="1" ht="27" customHeight="1">
      <c r="A11" s="393" t="s">
        <v>388</v>
      </c>
      <c r="B11" s="80">
        <f>'תקציב אגף חינוך 2019'!D$29</f>
        <v>18230363.133986652</v>
      </c>
      <c r="C11" s="80">
        <f>'תקציב אגף חינוך 2019'!E$29</f>
        <v>11385500</v>
      </c>
      <c r="D11" s="80">
        <f>'תקציב אגף חינוך 2019'!F$29</f>
        <v>6844863.13398665</v>
      </c>
      <c r="E11" s="80">
        <f>'תקציב אגף חינוך 2019'!G$29</f>
        <v>9038263</v>
      </c>
      <c r="F11" s="80">
        <f>'תקציב אגף חינוך 2019'!H$29</f>
        <v>4614992.4400000004</v>
      </c>
      <c r="G11" s="80">
        <f>'תקציב אגף חינוך 2019'!I$29</f>
        <v>0</v>
      </c>
      <c r="H11" s="80">
        <f>'תקציב אגף חינוך 2019'!J$29</f>
        <v>1851410.6500000001</v>
      </c>
      <c r="I11" s="80">
        <f>'תקציב אגף חינוך 2019'!K$29</f>
        <v>1851410.6500000001</v>
      </c>
      <c r="J11" s="80">
        <f>'תקציב אגף חינוך 2019'!L$29</f>
        <v>6466403.0899999999</v>
      </c>
      <c r="K11" s="80">
        <f>'תקציב אגף חינוך 2019'!M$29</f>
        <v>2071859.9100000001</v>
      </c>
      <c r="L11" s="80">
        <f>'תקציב אגף חינוך 2019'!N$29</f>
        <v>8912100.13398665</v>
      </c>
      <c r="M11" s="80">
        <f>'תקציב אגף חינוך 2019'!O$29</f>
        <v>780000</v>
      </c>
      <c r="N11" s="80">
        <f>'תקציב אגף חינוך 2019'!P$29</f>
        <v>2571859.9100000006</v>
      </c>
      <c r="O11" s="80">
        <f>'תקציב אגף חינוך 2019'!Q$29</f>
        <v>0</v>
      </c>
      <c r="P11" s="80">
        <f>'תקציב אגף חינוך 2019'!R$29</f>
        <v>0</v>
      </c>
      <c r="Q11" s="80">
        <f>'תקציב אגף חינוך 2019'!S$29</f>
        <v>0</v>
      </c>
      <c r="R11" s="80">
        <f>'תקציב אגף חינוך 2019'!T$29</f>
        <v>500000</v>
      </c>
      <c r="S11" s="80">
        <f>'תקציב אגף חינוך 2019'!U$29</f>
        <v>8412100.13398665</v>
      </c>
      <c r="T11" s="80">
        <f>'תקציב אגף חינוך 2019'!V$29</f>
        <v>0</v>
      </c>
      <c r="U11" s="80">
        <f>'תקציב אגף חינוך 2019'!W$29</f>
        <v>3534100.13398665</v>
      </c>
      <c r="V11" s="80">
        <f>'תקציב אגף חינוך 2019'!X$29</f>
        <v>0</v>
      </c>
      <c r="W11" s="80">
        <f>'תקציב אגף חינוך 2019'!Y$29</f>
        <v>0</v>
      </c>
      <c r="X11" s="80">
        <f>'תקציב אגף חינוך 2019'!Z$29</f>
        <v>4878000</v>
      </c>
      <c r="Y11" s="82">
        <f>'תקציב אגף חינוך 2019'!A29</f>
        <v>23</v>
      </c>
    </row>
    <row r="12" spans="1:27" s="82" customFormat="1" ht="27" customHeight="1">
      <c r="A12" s="393" t="s">
        <v>1048</v>
      </c>
      <c r="B12" s="80">
        <f>'תקציב אגף תנוס 2019'!D$16</f>
        <v>14813365</v>
      </c>
      <c r="C12" s="80">
        <f>'תקציב אגף תנוס 2019'!E$16</f>
        <v>13843365</v>
      </c>
      <c r="D12" s="80">
        <f>'תקציב אגף תנוס 2019'!F$16</f>
        <v>970000</v>
      </c>
      <c r="E12" s="80">
        <f>'תקציב אגף תנוס 2019'!G$16</f>
        <v>8328365</v>
      </c>
      <c r="F12" s="80">
        <f>'תקציב אגף תנוס 2019'!H$16</f>
        <v>6323918.959999999</v>
      </c>
      <c r="G12" s="80">
        <f>'תקציב אגף תנוס 2019'!I$16</f>
        <v>0</v>
      </c>
      <c r="H12" s="80">
        <f>'תקציב אגף תנוס 2019'!J$16</f>
        <v>660990.71</v>
      </c>
      <c r="I12" s="80">
        <f>'תקציב אגף תנוס 2019'!K$16</f>
        <v>660990.71</v>
      </c>
      <c r="J12" s="80">
        <f>'תקציב אגף תנוס 2019'!L$16</f>
        <v>6984909.669999999</v>
      </c>
      <c r="K12" s="80">
        <f>'תקציב אגף תנוס 2019'!M$16</f>
        <v>4243455.33</v>
      </c>
      <c r="L12" s="80">
        <f>'תקציב אגף תנוס 2019'!N$16</f>
        <v>3120000</v>
      </c>
      <c r="M12" s="80">
        <f>'תקציב אגף תנוס 2019'!O$16</f>
        <v>465000</v>
      </c>
      <c r="N12" s="80">
        <f>'תקציב אגף תנוס 2019'!P$16</f>
        <v>1343455.33</v>
      </c>
      <c r="O12" s="80">
        <f>'תקציב אגף תנוס 2019'!Q$16</f>
        <v>2900000</v>
      </c>
      <c r="P12" s="80">
        <f>'תקציב אגף תנוס 2019'!R$16</f>
        <v>0</v>
      </c>
      <c r="Q12" s="80">
        <f>'תקציב אגף תנוס 2019'!S$16</f>
        <v>2900000</v>
      </c>
      <c r="R12" s="80">
        <f>'תקציב אגף תנוס 2019'!T$16</f>
        <v>0</v>
      </c>
      <c r="S12" s="80">
        <f>'תקציב אגף תנוס 2019'!U$16</f>
        <v>3120000</v>
      </c>
      <c r="T12" s="80">
        <f>'תקציב אגף תנוס 2019'!V$16</f>
        <v>0</v>
      </c>
      <c r="U12" s="80">
        <f>'תקציב אגף תנוס 2019'!W$16</f>
        <v>3120000</v>
      </c>
      <c r="V12" s="80">
        <f>'תקציב אגף תנוס 2019'!X$16</f>
        <v>0</v>
      </c>
      <c r="W12" s="80">
        <f>'תקציב אגף תנוס 2019'!Y$16</f>
        <v>0</v>
      </c>
      <c r="X12" s="80">
        <f>'תקציב אגף תנוס 2019'!Z$16</f>
        <v>0</v>
      </c>
      <c r="Y12" s="82">
        <f>'תקציב אגף תנוס 2019'!A16</f>
        <v>10</v>
      </c>
    </row>
    <row r="13" spans="1:27" s="82" customFormat="1" ht="27" customHeight="1">
      <c r="A13" s="11" t="s">
        <v>154</v>
      </c>
      <c r="B13" s="80">
        <f>'תקציב אגף שאיפה  2019'!D$49</f>
        <v>231868059</v>
      </c>
      <c r="C13" s="80">
        <f>'תקציב אגף שאיפה  2019'!E$49</f>
        <v>246322059</v>
      </c>
      <c r="D13" s="80">
        <f>'תקציב אגף שאיפה  2019'!F$49</f>
        <v>-14454000</v>
      </c>
      <c r="E13" s="80">
        <f>'תקציב אגף שאיפה  2019'!G$49</f>
        <v>174365579</v>
      </c>
      <c r="F13" s="80">
        <f>'תקציב אגף שאיפה  2019'!H$49</f>
        <v>156748875.67999998</v>
      </c>
      <c r="G13" s="80">
        <f>'תקציב אגף שאיפה  2019'!I$49</f>
        <v>474201</v>
      </c>
      <c r="H13" s="80">
        <f>'תקציב אגף שאיפה  2019'!J$49</f>
        <v>12594137.780000001</v>
      </c>
      <c r="I13" s="80">
        <f>'תקציב אגף שאיפה  2019'!K$49</f>
        <v>13068338.780000001</v>
      </c>
      <c r="J13" s="80">
        <f>'תקציב אגף שאיפה  2019'!L$49</f>
        <v>169817214.45999995</v>
      </c>
      <c r="K13" s="80">
        <f>'תקציב אגף שאיפה  2019'!M$49</f>
        <v>7236164.5399999991</v>
      </c>
      <c r="L13" s="80">
        <f>'תקציב אגף שאיפה  2019'!N$49</f>
        <v>36445000</v>
      </c>
      <c r="M13" s="80">
        <f>'תקציב אגף שאיפה  2019'!O$49</f>
        <v>18369680</v>
      </c>
      <c r="N13" s="80">
        <f>'תקציב אגף שאיפה  2019'!P$49</f>
        <v>4548364.54</v>
      </c>
      <c r="O13" s="80">
        <f>'תקציב אגף שאיפה  2019'!Q$49</f>
        <v>2700000</v>
      </c>
      <c r="P13" s="80">
        <f>'תקציב אגף שאיפה  2019'!R$49</f>
        <v>27800</v>
      </c>
      <c r="Q13" s="80">
        <f>'תקציב אגף שאיפה  2019'!S$49</f>
        <v>2727800</v>
      </c>
      <c r="R13" s="80">
        <f>'תקציב אגף שאיפה  2019'!T$49</f>
        <v>40000</v>
      </c>
      <c r="S13" s="80">
        <f>'תקציב אגף שאיפה  2019'!U$49</f>
        <v>36405000</v>
      </c>
      <c r="T13" s="80">
        <f>'תקציב אגף שאיפה  2019'!V$49</f>
        <v>10365000</v>
      </c>
      <c r="U13" s="80">
        <f>'תקציב אגף שאיפה  2019'!W$49</f>
        <v>8550000</v>
      </c>
      <c r="V13" s="80">
        <f>'תקציב אגף שאיפה  2019'!X$49</f>
        <v>0</v>
      </c>
      <c r="W13" s="80">
        <f>'תקציב אגף שאיפה  2019'!Y$49</f>
        <v>0</v>
      </c>
      <c r="X13" s="80">
        <f>'תקציב אגף שאיפה  2019'!Z$49</f>
        <v>17490000</v>
      </c>
      <c r="Y13" s="82">
        <f>'תקציב אגף שאיפה  2019'!A49</f>
        <v>42</v>
      </c>
    </row>
    <row r="14" spans="1:27" s="82" customFormat="1" ht="27" customHeight="1">
      <c r="A14" s="11" t="s">
        <v>371</v>
      </c>
      <c r="B14" s="80">
        <f>'תקציב רשות החופים 2019'!D$25</f>
        <v>7879159</v>
      </c>
      <c r="C14" s="80">
        <f>'תקציב רשות החופים 2019'!E$25</f>
        <v>9541000</v>
      </c>
      <c r="D14" s="80">
        <f>'תקציב רשות החופים 2019'!F$25</f>
        <v>-1661841</v>
      </c>
      <c r="E14" s="80">
        <f>'תקציב רשות החופים 2019'!G$25</f>
        <v>5613000</v>
      </c>
      <c r="F14" s="80">
        <f>'תקציב רשות החופים 2019'!H$25</f>
        <v>4759043.32</v>
      </c>
      <c r="G14" s="80">
        <f>'תקציב רשות החופים 2019'!I$25</f>
        <v>354044.03</v>
      </c>
      <c r="H14" s="80">
        <f>'תקציב רשות החופים 2019'!J$25</f>
        <v>255698.02000000002</v>
      </c>
      <c r="I14" s="80">
        <f>'תקציב רשות החופים 2019'!K$25</f>
        <v>609742.05000000005</v>
      </c>
      <c r="J14" s="80">
        <f>'תקציב רשות החופים 2019'!L$25</f>
        <v>5368785.3700000001</v>
      </c>
      <c r="K14" s="80">
        <f>'תקציב רשות החופים 2019'!M$25</f>
        <v>214214.62999999998</v>
      </c>
      <c r="L14" s="80">
        <f>'תקציב רשות החופים 2019'!N$25</f>
        <v>1896159</v>
      </c>
      <c r="M14" s="80">
        <f>'תקציב רשות החופים 2019'!O$25</f>
        <v>400000</v>
      </c>
      <c r="N14" s="80">
        <f>'תקציב רשות החופים 2019'!P$25</f>
        <v>244214.62999999998</v>
      </c>
      <c r="O14" s="80">
        <f>'תקציב רשות החופים 2019'!Q$25</f>
        <v>0</v>
      </c>
      <c r="P14" s="80">
        <f>'תקציב רשות החופים 2019'!R$25</f>
        <v>0</v>
      </c>
      <c r="Q14" s="80">
        <f>'תקציב רשות החופים 2019'!S$25</f>
        <v>0</v>
      </c>
      <c r="R14" s="80">
        <f>'תקציב רשות החופים 2019'!T$25</f>
        <v>30000</v>
      </c>
      <c r="S14" s="80">
        <f>'תקציב רשות החופים 2019'!U$25</f>
        <v>1866159</v>
      </c>
      <c r="T14" s="80">
        <f>'תקציב רשות החופים 2019'!V$25</f>
        <v>0</v>
      </c>
      <c r="U14" s="80">
        <f>'תקציב רשות החופים 2019'!W$25</f>
        <v>1670000</v>
      </c>
      <c r="V14" s="80">
        <f>'תקציב רשות החופים 2019'!X$25</f>
        <v>0</v>
      </c>
      <c r="W14" s="80">
        <f>'תקציב רשות החופים 2019'!Y$25</f>
        <v>0</v>
      </c>
      <c r="X14" s="80">
        <f>'תקציב רשות החופים 2019'!Z$25</f>
        <v>196159</v>
      </c>
      <c r="Y14" s="82">
        <f>'תקציב רשות החופים 2019'!A25</f>
        <v>19</v>
      </c>
    </row>
    <row r="15" spans="1:27" s="82" customFormat="1" ht="27" customHeight="1">
      <c r="A15" s="11" t="s">
        <v>156</v>
      </c>
      <c r="B15" s="80">
        <f>'תקציב החברה לתירות 2019'!D$19</f>
        <v>39693000</v>
      </c>
      <c r="C15" s="80">
        <f>'תקציב החברה לתירות 2019'!E$19</f>
        <v>39693000</v>
      </c>
      <c r="D15" s="80">
        <f>'תקציב החברה לתירות 2019'!F$19</f>
        <v>0</v>
      </c>
      <c r="E15" s="80">
        <f>'תקציב החברה לתירות 2019'!G$19</f>
        <v>12130000</v>
      </c>
      <c r="F15" s="80">
        <f>'תקציב החברה לתירות 2019'!H$19</f>
        <v>10252507.559999999</v>
      </c>
      <c r="G15" s="80">
        <f>'תקציב החברה לתירות 2019'!I$19</f>
        <v>0</v>
      </c>
      <c r="H15" s="80">
        <f>'תקציב החברה לתירות 2019'!J$19</f>
        <v>0</v>
      </c>
      <c r="I15" s="80">
        <f>'תקציב החברה לתירות 2019'!K$19</f>
        <v>0</v>
      </c>
      <c r="J15" s="80">
        <f>'תקציב החברה לתירות 2019'!L$19</f>
        <v>10252507.559999999</v>
      </c>
      <c r="K15" s="80">
        <f>'תקציב החברה לתירות 2019'!M$19</f>
        <v>2077492.44</v>
      </c>
      <c r="L15" s="80">
        <f>'תקציב החברה לתירות 2019'!N$19</f>
        <v>7930000</v>
      </c>
      <c r="M15" s="80">
        <f>'תקציב החברה לתירות 2019'!O$19</f>
        <v>19433000</v>
      </c>
      <c r="N15" s="80">
        <f>'תקציב החברה לתירות 2019'!P$19</f>
        <v>1877492.44</v>
      </c>
      <c r="O15" s="80">
        <f>'תקציב החברה לתירות 2019'!Q$19</f>
        <v>200000</v>
      </c>
      <c r="P15" s="80">
        <f>'תקציב החברה לתירות 2019'!R$19</f>
        <v>0</v>
      </c>
      <c r="Q15" s="80">
        <f>'תקציב החברה לתירות 2019'!S$19</f>
        <v>200000</v>
      </c>
      <c r="R15" s="80">
        <f>'תקציב החברה לתירות 2019'!T$19</f>
        <v>0</v>
      </c>
      <c r="S15" s="80">
        <f>'תקציב החברה לתירות 2019'!U$19</f>
        <v>7930000</v>
      </c>
      <c r="T15" s="80">
        <f>'תקציב החברה לתירות 2019'!V$19</f>
        <v>3130000</v>
      </c>
      <c r="U15" s="80">
        <f>'תקציב החברה לתירות 2019'!W$19</f>
        <v>0</v>
      </c>
      <c r="V15" s="80">
        <f>'תקציב החברה לתירות 2019'!X$19</f>
        <v>0</v>
      </c>
      <c r="W15" s="80">
        <f>'תקציב החברה לתירות 2019'!Y$19</f>
        <v>0</v>
      </c>
      <c r="X15" s="80">
        <f>'תקציב החברה לתירות 2019'!Z$19</f>
        <v>4800000</v>
      </c>
      <c r="Y15" s="82">
        <f>'תקציב החברה לתירות 2019'!A19</f>
        <v>13</v>
      </c>
    </row>
    <row r="16" spans="1:27" s="82" customFormat="1" ht="27" customHeight="1">
      <c r="A16" s="11" t="s">
        <v>1428</v>
      </c>
      <c r="B16" s="80">
        <f>'תקציב אגף תקשוב 2019'!D$14</f>
        <v>49590000</v>
      </c>
      <c r="C16" s="80">
        <f>'תקציב אגף תקשוב 2019'!E$14</f>
        <v>41510000</v>
      </c>
      <c r="D16" s="80">
        <f>'תקציב אגף תקשוב 2019'!F$14</f>
        <v>8080000</v>
      </c>
      <c r="E16" s="80">
        <f>'תקציב אגף תקשוב 2019'!G$14</f>
        <v>18048000</v>
      </c>
      <c r="F16" s="80">
        <f>'תקציב אגף תקשוב 2019'!H$14</f>
        <v>8495620.3200000003</v>
      </c>
      <c r="G16" s="80">
        <f>'תקציב אגף תקשוב 2019'!I$14</f>
        <v>5613414</v>
      </c>
      <c r="H16" s="80">
        <f>'תקציב אגף תקשוב 2019'!J$14</f>
        <v>331169</v>
      </c>
      <c r="I16" s="80">
        <f>'תקציב אגף תקשוב 2019'!K$14</f>
        <v>5944583</v>
      </c>
      <c r="J16" s="80">
        <f>'תקציב אגף תקשוב 2019'!L$14</f>
        <v>14440203.32</v>
      </c>
      <c r="K16" s="80">
        <f>'תקציב אגף תקשוב 2019'!M$14</f>
        <v>3524796.74</v>
      </c>
      <c r="L16" s="80">
        <f>'תקציב אגף תקשוב 2019'!N$14</f>
        <v>13008000</v>
      </c>
      <c r="M16" s="80">
        <f>'תקציב אגף תקשוב 2019'!O$14</f>
        <v>18616999.939999998</v>
      </c>
      <c r="N16" s="80">
        <f>'תקציב אגף תקשוב 2019'!P$14</f>
        <v>3607796.6799999997</v>
      </c>
      <c r="O16" s="80">
        <f>'תקציב אגף תקשוב 2019'!Q$14</f>
        <v>0</v>
      </c>
      <c r="P16" s="80">
        <f>'תקציב אגף תקשוב 2019'!R$14</f>
        <v>0</v>
      </c>
      <c r="Q16" s="80">
        <f>'תקציב אגף תקשוב 2019'!S$14</f>
        <v>0</v>
      </c>
      <c r="R16" s="80">
        <f>'תקציב אגף תקשוב 2019'!T$14</f>
        <v>82999.939999999944</v>
      </c>
      <c r="S16" s="80">
        <f>'תקציב אגף תקשוב 2019'!U$14</f>
        <v>12925000.060000001</v>
      </c>
      <c r="T16" s="80">
        <f>'תקציב אגף תקשוב 2019'!V$14</f>
        <v>5450000</v>
      </c>
      <c r="U16" s="80">
        <f>'תקציב אגף תקשוב 2019'!W$14</f>
        <v>4475000.0600000005</v>
      </c>
      <c r="V16" s="80">
        <f>'תקציב אגף תקשוב 2019'!X$14</f>
        <v>0</v>
      </c>
      <c r="W16" s="80">
        <f>'תקציב אגף תקשוב 2019'!Y$14</f>
        <v>0</v>
      </c>
      <c r="X16" s="80">
        <f>'תקציב אגף תקשוב 2019'!Z$14</f>
        <v>3000000</v>
      </c>
      <c r="Y16" s="82">
        <f>'תקציב אגף תקשוב 2019'!A14</f>
        <v>8</v>
      </c>
    </row>
    <row r="17" spans="1:25" s="82" customFormat="1" ht="27" customHeight="1">
      <c r="A17" s="11" t="s">
        <v>1427</v>
      </c>
      <c r="B17" s="80">
        <f>'תקציב אגף נכסים וביטוח 2019'!D$23</f>
        <v>161849000</v>
      </c>
      <c r="C17" s="80">
        <f>'תקציב אגף נכסים וביטוח 2019'!E$23</f>
        <v>158949700</v>
      </c>
      <c r="D17" s="80">
        <f>'תקציב אגף נכסים וביטוח 2019'!F$23</f>
        <v>2899300</v>
      </c>
      <c r="E17" s="80">
        <f>'תקציב אגף נכסים וביטוח 2019'!G$23</f>
        <v>86452525</v>
      </c>
      <c r="F17" s="80">
        <f>'תקציב אגף נכסים וביטוח 2019'!H$23</f>
        <v>67056335.199999996</v>
      </c>
      <c r="G17" s="80">
        <f>'תקציב אגף נכסים וביטוח 2019'!I$23</f>
        <v>0</v>
      </c>
      <c r="H17" s="80">
        <f>'תקציב אגף נכסים וביטוח 2019'!J$23</f>
        <v>36241</v>
      </c>
      <c r="I17" s="80">
        <f>'תקציב אגף נכסים וביטוח 2019'!K$23</f>
        <v>36241</v>
      </c>
      <c r="J17" s="80">
        <f>'תקציב אגף נכסים וביטוח 2019'!L$23</f>
        <v>67092576.199999996</v>
      </c>
      <c r="K17" s="80">
        <f>'תקציב אגף נכסים וביטוח 2019'!M$23</f>
        <v>19369948.800000001</v>
      </c>
      <c r="L17" s="80">
        <f>'תקציב אגף נכסים וביטוח 2019'!N$23</f>
        <v>7949300</v>
      </c>
      <c r="M17" s="80">
        <f>'תקציב אגף נכסים וביטוח 2019'!O$23</f>
        <v>67437175</v>
      </c>
      <c r="N17" s="80">
        <f>'תקציב אגף נכסים וביטוח 2019'!P$23</f>
        <v>19359948.800000001</v>
      </c>
      <c r="O17" s="80">
        <f>'תקציב אגף נכסים וביטוח 2019'!Q$23</f>
        <v>10000</v>
      </c>
      <c r="P17" s="80">
        <f>'תקציב אגף נכסים וביטוח 2019'!R$23</f>
        <v>0</v>
      </c>
      <c r="Q17" s="80">
        <f>'תקציב אגף נכסים וביטוח 2019'!S$23</f>
        <v>10000</v>
      </c>
      <c r="R17" s="80">
        <f>'תקציב אגף נכסים וביטוח 2019'!T$23</f>
        <v>0</v>
      </c>
      <c r="S17" s="80">
        <f>'תקציב אגף נכסים וביטוח 2019'!U$23</f>
        <v>7949300</v>
      </c>
      <c r="T17" s="80">
        <f>'תקציב אגף נכסים וביטוח 2019'!V$23</f>
        <v>7949300</v>
      </c>
      <c r="U17" s="80">
        <f>'תקציב אגף נכסים וביטוח 2019'!W$23</f>
        <v>0</v>
      </c>
      <c r="V17" s="80">
        <f>'תקציב אגף נכסים וביטוח 2019'!X$23</f>
        <v>0</v>
      </c>
      <c r="W17" s="80">
        <f>'תקציב אגף נכסים וביטוח 2019'!Y$23</f>
        <v>0</v>
      </c>
      <c r="X17" s="80">
        <f>'תקציב אגף נכסים וביטוח 2019'!Z$23</f>
        <v>0</v>
      </c>
      <c r="Y17" s="82">
        <f>'תקציב אגף נכסים וביטוח 2019'!A23</f>
        <v>17</v>
      </c>
    </row>
    <row r="18" spans="1:25" s="82" customFormat="1" ht="27" customHeight="1">
      <c r="A18" s="11" t="s">
        <v>506</v>
      </c>
      <c r="B18" s="80">
        <f>'תקציב מינהל כללי 2019'!D$16</f>
        <v>136041606</v>
      </c>
      <c r="C18" s="80">
        <f>'תקציב מינהל כללי 2019'!E$16</f>
        <v>125991606</v>
      </c>
      <c r="D18" s="80">
        <f>'תקציב מינהל כללי 2019'!F$16</f>
        <v>10050000</v>
      </c>
      <c r="E18" s="80">
        <f>'תקציב מינהל כללי 2019'!G$16</f>
        <v>92058500</v>
      </c>
      <c r="F18" s="80">
        <f>'תקציב מינהל כללי 2019'!H$16</f>
        <v>71800967.069999993</v>
      </c>
      <c r="G18" s="80">
        <f>'תקציב מינהל כללי 2019'!I$16</f>
        <v>462414.37</v>
      </c>
      <c r="H18" s="80">
        <f>'תקציב מינהל כללי 2019'!J$16</f>
        <v>5816839.2599999998</v>
      </c>
      <c r="I18" s="80">
        <f>'תקציב מינהל כללי 2019'!K$16</f>
        <v>6279253.6299999999</v>
      </c>
      <c r="J18" s="80">
        <f>'תקציב מינהל כללי 2019'!L$16</f>
        <v>78080220.700000003</v>
      </c>
      <c r="K18" s="80">
        <f>'תקציב מינהל כללי 2019'!M$16</f>
        <v>10898006.299999999</v>
      </c>
      <c r="L18" s="80">
        <f>'תקציב מינהל כללי 2019'!N$16</f>
        <v>11100000</v>
      </c>
      <c r="M18" s="80">
        <f>'תקציב מינהל כללי 2019'!O$16</f>
        <v>35963379</v>
      </c>
      <c r="N18" s="80">
        <f>'תקציב מינהל כללי 2019'!P$16</f>
        <v>13978279.299999999</v>
      </c>
      <c r="O18" s="80">
        <f>'תקציב מינהל כללי 2019'!Q$16</f>
        <v>0</v>
      </c>
      <c r="P18" s="80">
        <f>'תקציב מינהל כללי 2019'!R$16</f>
        <v>0</v>
      </c>
      <c r="Q18" s="80">
        <f>'תקציב מינהל כללי 2019'!S$16</f>
        <v>0</v>
      </c>
      <c r="R18" s="80">
        <f>'תקציב מינהל כללי 2019'!T$16</f>
        <v>3080273</v>
      </c>
      <c r="S18" s="80">
        <f>'תקציב מינהל כללי 2019'!U$16</f>
        <v>8019727</v>
      </c>
      <c r="T18" s="80">
        <f>'תקציב מינהל כללי 2019'!V$16</f>
        <v>4528827</v>
      </c>
      <c r="U18" s="80">
        <f>'תקציב מינהל כללי 2019'!W$16</f>
        <v>3490900</v>
      </c>
      <c r="V18" s="80">
        <f>'תקציב מינהל כללי 2019'!X$16</f>
        <v>0</v>
      </c>
      <c r="W18" s="80">
        <f>'תקציב מינהל כללי 2019'!Y$16</f>
        <v>0</v>
      </c>
      <c r="X18" s="80">
        <f>'תקציב מינהל כללי 2019'!Z$16</f>
        <v>0</v>
      </c>
      <c r="Y18" s="82">
        <f>'תקציב מינהל כללי 2019'!A16</f>
        <v>10</v>
      </c>
    </row>
    <row r="19" spans="1:25" s="82" customFormat="1" ht="27" customHeight="1">
      <c r="A19" s="392" t="s">
        <v>433</v>
      </c>
      <c r="B19" s="80">
        <f>SUM(B7:B18)</f>
        <v>4672611501.1339865</v>
      </c>
      <c r="C19" s="80">
        <f t="shared" ref="C19:Y19" si="0">SUM(C7:C18)</f>
        <v>4056067441</v>
      </c>
      <c r="D19" s="80">
        <f t="shared" si="0"/>
        <v>616544060.13398659</v>
      </c>
      <c r="E19" s="80">
        <f t="shared" si="0"/>
        <v>2199798425</v>
      </c>
      <c r="F19" s="80">
        <f t="shared" si="0"/>
        <v>1742524437.3299999</v>
      </c>
      <c r="G19" s="80">
        <f t="shared" si="0"/>
        <v>49646384.32</v>
      </c>
      <c r="H19" s="80">
        <f t="shared" si="0"/>
        <v>173171845.59</v>
      </c>
      <c r="I19" s="80">
        <f t="shared" si="0"/>
        <v>222818229.91000003</v>
      </c>
      <c r="J19" s="80">
        <f t="shared" si="0"/>
        <v>1965342667.2400002</v>
      </c>
      <c r="K19" s="80">
        <f t="shared" si="0"/>
        <v>350282230.81999993</v>
      </c>
      <c r="L19" s="80">
        <f t="shared" si="0"/>
        <v>526734774.13398665</v>
      </c>
      <c r="M19" s="80">
        <f t="shared" si="0"/>
        <v>1830251828.9400001</v>
      </c>
      <c r="N19" s="80">
        <f t="shared" si="0"/>
        <v>234455757.76000002</v>
      </c>
      <c r="O19" s="80">
        <f t="shared" si="0"/>
        <v>146325601</v>
      </c>
      <c r="P19" s="80">
        <f t="shared" si="0"/>
        <v>6827800</v>
      </c>
      <c r="Q19" s="80">
        <f t="shared" si="0"/>
        <v>153153401</v>
      </c>
      <c r="R19" s="80">
        <f t="shared" si="0"/>
        <v>37326927.939999998</v>
      </c>
      <c r="S19" s="80">
        <f t="shared" si="0"/>
        <v>489407846.19398665</v>
      </c>
      <c r="T19" s="80">
        <f t="shared" si="0"/>
        <v>290040000</v>
      </c>
      <c r="U19" s="80">
        <f t="shared" si="0"/>
        <v>44000000.193986654</v>
      </c>
      <c r="V19" s="80">
        <f t="shared" si="0"/>
        <v>0</v>
      </c>
      <c r="W19" s="80">
        <f t="shared" si="0"/>
        <v>34722657</v>
      </c>
      <c r="X19" s="80">
        <f t="shared" si="0"/>
        <v>120645189</v>
      </c>
      <c r="Y19" s="80">
        <f t="shared" si="0"/>
        <v>414</v>
      </c>
    </row>
    <row r="20" spans="1:25" s="82" customFormat="1" hidden="1">
      <c r="A20" s="562"/>
      <c r="B20" s="81"/>
      <c r="C20" s="81"/>
      <c r="D20" s="81"/>
      <c r="E20" s="81"/>
      <c r="F20" s="81"/>
      <c r="G20" s="81"/>
      <c r="H20" s="81"/>
      <c r="I20" s="81"/>
      <c r="J20" s="80">
        <f>I19+F19</f>
        <v>1965342667.24</v>
      </c>
      <c r="K20" s="80">
        <f>N19+Q19-R19</f>
        <v>350282230.81999999</v>
      </c>
      <c r="L20" s="81"/>
      <c r="M20" s="81"/>
      <c r="N20" s="80">
        <f>E19-J19</f>
        <v>234455757.75999975</v>
      </c>
      <c r="O20" s="81"/>
      <c r="P20" s="81"/>
      <c r="Q20" s="81"/>
      <c r="R20" s="80">
        <f>N19+Q19-K19</f>
        <v>37326927.940000057</v>
      </c>
      <c r="S20" s="80">
        <f>L19-R19</f>
        <v>489407846.19398665</v>
      </c>
      <c r="T20" s="81"/>
      <c r="U20" s="81"/>
      <c r="V20" s="81"/>
      <c r="W20" s="81"/>
      <c r="X20" s="81"/>
    </row>
    <row r="21" spans="1:25" s="82" customFormat="1">
      <c r="A21" s="562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</row>
    <row r="22" spans="1:25" s="82" customFormat="1" hidden="1">
      <c r="F22" s="85"/>
      <c r="G22" s="85"/>
      <c r="H22" s="85"/>
      <c r="I22" s="85"/>
      <c r="J22" s="87"/>
      <c r="K22" s="87"/>
      <c r="L22" s="37"/>
      <c r="M22" s="37"/>
      <c r="N22" s="81"/>
      <c r="O22" s="37"/>
      <c r="P22" s="37"/>
      <c r="Q22" s="37"/>
      <c r="R22" s="37"/>
      <c r="S22" s="81"/>
      <c r="T22" s="37"/>
      <c r="U22" s="37"/>
      <c r="V22" s="37"/>
      <c r="W22" s="37"/>
      <c r="X22" s="37"/>
    </row>
    <row r="23" spans="1:25" hidden="1">
      <c r="J23" s="81"/>
      <c r="K23" s="81"/>
      <c r="M23" s="88"/>
      <c r="N23" s="89"/>
      <c r="O23" s="88"/>
      <c r="P23" s="90"/>
      <c r="Q23" s="90"/>
      <c r="R23" s="89"/>
      <c r="S23" s="91" t="s">
        <v>160</v>
      </c>
      <c r="T23" s="91" t="s">
        <v>139</v>
      </c>
      <c r="U23" s="91" t="s">
        <v>161</v>
      </c>
      <c r="V23" s="91" t="s">
        <v>15</v>
      </c>
      <c r="W23" s="91" t="s">
        <v>523</v>
      </c>
      <c r="X23" s="91" t="s">
        <v>140</v>
      </c>
    </row>
    <row r="24" spans="1:25" hidden="1">
      <c r="M24" s="91" t="s">
        <v>162</v>
      </c>
      <c r="N24" s="92"/>
      <c r="O24" s="91" t="s">
        <v>162</v>
      </c>
      <c r="P24" s="93"/>
      <c r="Q24" s="93"/>
      <c r="R24" s="83"/>
      <c r="S24" s="94">
        <f>SUM(T24:X24)</f>
        <v>489407846</v>
      </c>
      <c r="T24" s="94">
        <f>'תקציב 2019 קרנות הרשות'!C21*1000</f>
        <v>290040000</v>
      </c>
      <c r="U24" s="94">
        <f>'תקציב 2019 קרנות הרשות'!D21*1000</f>
        <v>44000000</v>
      </c>
      <c r="V24" s="94">
        <f>'תקציב 2019  מקורות '!F10*1000</f>
        <v>0</v>
      </c>
      <c r="W24" s="94">
        <f>'תקציב 2019  מקורות '!F11*1000</f>
        <v>34722657</v>
      </c>
      <c r="X24" s="94">
        <f>'פרוט מקורות אחרים'!O16</f>
        <v>120645189</v>
      </c>
    </row>
    <row r="25" spans="1:25" hidden="1">
      <c r="M25" s="91" t="s">
        <v>163</v>
      </c>
      <c r="N25" s="92"/>
      <c r="O25" s="91" t="s">
        <v>163</v>
      </c>
      <c r="P25" s="93"/>
      <c r="Q25" s="93"/>
      <c r="R25" s="83"/>
      <c r="S25" s="94">
        <f t="shared" ref="S25:X25" si="1">S24-S19</f>
        <v>-0.19398665428161621</v>
      </c>
      <c r="T25" s="94">
        <f t="shared" si="1"/>
        <v>0</v>
      </c>
      <c r="U25" s="94">
        <f t="shared" si="1"/>
        <v>-0.19398665428161621</v>
      </c>
      <c r="V25" s="94">
        <f t="shared" si="1"/>
        <v>0</v>
      </c>
      <c r="W25" s="94">
        <f t="shared" si="1"/>
        <v>0</v>
      </c>
      <c r="X25" s="94">
        <f t="shared" si="1"/>
        <v>0</v>
      </c>
    </row>
    <row r="26" spans="1:25">
      <c r="M26" s="97"/>
      <c r="O26" s="97"/>
      <c r="P26" s="97"/>
      <c r="Q26" s="97"/>
      <c r="R26" s="82"/>
      <c r="S26" s="95"/>
      <c r="T26" s="95"/>
      <c r="U26" s="95"/>
      <c r="V26" s="95"/>
      <c r="W26" s="95"/>
      <c r="X26" s="95"/>
    </row>
    <row r="27" spans="1:25">
      <c r="M27" s="97"/>
      <c r="O27" s="97"/>
      <c r="P27" s="97"/>
      <c r="Q27" s="97"/>
      <c r="R27" s="95"/>
      <c r="S27" s="95"/>
      <c r="T27" s="95"/>
      <c r="U27" s="95"/>
      <c r="V27" s="95"/>
      <c r="W27" s="95"/>
      <c r="X27" s="95"/>
    </row>
    <row r="28" spans="1:25">
      <c r="M28" s="97"/>
      <c r="O28" s="97"/>
      <c r="P28" s="97"/>
      <c r="Q28" s="97"/>
      <c r="R28" s="82"/>
      <c r="S28" s="95"/>
      <c r="T28" s="95"/>
      <c r="U28" s="95"/>
      <c r="V28" s="95"/>
      <c r="W28" s="95"/>
      <c r="X28" s="95"/>
    </row>
    <row r="30" spans="1:25">
      <c r="S30" s="96"/>
    </row>
    <row r="31" spans="1:25">
      <c r="S31" s="96"/>
    </row>
    <row r="32" spans="1:25">
      <c r="S32" s="677"/>
    </row>
    <row r="33" spans="19:19">
      <c r="S33" s="96"/>
    </row>
    <row r="34" spans="19:19">
      <c r="S34" s="677"/>
    </row>
    <row r="35" spans="19:19">
      <c r="S35" s="96"/>
    </row>
    <row r="36" spans="19:19">
      <c r="S36" s="677"/>
    </row>
  </sheetData>
  <sheetProtection formatCells="0" formatColumns="0" formatRows="0" insertColumns="0" insertRows="0" insertHyperlinks="0" deleteColumns="0" deleteRows="0" sort="0" autoFilter="0" pivotTables="0"/>
  <mergeCells count="3">
    <mergeCell ref="B4:M4"/>
    <mergeCell ref="N4:O4"/>
    <mergeCell ref="R4:X4"/>
  </mergeCells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T20" sqref="T20"/>
    </sheetView>
  </sheetViews>
  <sheetFormatPr defaultRowHeight="12.5"/>
  <sheetData/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41"/>
  <sheetViews>
    <sheetView showZeros="0" rightToLeft="1" zoomScaleNormal="100" workbookViewId="0">
      <pane xSplit="1" ySplit="5" topLeftCell="B10" activePane="bottomRight" state="frozen"/>
      <selection activeCell="T20" sqref="T20"/>
      <selection pane="topRight" activeCell="T20" sqref="T20"/>
      <selection pane="bottomLeft" activeCell="T20" sqref="T20"/>
      <selection pane="bottomRight" activeCell="T20" sqref="T20"/>
    </sheetView>
  </sheetViews>
  <sheetFormatPr defaultColWidth="9.1796875" defaultRowHeight="15.5"/>
  <cols>
    <col min="1" max="1" width="17" style="86" customWidth="1"/>
    <col min="2" max="2" width="14" style="87" bestFit="1" customWidth="1"/>
    <col min="3" max="3" width="14.7265625" style="87" customWidth="1"/>
    <col min="4" max="4" width="11" style="87" customWidth="1"/>
    <col min="5" max="8" width="12.7265625" style="87" hidden="1" customWidth="1"/>
    <col min="9" max="9" width="11.1796875" style="87" hidden="1" customWidth="1"/>
    <col min="10" max="10" width="12.7265625" style="82" customWidth="1"/>
    <col min="11" max="11" width="11.54296875" style="87" customWidth="1"/>
    <col min="12" max="12" width="11.1796875" style="87" customWidth="1"/>
    <col min="13" max="13" width="12.54296875" style="87" customWidth="1"/>
    <col min="14" max="14" width="12.7265625" style="82" hidden="1" customWidth="1"/>
    <col min="15" max="17" width="12.1796875" style="87" hidden="1" customWidth="1"/>
    <col min="18" max="18" width="9.81640625" style="87" customWidth="1"/>
    <col min="19" max="19" width="12.7265625" style="87" bestFit="1" customWidth="1"/>
    <col min="20" max="20" width="10.81640625" style="87" customWidth="1"/>
    <col min="21" max="21" width="10" style="87" customWidth="1"/>
    <col min="22" max="22" width="9.1796875" style="87" hidden="1" customWidth="1"/>
    <col min="23" max="23" width="10" style="87" customWidth="1"/>
    <col min="24" max="24" width="11.1796875" style="87" customWidth="1"/>
    <col min="25" max="25" width="13.453125" style="84" customWidth="1"/>
    <col min="26" max="26" width="11.81640625" style="84" customWidth="1"/>
    <col min="27" max="27" width="10" style="84" customWidth="1"/>
    <col min="28" max="28" width="9.1796875" style="84"/>
    <col min="29" max="29" width="10.1796875" style="84" customWidth="1"/>
    <col min="30" max="16384" width="9.1796875" style="84"/>
  </cols>
  <sheetData>
    <row r="2" spans="1:25" s="71" customFormat="1" ht="23">
      <c r="A2" s="397" t="s">
        <v>584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</row>
    <row r="3" spans="1:25" s="71" customFormat="1" ht="23">
      <c r="A3" s="72"/>
      <c r="B3" s="73"/>
      <c r="C3" s="73"/>
      <c r="D3" s="73"/>
      <c r="E3" s="73"/>
      <c r="F3" s="73"/>
      <c r="G3" s="73"/>
      <c r="H3" s="73"/>
      <c r="I3" s="73"/>
      <c r="J3" s="74"/>
      <c r="K3" s="73"/>
      <c r="L3" s="73"/>
      <c r="M3" s="73"/>
      <c r="N3" s="74"/>
      <c r="O3" s="73"/>
      <c r="P3" s="73"/>
      <c r="Q3" s="73"/>
      <c r="R3" s="73"/>
      <c r="S3" s="73"/>
      <c r="T3" s="73"/>
      <c r="U3" s="73"/>
      <c r="V3" s="73"/>
      <c r="W3" s="73"/>
      <c r="X3" s="73"/>
    </row>
    <row r="4" spans="1:25" s="78" customFormat="1">
      <c r="A4" s="75"/>
      <c r="B4" s="717" t="s">
        <v>145</v>
      </c>
      <c r="C4" s="717"/>
      <c r="D4" s="717"/>
      <c r="E4" s="717"/>
      <c r="F4" s="717"/>
      <c r="G4" s="717"/>
      <c r="H4" s="717"/>
      <c r="I4" s="717"/>
      <c r="J4" s="717"/>
      <c r="K4" s="717"/>
      <c r="L4" s="717"/>
      <c r="M4" s="717"/>
      <c r="N4" s="717"/>
      <c r="O4" s="717"/>
      <c r="P4" s="388"/>
      <c r="Q4" s="388"/>
      <c r="R4" s="717" t="s">
        <v>146</v>
      </c>
      <c r="S4" s="717"/>
      <c r="T4" s="717"/>
      <c r="U4" s="718"/>
      <c r="V4" s="718"/>
      <c r="W4" s="717"/>
      <c r="X4" s="717"/>
    </row>
    <row r="5" spans="1:25" s="62" customFormat="1" ht="62">
      <c r="A5" s="75" t="s">
        <v>596</v>
      </c>
      <c r="B5" s="75" t="s">
        <v>148</v>
      </c>
      <c r="C5" s="75" t="s">
        <v>4</v>
      </c>
      <c r="D5" s="75" t="s">
        <v>149</v>
      </c>
      <c r="E5" s="75" t="s">
        <v>164</v>
      </c>
      <c r="F5" s="26" t="s">
        <v>7</v>
      </c>
      <c r="G5" s="26" t="s">
        <v>8</v>
      </c>
      <c r="H5" s="26" t="s">
        <v>9</v>
      </c>
      <c r="I5" s="26" t="s">
        <v>10</v>
      </c>
      <c r="J5" s="48" t="s">
        <v>11</v>
      </c>
      <c r="K5" s="11" t="s">
        <v>627</v>
      </c>
      <c r="L5" s="75" t="s">
        <v>628</v>
      </c>
      <c r="M5" s="75" t="s">
        <v>629</v>
      </c>
      <c r="N5" s="48" t="s">
        <v>150</v>
      </c>
      <c r="O5" s="26" t="s">
        <v>739</v>
      </c>
      <c r="P5" s="26" t="s">
        <v>740</v>
      </c>
      <c r="Q5" s="26" t="s">
        <v>632</v>
      </c>
      <c r="R5" s="26" t="s">
        <v>633</v>
      </c>
      <c r="S5" s="75" t="s">
        <v>634</v>
      </c>
      <c r="T5" s="79" t="s">
        <v>13</v>
      </c>
      <c r="U5" s="75" t="s">
        <v>14</v>
      </c>
      <c r="V5" s="54" t="s">
        <v>15</v>
      </c>
      <c r="W5" s="54" t="s">
        <v>523</v>
      </c>
      <c r="X5" s="75" t="s">
        <v>140</v>
      </c>
      <c r="Y5" s="34"/>
    </row>
    <row r="6" spans="1:25" s="62" customFormat="1" ht="27" customHeight="1">
      <c r="A6" s="392" t="s">
        <v>1383</v>
      </c>
      <c r="B6" s="14">
        <f>'תבל 2019 פרקים'!D$7+'מחשוב 2019 פרקים'!D$7</f>
        <v>8980000</v>
      </c>
      <c r="C6" s="14">
        <f>'תבל 2019 פרקים'!E$7+'מחשוב 2019 פרקים'!E$7</f>
        <v>8820000</v>
      </c>
      <c r="D6" s="14">
        <f>'תבל 2019 פרקים'!F$7+'מחשוב 2019 פרקים'!F$7</f>
        <v>160000</v>
      </c>
      <c r="E6" s="14">
        <f>'תבל 2019 פרקים'!G$7+'מחשוב 2019 פרקים'!G$7</f>
        <v>2798000</v>
      </c>
      <c r="F6" s="14">
        <f>'תבל 2019 פרקים'!H$7+'מחשוב 2019 פרקים'!H$7</f>
        <v>2504763.06</v>
      </c>
      <c r="G6" s="14">
        <f>'תבל 2019 פרקים'!I$7+'מחשוב 2019 פרקים'!I$7</f>
        <v>136200</v>
      </c>
      <c r="H6" s="14">
        <f>'תבל 2019 פרקים'!J$7+'מחשוב 2019 פרקים'!J$7</f>
        <v>101825</v>
      </c>
      <c r="I6" s="14">
        <f>'תבל 2019 פרקים'!K$7+'מחשוב 2019 פרקים'!K$7</f>
        <v>238025</v>
      </c>
      <c r="J6" s="14">
        <f>'תבל 2019 פרקים'!L$7+'מחשוב 2019 פרקים'!L$7</f>
        <v>2742788.06</v>
      </c>
      <c r="K6" s="14">
        <f>'תבל 2019 פרקים'!M$7+'מחשוב 2019 פרקים'!M$7</f>
        <v>30212</v>
      </c>
      <c r="L6" s="14">
        <f>'תבל 2019 פרקים'!N$7+'מחשוב 2019 פרקים'!N$7</f>
        <v>310000</v>
      </c>
      <c r="M6" s="14">
        <f>'תבל 2019 פרקים'!O$7+'מחשוב 2019 פרקים'!O$7</f>
        <v>5896999.9399999995</v>
      </c>
      <c r="N6" s="14">
        <f>'תבל 2019 פרקים'!P$7+'מחשוב 2019 פרקים'!P$7</f>
        <v>55211.939999999944</v>
      </c>
      <c r="O6" s="14">
        <f>'תבל 2019 פרקים'!Q$7+'מחשוב 2019 פרקים'!Q$7</f>
        <v>0</v>
      </c>
      <c r="P6" s="14">
        <f>'תבל 2019 פרקים'!R$7+'מחשוב 2019 פרקים'!R$7</f>
        <v>0</v>
      </c>
      <c r="Q6" s="14">
        <f>'תבל 2019 פרקים'!S$7+'מחשוב 2019 פרקים'!S$7</f>
        <v>0</v>
      </c>
      <c r="R6" s="14">
        <f>'תבל 2019 פרקים'!T$7+'מחשוב 2019 פרקים'!T$7</f>
        <v>24999.939999999944</v>
      </c>
      <c r="S6" s="14">
        <f>'תבל 2019 פרקים'!U$7+'מחשוב 2019 פרקים'!U$7</f>
        <v>285000.06000000006</v>
      </c>
      <c r="T6" s="14">
        <f>'תבל 2019 פרקים'!V$7+'מחשוב 2019 פרקים'!V$7</f>
        <v>0</v>
      </c>
      <c r="U6" s="14">
        <f>'תבל 2019 פרקים'!W$7+'מחשוב 2019 פרקים'!W$7</f>
        <v>285000.06000000006</v>
      </c>
      <c r="V6" s="14">
        <f>'תבל 2019 פרקים'!X$7+'מחשוב 2019 פרקים'!X$7</f>
        <v>0</v>
      </c>
      <c r="W6" s="14">
        <f>'תבל 2019 פרקים'!Y$7+'מחשוב 2019 פרקים'!Y$7</f>
        <v>0</v>
      </c>
      <c r="X6" s="14">
        <f>'תבל 2019 פרקים'!Z$7+'מחשוב 2019 פרקים'!Z$7</f>
        <v>0</v>
      </c>
      <c r="Y6" s="37"/>
    </row>
    <row r="7" spans="1:25" s="82" customFormat="1" ht="27" customHeight="1">
      <c r="A7" s="392" t="s">
        <v>1384</v>
      </c>
      <c r="B7" s="80">
        <f>'הנדסה 2019 פרקים'!D$50+' החברה לפיתוח 2019 פרקים'!D$14+'תבל 2019 פרקים'!D$11+'שאיפה 2019 פרקים'!D$9+'החברה לתיירות 2019 פרקים'!D$12+'מינהל כללי 2019 פרקים'!D$7</f>
        <v>237244873</v>
      </c>
      <c r="C7" s="80">
        <f>'הנדסה 2019 פרקים'!E$50+' החברה לפיתוח 2019 פרקים'!E$14+'תבל 2019 פרקים'!E$11+'שאיפה 2019 פרקים'!E$9+'החברה לתיירות 2019 פרקים'!E$12+'מינהל כללי 2019 פרקים'!E$7</f>
        <v>217878535</v>
      </c>
      <c r="D7" s="80">
        <f>'הנדסה 2019 פרקים'!F$50+' החברה לפיתוח 2019 פרקים'!F$14+'תבל 2019 פרקים'!F$11+'שאיפה 2019 פרקים'!F$9+'החברה לתיירות 2019 פרקים'!F$12+'מינהל כללי 2019 פרקים'!F$7</f>
        <v>19366338</v>
      </c>
      <c r="E7" s="80">
        <f>'הנדסה 2019 פרקים'!G$50+' החברה לפיתוח 2019 פרקים'!G$14+'תבל 2019 פרקים'!G$11+'שאיפה 2019 פרקים'!G$9+'החברה לתיירות 2019 פרקים'!G$12+'מינהל כללי 2019 פרקים'!G$7</f>
        <v>151013117</v>
      </c>
      <c r="F7" s="80">
        <f>'הנדסה 2019 פרקים'!H$50+' החברה לפיתוח 2019 פרקים'!H$14+'תבל 2019 פרקים'!H$11+'שאיפה 2019 פרקים'!H$9+'החברה לתיירות 2019 פרקים'!H$12+'מינהל כללי 2019 פרקים'!H$7</f>
        <v>109900207.82000001</v>
      </c>
      <c r="G7" s="80">
        <f>'הנדסה 2019 פרקים'!I$50+' החברה לפיתוח 2019 פרקים'!I$14+'תבל 2019 פרקים'!I$11+'שאיפה 2019 פרקים'!I$9+'החברה לתיירות 2019 פרקים'!I$12+'מינהל כללי 2019 פרקים'!I$7</f>
        <v>3914309.03</v>
      </c>
      <c r="H7" s="80">
        <f>'הנדסה 2019 פרקים'!J$50+' החברה לפיתוח 2019 פרקים'!J$14+'תבל 2019 פרקים'!J$11+'שאיפה 2019 פרקים'!J$9+'החברה לתיירות 2019 פרקים'!J$12+'מינהל כללי 2019 פרקים'!J$7</f>
        <v>11315072.540000003</v>
      </c>
      <c r="I7" s="80">
        <f>'הנדסה 2019 פרקים'!K$50+' החברה לפיתוח 2019 פרקים'!K$14+'תבל 2019 פרקים'!K$11+'שאיפה 2019 פרקים'!K$9+'החברה לתיירות 2019 פרקים'!K$12+'מינהל כללי 2019 פרקים'!K$7</f>
        <v>15229381.570000002</v>
      </c>
      <c r="J7" s="80">
        <f>'הנדסה 2019 פרקים'!L$50+' החברה לפיתוח 2019 פרקים'!L$14+'תבל 2019 פרקים'!L$11+'שאיפה 2019 פרקים'!L$9+'החברה לתיירות 2019 פרקים'!L$12+'מינהל כללי 2019 פרקים'!L$7</f>
        <v>125129589.38999999</v>
      </c>
      <c r="K7" s="80">
        <f>'הנדסה 2019 פרקים'!M$50+' החברה לפיתוח 2019 פרקים'!M$14+'תבל 2019 פרקים'!M$11+'שאיפה 2019 פרקים'!M$9+'החברה לתיירות 2019 פרקים'!M$12+'מינהל כללי 2019 פרקים'!M$7</f>
        <v>20180527.609999999</v>
      </c>
      <c r="L7" s="80">
        <f>'הנדסה 2019 פרקים'!N$50+' החברה לפיתוח 2019 פרקים'!N$14+'תבל 2019 פרקים'!N$11+'שאיפה 2019 פרקים'!N$9+'החברה לתיירות 2019 פרקים'!N$12+'מינהל כללי 2019 פרקים'!N$7</f>
        <v>24923120</v>
      </c>
      <c r="M7" s="80">
        <f>'הנדסה 2019 פרקים'!O$50+' החברה לפיתוח 2019 פרקים'!O$14+'תבל 2019 פרקים'!O$11+'שאיפה 2019 פרקים'!O$9+'החברה לתיירות 2019 פרקים'!O$12+'מינהל כללי 2019 פרקים'!O$7</f>
        <v>67011636</v>
      </c>
      <c r="N7" s="80">
        <f>'הנדסה 2019 פרקים'!P$50+' החברה לפיתוח 2019 פרקים'!P$14+'תבל 2019 פרקים'!P$11+'שאיפה 2019 פרקים'!P$9+'החברה לתיירות 2019 פרקים'!P$12+'מינהל כללי 2019 פרקים'!P$7</f>
        <v>25883527.609999999</v>
      </c>
      <c r="O7" s="80">
        <f>'הנדסה 2019 פרקים'!Q$50+' החברה לפיתוח 2019 פרקים'!Q$14+'תבל 2019 פרקים'!Q$11+'שאיפה 2019 פרקים'!Q$9+'החברה לתיירות 2019 פרקים'!Q$12+'מינהל כללי 2019 פרקים'!Q$7</f>
        <v>-500000</v>
      </c>
      <c r="P7" s="80">
        <f>'הנדסה 2019 פרקים'!R$50+' החברה לפיתוח 2019 פרקים'!R$14+'תבל 2019 פרקים'!R$11+'שאיפה 2019 פרקים'!R$9+'החברה לתיירות 2019 פרקים'!R$12+'מינהל כללי 2019 פרקים'!R$7</f>
        <v>0</v>
      </c>
      <c r="Q7" s="80">
        <f>'הנדסה 2019 פרקים'!S$50+' החברה לפיתוח 2019 פרקים'!S$14+'תבל 2019 פרקים'!S$11+'שאיפה 2019 פרקים'!S$9+'החברה לתיירות 2019 פרקים'!S$12+'מינהל כללי 2019 פרקים'!S$7</f>
        <v>-500000</v>
      </c>
      <c r="R7" s="80">
        <f>'הנדסה 2019 פרקים'!T$50+' החברה לפיתוח 2019 פרקים'!T$14+'תבל 2019 פרקים'!T$11+'שאיפה 2019 פרקים'!T$9+'החברה לתיירות 2019 פרקים'!T$12+'מינהל כללי 2019 פרקים'!T$7</f>
        <v>5203000</v>
      </c>
      <c r="S7" s="80">
        <f>'הנדסה 2019 פרקים'!U$50+' החברה לפיתוח 2019 פרקים'!U$14+'תבל 2019 פרקים'!U$11+'שאיפה 2019 פרקים'!U$9+'החברה לתיירות 2019 פרקים'!U$12+'מינהל כללי 2019 פרקים'!U$7</f>
        <v>19720120</v>
      </c>
      <c r="T7" s="80">
        <f>'הנדסה 2019 פרקים'!V$50+' החברה לפיתוח 2019 פרקים'!V$14+'תבל 2019 פרקים'!V$11+'שאיפה 2019 פרקים'!V$9+'החברה לתיירות 2019 פרקים'!V$12+'מינהל כללי 2019 פרקים'!V$7</f>
        <v>13328003</v>
      </c>
      <c r="U7" s="80">
        <f>'הנדסה 2019 פרקים'!W$50+' החברה לפיתוח 2019 פרקים'!W$14+'תבל 2019 פרקים'!W$11+'שאיפה 2019 פרקים'!W$9+'החברה לתיירות 2019 פרקים'!W$12+'מינהל כללי 2019 פרקים'!W$7</f>
        <v>0</v>
      </c>
      <c r="V7" s="80">
        <f>'הנדסה 2019 פרקים'!X$50+' החברה לפיתוח 2019 פרקים'!X$14+'תבל 2019 פרקים'!X$11+'שאיפה 2019 פרקים'!X$9+'החברה לתיירות 2019 פרקים'!X$12+'מינהל כללי 2019 פרקים'!X$7</f>
        <v>0</v>
      </c>
      <c r="W7" s="80">
        <f>'הנדסה 2019 פרקים'!Y$50+' החברה לפיתוח 2019 פרקים'!Y$14+'תבל 2019 פרקים'!Y$11+'שאיפה 2019 פרקים'!Y$9+'החברה לתיירות 2019 פרקים'!Y$12+'מינהל כללי 2019 פרקים'!Y$7</f>
        <v>0</v>
      </c>
      <c r="X7" s="80">
        <f>'הנדסה 2019 פרקים'!Z$50+' החברה לפיתוח 2019 פרקים'!Z$14+'תבל 2019 פרקים'!Z$11+'שאיפה 2019 פרקים'!Z$9+'החברה לתיירות 2019 פרקים'!Z$12+'מינהל כללי 2019 פרקים'!Z$7</f>
        <v>6392117</v>
      </c>
      <c r="Y7" s="81"/>
    </row>
    <row r="8" spans="1:25" s="82" customFormat="1" ht="27" customHeight="1">
      <c r="A8" s="393" t="s">
        <v>1385</v>
      </c>
      <c r="B8" s="80">
        <f>'הנדסה 2019 פרקים'!D$102+' החברה לפיתוח 2019 פרקים'!D$56+' החברה לפיתוח 2019 פרקים'!D$60+'תבל 2019 פרקים'!D$20+'שאיפה 2019 פרקים'!D$31+'החברה לתיירות 2019 פרקים'!D$20+'מינהל כללי 2019 פרקים'!D$13</f>
        <v>2108526237</v>
      </c>
      <c r="C8" s="80">
        <f>'הנדסה 2019 פרקים'!E$102+' החברה לפיתוח 2019 פרקים'!E$56+' החברה לפיתוח 2019 פרקים'!E$60+'תבל 2019 פרקים'!E$20+'שאיפה 2019 פרקים'!E$31+'החברה לתיירות 2019 פרקים'!E$20+'מינהל כללי 2019 פרקים'!E$13</f>
        <v>1961207837</v>
      </c>
      <c r="D8" s="80">
        <f>'הנדסה 2019 פרקים'!F$102+' החברה לפיתוח 2019 פרקים'!F$56+' החברה לפיתוח 2019 פרקים'!F$60+'תבל 2019 פרקים'!F$20+'שאיפה 2019 פרקים'!F$31+'החברה לתיירות 2019 פרקים'!F$20+'מינהל כללי 2019 פרקים'!F$13</f>
        <v>147318400</v>
      </c>
      <c r="E8" s="80">
        <f>'הנדסה 2019 פרקים'!G$102+' החברה לפיתוח 2019 פרקים'!G$56+' החברה לפיתוח 2019 פרקים'!G$60+'תבל 2019 פרקים'!G$20+'שאיפה 2019 פרקים'!G$31+'החברה לתיירות 2019 פרקים'!G$20+'מינהל כללי 2019 פרקים'!G$13</f>
        <v>1025618321</v>
      </c>
      <c r="F8" s="80">
        <f>'הנדסה 2019 פרקים'!H$102+' החברה לפיתוח 2019 פרקים'!H$56+' החברה לפיתוח 2019 פרקים'!H$60+'תבל 2019 פרקים'!H$20+'שאיפה 2019 פרקים'!H$31+'החברה לתיירות 2019 פרקים'!H$20+'מינהל כללי 2019 פרקים'!H$13</f>
        <v>782072642.45000005</v>
      </c>
      <c r="G8" s="80">
        <f>'הנדסה 2019 פרקים'!I$102+' החברה לפיתוח 2019 פרקים'!I$56+' החברה לפיתוח 2019 פרקים'!I$60+'תבל 2019 פרקים'!I$20+'שאיפה 2019 פרקים'!I$31+'החברה לתיירות 2019 פרקים'!I$20+'מינהל כללי 2019 פרקים'!I$13</f>
        <v>21006704.769999996</v>
      </c>
      <c r="H8" s="80">
        <f>'הנדסה 2019 פרקים'!J$102+' החברה לפיתוח 2019 פרקים'!J$56+' החברה לפיתוח 2019 פרקים'!J$60+'תבל 2019 פרקים'!J$20+'שאיפה 2019 פרקים'!J$31+'החברה לתיירות 2019 פרקים'!J$20+'מינהל כללי 2019 פרקים'!J$13</f>
        <v>104134527.76000001</v>
      </c>
      <c r="I8" s="80">
        <f>'הנדסה 2019 פרקים'!K$102+' החברה לפיתוח 2019 פרקים'!K$56+' החברה לפיתוח 2019 פרקים'!K$60+'תבל 2019 פרקים'!K$20+'שאיפה 2019 פרקים'!K$31+'החברה לתיירות 2019 פרקים'!K$20+'מינהל כללי 2019 פרקים'!K$13</f>
        <v>125141232.53000002</v>
      </c>
      <c r="J8" s="80">
        <f>'הנדסה 2019 פרקים'!L$102+' החברה לפיתוח 2019 פרקים'!L$56+' החברה לפיתוח 2019 פרקים'!L$60+'תבל 2019 פרקים'!L$20+'שאיפה 2019 פרקים'!L$31+'החברה לתיירות 2019 פרקים'!L$20+'מינהל כללי 2019 פרקים'!L$13</f>
        <v>907213874.9799999</v>
      </c>
      <c r="K8" s="80">
        <f>'הנדסה 2019 פרקים'!M$102+' החברה לפיתוח 2019 פרקים'!M$56+' החברה לפיתוח 2019 פרקים'!M$60+'תבל 2019 פרקים'!M$20+'שאיפה 2019 פרקים'!M$31+'החברה לתיירות 2019 פרקים'!M$20+'מינהל כללי 2019 פרקים'!M$13</f>
        <v>176656919.02000001</v>
      </c>
      <c r="L8" s="80">
        <f>'הנדסה 2019 פרקים'!N$102+' החברה לפיתוח 2019 פרקים'!N$56+' החברה לפיתוח 2019 פרקים'!N$60+'תבל 2019 פרקים'!N$20+'שאיפה 2019 פרקים'!N$31+'החברה לתיירות 2019 פרקים'!N$20+'מינהל כללי 2019 פרקים'!N$13</f>
        <v>270577613</v>
      </c>
      <c r="M8" s="80">
        <f>'הנדסה 2019 פרקים'!O$102+' החברה לפיתוח 2019 פרקים'!O$56+' החברה לפיתוח 2019 פרקים'!O$60+'תבל 2019 פרקים'!O$20+'שאיפה 2019 פרקים'!O$31+'החברה לתיירות 2019 פרקים'!O$20+'מינהל כללי 2019 פרקים'!O$13</f>
        <v>754077830</v>
      </c>
      <c r="N8" s="80">
        <f>'הנדסה 2019 פרקים'!P$102+' החברה לפיתוח 2019 פרקים'!P$56+' החברה לפיתוח 2019 פרקים'!P$60+'תבל 2019 פרקים'!P$20+'שאיפה 2019 פרקים'!P$31+'החברה לתיירות 2019 פרקים'!P$20+'מינהל כללי 2019 פרקים'!P$13</f>
        <v>118404446.01999998</v>
      </c>
      <c r="O8" s="80">
        <f>'הנדסה 2019 פרקים'!Q$102+' החברה לפיתוח 2019 פרקים'!Q$56+' החברה לפיתוח 2019 פרקים'!Q$60+'תבל 2019 פרקים'!Q$20+'שאיפה 2019 פרקים'!Q$31+'החברה לתיירות 2019 פרקים'!Q$20+'מינהל כללי 2019 פרקים'!Q$13</f>
        <v>80205601</v>
      </c>
      <c r="P8" s="80">
        <f>'הנדסה 2019 פרקים'!R$102+' החברה לפיתוח 2019 פרקים'!R$56+' החברה לפיתוח 2019 פרקים'!R$60+'תבל 2019 פרקים'!R$20+'שאיפה 2019 פרקים'!R$31+'החברה לתיירות 2019 פרקים'!R$20+'מינהל כללי 2019 פרקים'!R$13</f>
        <v>4027800</v>
      </c>
      <c r="Q8" s="80">
        <f>'הנדסה 2019 פרקים'!S$102+' החברה לפיתוח 2019 פרקים'!S$56+' החברה לפיתוח 2019 פרקים'!S$60+'תבל 2019 פרקים'!S$20+'שאיפה 2019 פרקים'!S$31+'החברה לתיירות 2019 פרקים'!S$20+'מינהל כללי 2019 פרקים'!S$13</f>
        <v>84233401</v>
      </c>
      <c r="R8" s="80">
        <f>'הנדסה 2019 פרקים'!T$102+' החברה לפיתוח 2019 פרקים'!T$56+' החברה לפיתוח 2019 פרקים'!T$60+'תבל 2019 פרקים'!T$20+'שאיפה 2019 פרקים'!T$31+'החברה לתיירות 2019 פרקים'!T$20+'מינהל כללי 2019 פרקים'!T$13</f>
        <v>25980928</v>
      </c>
      <c r="S8" s="80">
        <f>'הנדסה 2019 פרקים'!U$102+' החברה לפיתוח 2019 פרקים'!U$56+' החברה לפיתוח 2019 פרקים'!U$60+'תבל 2019 פרקים'!U$20+'שאיפה 2019 פרקים'!U$31+'החברה לתיירות 2019 פרקים'!U$20+'מינהל כללי 2019 פרקים'!U$13</f>
        <v>244596685</v>
      </c>
      <c r="T8" s="80">
        <f>'הנדסה 2019 פרקים'!V$102+' החברה לפיתוח 2019 פרקים'!V$56+' החברה לפיתוח 2019 פרקים'!V$60+'תבל 2019 פרקים'!V$20+'שאיפה 2019 פרקים'!V$31+'החברה לתיירות 2019 פרקים'!V$20+'מינהל כללי 2019 פרקים'!V$13</f>
        <v>120487827</v>
      </c>
      <c r="U8" s="80">
        <f>'הנדסה 2019 פרקים'!W$102+' החברה לפיתוח 2019 פרקים'!W$56+' החברה לפיתוח 2019 פרקים'!W$60+'תבל 2019 פרקים'!W$20+'שאיפה 2019 פרקים'!W$31+'החברה לתיירות 2019 פרקים'!W$20+'מינהל כללי 2019 פרקים'!W$13</f>
        <v>12300900</v>
      </c>
      <c r="V8" s="80">
        <f>'הנדסה 2019 פרקים'!X$102+' החברה לפיתוח 2019 פרקים'!X$56+' החברה לפיתוח 2019 פרקים'!X$60+'תבל 2019 פרקים'!X$20+'שאיפה 2019 פרקים'!X$31+'החברה לתיירות 2019 פרקים'!X$20+'מינהל כללי 2019 פרקים'!X$13</f>
        <v>0</v>
      </c>
      <c r="W8" s="80">
        <f>'הנדסה 2019 פרקים'!Y$102+' החברה לפיתוח 2019 פרקים'!Y$56+' החברה לפיתוח 2019 פרקים'!Y$60+'תבל 2019 פרקים'!Y$20+'שאיפה 2019 פרקים'!Y$31+'החברה לתיירות 2019 פרקים'!Y$20+'מינהל כללי 2019 פרקים'!Y$13</f>
        <v>36690345</v>
      </c>
      <c r="X8" s="80">
        <f>'הנדסה 2019 פרקים'!Z$102+' החברה לפיתוח 2019 פרקים'!Z$56+' החברה לפיתוח 2019 פרקים'!Z$60+'תבל 2019 פרקים'!Z$20+'שאיפה 2019 פרקים'!Z$31+'החברה לתיירות 2019 פרקים'!Z$20+'מינהל כללי 2019 פרקים'!Z$13</f>
        <v>75117613</v>
      </c>
    </row>
    <row r="9" spans="1:25" s="82" customFormat="1" ht="27" customHeight="1">
      <c r="A9" s="393" t="s">
        <v>1386</v>
      </c>
      <c r="B9" s="80">
        <f>' החברה לפיתוח 2019 פרקים'!D$58+'שאיפה 2019 פרקים'!D$33+'רשות החופים 2019 פרקים'!D$25</f>
        <v>11162159</v>
      </c>
      <c r="C9" s="80">
        <f>' החברה לפיתוח 2019 פרקים'!E$58+'שאיפה 2019 פרקים'!E$33+'רשות החופים 2019 פרקים'!E$25</f>
        <v>16173000</v>
      </c>
      <c r="D9" s="80">
        <f>' החברה לפיתוח 2019 פרקים'!F$58+'שאיפה 2019 פרקים'!F$33+'רשות החופים 2019 פרקים'!F$25</f>
        <v>-5010841</v>
      </c>
      <c r="E9" s="80">
        <f>' החברה לפיתוח 2019 פרקים'!G$58+'שאיפה 2019 פרקים'!G$33+'רשות החופים 2019 פרקים'!G$25</f>
        <v>7346000</v>
      </c>
      <c r="F9" s="80">
        <f>' החברה לפיתוח 2019 פרקים'!H$58+'שאיפה 2019 פרקים'!H$33+'רשות החופים 2019 פרקים'!H$25</f>
        <v>5901467.3200000003</v>
      </c>
      <c r="G9" s="80">
        <f>' החברה לפיתוח 2019 פרקים'!I$58+'שאיפה 2019 פרקים'!I$33+'רשות החופים 2019 פרקים'!I$25</f>
        <v>354044.03</v>
      </c>
      <c r="H9" s="80">
        <f>' החברה לפיתוח 2019 פרקים'!J$58+'שאיפה 2019 פרקים'!J$33+'רשות החופים 2019 פרקים'!J$25</f>
        <v>262426.02</v>
      </c>
      <c r="I9" s="80">
        <f>' החברה לפיתוח 2019 פרקים'!K$58+'שאיפה 2019 פרקים'!K$33+'רשות החופים 2019 פרקים'!K$25</f>
        <v>616470.05000000005</v>
      </c>
      <c r="J9" s="80">
        <f>' החברה לפיתוח 2019 פרקים'!L$58+'שאיפה 2019 פרקים'!L$33+'רשות החופים 2019 פרקים'!L$25</f>
        <v>6517937.3700000001</v>
      </c>
      <c r="K9" s="80">
        <f>' החברה לפיתוח 2019 פרקים'!M$58+'שאיפה 2019 פרקים'!M$33+'רשות החופים 2019 פרקים'!M$25</f>
        <v>798062.63</v>
      </c>
      <c r="L9" s="80">
        <f>' החברה לפיתוח 2019 פרקים'!N$58+'שאיפה 2019 פרקים'!N$33+'רשות החופים 2019 פרקים'!N$25</f>
        <v>3446159</v>
      </c>
      <c r="M9" s="80">
        <f>' החברה לפיתוח 2019 פרקים'!O$58+'שאיפה 2019 פרקים'!O$33+'רשות החופים 2019 פרקים'!O$25</f>
        <v>400000</v>
      </c>
      <c r="N9" s="80">
        <f>' החברה לפיתוח 2019 פרקים'!P$58+'שאיפה 2019 פרקים'!P$33+'רשות החופים 2019 פרקים'!P$25</f>
        <v>828062.63</v>
      </c>
      <c r="O9" s="80">
        <f>' החברה לפיתוח 2019 פרקים'!Q$58+'שאיפה 2019 פרקים'!Q$33+'רשות החופים 2019 פרקים'!Q$25</f>
        <v>0</v>
      </c>
      <c r="P9" s="80">
        <f>' החברה לפיתוח 2019 פרקים'!R$58+'שאיפה 2019 פרקים'!R$33+'רשות החופים 2019 פרקים'!R$25</f>
        <v>0</v>
      </c>
      <c r="Q9" s="80">
        <f>' החברה לפיתוח 2019 פרקים'!S$58+'שאיפה 2019 פרקים'!S$33+'רשות החופים 2019 פרקים'!S$25</f>
        <v>0</v>
      </c>
      <c r="R9" s="80">
        <f>' החברה לפיתוח 2019 פרקים'!T$58+'שאיפה 2019 פרקים'!T$33+'רשות החופים 2019 פרקים'!T$25</f>
        <v>30000</v>
      </c>
      <c r="S9" s="80">
        <f>' החברה לפיתוח 2019 פרקים'!U$58+'שאיפה 2019 פרקים'!U$33+'רשות החופים 2019 פרקים'!U$25</f>
        <v>3416159</v>
      </c>
      <c r="T9" s="80">
        <f>' החברה לפיתוח 2019 פרקים'!V$58+'שאיפה 2019 פרקים'!V$33+'רשות החופים 2019 פרקים'!V$25</f>
        <v>1550000</v>
      </c>
      <c r="U9" s="80">
        <f>' החברה לפיתוח 2019 פרקים'!W$58+'שאיפה 2019 פרקים'!W$33+'רשות החופים 2019 פרקים'!W$25</f>
        <v>1670000</v>
      </c>
      <c r="V9" s="80">
        <f>' החברה לפיתוח 2019 פרקים'!X$58+'שאיפה 2019 פרקים'!X$33+'רשות החופים 2019 פרקים'!X$25</f>
        <v>0</v>
      </c>
      <c r="W9" s="80">
        <f>' החברה לפיתוח 2019 פרקים'!Y$58+'שאיפה 2019 פרקים'!Y$33+'רשות החופים 2019 פרקים'!Y$25</f>
        <v>0</v>
      </c>
      <c r="X9" s="80">
        <f>' החברה לפיתוח 2019 פרקים'!Z$58+'שאיפה 2019 פרקים'!Z$33+'רשות החופים 2019 פרקים'!Z$25</f>
        <v>196159</v>
      </c>
    </row>
    <row r="10" spans="1:25" s="82" customFormat="1" ht="27" customHeight="1">
      <c r="A10" s="11" t="s">
        <v>1387</v>
      </c>
      <c r="B10" s="80">
        <f>'הנדסה 2019 פרקים'!D$104+' החברה לפיתוח 2019 פרקים'!D$7+' החברה לפיתוח 2019 פרקים'!D$62+'תבל 2019 פרקים'!D$9+'ביטחון פיקוח וסדצ 2019 פרקים'!D$11+'חינוך 2019 פרקים'!D$7+'שאיפה 2019 פרקים'!D$7+'שאיפה 2019 פרקים'!D$35+'מחשוב 2019 פרקים'!D$9+'מחשוב 2019 פרקים'!D$14+'מינהל כללי 2019 פרקים'!D$16</f>
        <v>113498000</v>
      </c>
      <c r="C10" s="80">
        <f>'הנדסה 2019 פרקים'!E$104+' החברה לפיתוח 2019 פרקים'!E$7+' החברה לפיתוח 2019 פרקים'!E$62+'תבל 2019 פרקים'!E$9+'ביטחון פיקוח וסדצ 2019 פרקים'!E$11+'חינוך 2019 פרקים'!E$7+'שאיפה 2019 פרקים'!E$7+'שאיפה 2019 פרקים'!E$35+'מחשוב 2019 פרקים'!E$9+'מחשוב 2019 פרקים'!E$14+'מינהל כללי 2019 פרקים'!E$16</f>
        <v>109438000</v>
      </c>
      <c r="D10" s="80">
        <f>'הנדסה 2019 פרקים'!F$104+' החברה לפיתוח 2019 פרקים'!F$7+' החברה לפיתוח 2019 פרקים'!F$62+'תבל 2019 פרקים'!F$9+'ביטחון פיקוח וסדצ 2019 פרקים'!F$11+'חינוך 2019 פרקים'!F$7+'שאיפה 2019 פרקים'!F$7+'שאיפה 2019 פרקים'!F$35+'מחשוב 2019 פרקים'!F$9+'מחשוב 2019 פרקים'!F$14+'מינהל כללי 2019 פרקים'!F$16</f>
        <v>4060000</v>
      </c>
      <c r="E10" s="80">
        <f>'הנדסה 2019 פרקים'!G$104+' החברה לפיתוח 2019 פרקים'!G$7+' החברה לפיתוח 2019 פרקים'!G$62+'תבל 2019 פרקים'!G$9+'ביטחון פיקוח וסדצ 2019 פרקים'!G$11+'חינוך 2019 פרקים'!G$7+'שאיפה 2019 פרקים'!G$7+'שאיפה 2019 פרקים'!G$35+'מחשוב 2019 פרקים'!G$9+'מחשוב 2019 פרקים'!G$14+'מינהל כללי 2019 פרקים'!G$16</f>
        <v>78048000</v>
      </c>
      <c r="F10" s="80">
        <f>'הנדסה 2019 פרקים'!H$104+' החברה לפיתוח 2019 פרקים'!H$7+' החברה לפיתוח 2019 פרקים'!H$62+'תבל 2019 פרקים'!H$9+'ביטחון פיקוח וסדצ 2019 פרקים'!H$11+'חינוך 2019 פרקים'!H$7+'שאיפה 2019 פרקים'!H$7+'שאיפה 2019 פרקים'!H$35+'מחשוב 2019 פרקים'!H$9+'מחשוב 2019 פרקים'!H$14+'מינהל כללי 2019 פרקים'!H$16</f>
        <v>65846422.419999994</v>
      </c>
      <c r="G10" s="80">
        <f>'הנדסה 2019 פרקים'!I$104+' החברה לפיתוח 2019 פרקים'!I$7+' החברה לפיתוח 2019 פרקים'!I$62+'תבל 2019 פרקים'!I$9+'ביטחון פיקוח וסדצ 2019 פרקים'!I$11+'חינוך 2019 פרקים'!I$7+'שאיפה 2019 פרקים'!I$7+'שאיפה 2019 פרקים'!I$35+'מחשוב 2019 פרקים'!I$9+'מחשוב 2019 פרקים'!I$14+'מינהל כללי 2019 פרקים'!I$16</f>
        <v>5477214</v>
      </c>
      <c r="H10" s="80">
        <f>'הנדסה 2019 פרקים'!J$104+' החברה לפיתוח 2019 פרקים'!J$7+' החברה לפיתוח 2019 פרקים'!J$62+'תבל 2019 פרקים'!J$9+'ביטחון פיקוח וסדצ 2019 פרקים'!J$11+'חינוך 2019 פרקים'!J$7+'שאיפה 2019 פרקים'!J$7+'שאיפה 2019 פרקים'!J$35+'מחשוב 2019 פרקים'!J$9+'מחשוב 2019 פרקים'!J$14+'מינהל כללי 2019 פרקים'!J$16</f>
        <v>2177084.3499999996</v>
      </c>
      <c r="I10" s="80">
        <f>'הנדסה 2019 פרקים'!K$104+' החברה לפיתוח 2019 פרקים'!K$7+' החברה לפיתוח 2019 פרקים'!K$62+'תבל 2019 פרקים'!K$9+'ביטחון פיקוח וסדצ 2019 פרקים'!K$11+'חינוך 2019 פרקים'!K$7+'שאיפה 2019 פרקים'!K$7+'שאיפה 2019 פרקים'!K$35+'מחשוב 2019 פרקים'!K$9+'מחשוב 2019 פרקים'!K$14+'מינהל כללי 2019 פרקים'!K$16</f>
        <v>7654298.3499999996</v>
      </c>
      <c r="J10" s="80">
        <f>'הנדסה 2019 פרקים'!L$104+' החברה לפיתוח 2019 פרקים'!L$7+' החברה לפיתוח 2019 פרקים'!L$62+'תבל 2019 פרקים'!L$9+'ביטחון פיקוח וסדצ 2019 פרקים'!L$11+'חינוך 2019 פרקים'!L$7+'שאיפה 2019 פרקים'!L$7+'שאיפה 2019 פרקים'!L$35+'מחשוב 2019 פרקים'!L$9+'מחשוב 2019 פרקים'!L$14+'מינהל כללי 2019 פרקים'!L$16</f>
        <v>73500720.769999981</v>
      </c>
      <c r="K10" s="80">
        <f>'הנדסה 2019 פרקים'!M$104+' החברה לפיתוח 2019 פרקים'!M$7+' החברה לפיתוח 2019 פרקים'!M$62+'תבל 2019 פרקים'!M$9+'ביטחון פיקוח וסדצ 2019 פרקים'!M$11+'חינוך 2019 פרקים'!M$7+'שאיפה 2019 פרקים'!M$7+'שאיפה 2019 פרקים'!M$35+'מחשוב 2019 פרקים'!M$9+'מחשוב 2019 פרקים'!M$14+'מינהל כללי 2019 פרקים'!M$16</f>
        <v>14507279.230000004</v>
      </c>
      <c r="L10" s="80">
        <f>'הנדסה 2019 פרקים'!N$104+' החברה לפיתוח 2019 פרקים'!N$7+' החברה לפיתוח 2019 פרקים'!N$62+'תבל 2019 פרקים'!N$9+'ביטחון פיקוח וסדצ 2019 פרקים'!N$11+'חינוך 2019 פרקים'!N$7+'שאיפה 2019 פרקים'!N$7+'שאיפה 2019 פרקים'!N$35+'מחשוב 2019 פרקים'!N$9+'מחשוב 2019 פרקים'!N$14+'מינהל כללי 2019 פרקים'!N$16</f>
        <v>14000000</v>
      </c>
      <c r="M10" s="80">
        <f>'הנדסה 2019 פרקים'!O$104+' החברה לפיתוח 2019 פרקים'!O$7+' החברה לפיתוח 2019 פרקים'!O$62+'תבל 2019 פרקים'!O$9+'ביטחון פיקוח וסדצ 2019 פרקים'!O$11+'חינוך 2019 פרקים'!O$7+'שאיפה 2019 פרקים'!O$7+'שאיפה 2019 פרקים'!O$35+'מחשוב 2019 פרקים'!O$9+'מחשוב 2019 פרקים'!O$14+'מינהל כללי 2019 פרקים'!O$16</f>
        <v>11490000</v>
      </c>
      <c r="N10" s="80">
        <f>'הנדסה 2019 פרקים'!P$104+' החברה לפיתוח 2019 פרקים'!P$7+' החברה לפיתוח 2019 פרקים'!P$62+'תבל 2019 פרקים'!P$9+'ביטחון פיקוח וסדצ 2019 פרקים'!P$11+'חינוך 2019 פרקים'!P$7+'שאיפה 2019 פרקים'!P$7+'שאיפה 2019 פרקים'!P$35+'מחשוב 2019 פרקים'!P$9+'מחשוב 2019 פרקים'!P$14+'מינהל כללי 2019 פרקים'!P$16</f>
        <v>4547279.2300000023</v>
      </c>
      <c r="O10" s="80">
        <f>'הנדסה 2019 פרקים'!Q$104+' החברה לפיתוח 2019 פרקים'!Q$7+' החברה לפיתוח 2019 פרקים'!Q$62+'תבל 2019 פרקים'!Q$9+'ביטחון פיקוח וסדצ 2019 פרקים'!Q$11+'חינוך 2019 פרקים'!Q$7+'שאיפה 2019 פרקים'!Q$7+'שאיפה 2019 פרקים'!Q$35+'מחשוב 2019 פרקים'!Q$9+'מחשוב 2019 פרקים'!Q$14+'מינהל כללי 2019 פרקים'!Q$16</f>
        <v>10000000</v>
      </c>
      <c r="P10" s="80">
        <f>'הנדסה 2019 פרקים'!R$104+' החברה לפיתוח 2019 פרקים'!R$7+' החברה לפיתוח 2019 פרקים'!R$62+'תבל 2019 פרקים'!R$9+'ביטחון פיקוח וסדצ 2019 פרקים'!R$11+'חינוך 2019 פרקים'!R$7+'שאיפה 2019 פרקים'!R$7+'שאיפה 2019 פרקים'!R$35+'מחשוב 2019 פרקים'!R$9+'מחשוב 2019 פרקים'!R$14+'מינהל כללי 2019 פרקים'!R$16</f>
        <v>0</v>
      </c>
      <c r="Q10" s="80">
        <f>'הנדסה 2019 פרקים'!S$104+' החברה לפיתוח 2019 פרקים'!S$7+' החברה לפיתוח 2019 פרקים'!S$62+'תבל 2019 פרקים'!S$9+'ביטחון פיקוח וסדצ 2019 פרקים'!S$11+'חינוך 2019 פרקים'!S$7+'שאיפה 2019 פרקים'!S$7+'שאיפה 2019 פרקים'!S$35+'מחשוב 2019 פרקים'!S$9+'מחשוב 2019 פרקים'!S$14+'מינהל כללי 2019 פרקים'!S$16</f>
        <v>10000000</v>
      </c>
      <c r="R10" s="80">
        <f>'הנדסה 2019 פרקים'!T$104+' החברה לפיתוח 2019 פרקים'!T$7+' החברה לפיתוח 2019 פרקים'!T$62+'תבל 2019 פרקים'!T$9+'ביטחון פיקוח וסדצ 2019 פרקים'!T$11+'חינוך 2019 פרקים'!T$7+'שאיפה 2019 פרקים'!T$7+'שאיפה 2019 פרקים'!T$35+'מחשוב 2019 פרקים'!T$9+'מחשוב 2019 פרקים'!T$14+'מינהל כללי 2019 פרקים'!T$16</f>
        <v>40000</v>
      </c>
      <c r="S10" s="80">
        <f>'הנדסה 2019 פרקים'!U$104+' החברה לפיתוח 2019 פרקים'!U$7+' החברה לפיתוח 2019 פרקים'!U$62+'תבל 2019 פרקים'!U$9+'ביטחון פיקוח וסדצ 2019 פרקים'!U$11+'חינוך 2019 פרקים'!U$7+'שאיפה 2019 פרקים'!U$7+'שאיפה 2019 פרקים'!U$35+'מחשוב 2019 פרקים'!U$9+'מחשוב 2019 פרקים'!U$14+'מינהל כללי 2019 פרקים'!U$16</f>
        <v>13960000</v>
      </c>
      <c r="T10" s="80">
        <f>'הנדסה 2019 פרקים'!V$104+' החברה לפיתוח 2019 פרקים'!V$7+' החברה לפיתוח 2019 פרקים'!V$62+'תבל 2019 פרקים'!V$9+'ביטחון פיקוח וסדצ 2019 פרקים'!V$11+'חינוך 2019 פרקים'!V$7+'שאיפה 2019 פרקים'!V$7+'שאיפה 2019 פרקים'!V$35+'מחשוב 2019 פרקים'!V$9+'מחשוב 2019 פרקים'!V$14+'מינהל כללי 2019 פרקים'!V$16</f>
        <v>7100000</v>
      </c>
      <c r="U10" s="80">
        <f>'הנדסה 2019 פרקים'!W$104+' החברה לפיתוח 2019 פרקים'!W$7+' החברה לפיתוח 2019 פרקים'!W$62+'תבל 2019 פרקים'!W$9+'ביטחון פיקוח וסדצ 2019 פרקים'!W$11+'חינוך 2019 פרקים'!W$7+'שאיפה 2019 פרקים'!W$7+'שאיפה 2019 פרקים'!W$35+'מחשוב 2019 פרקים'!W$9+'מחשוב 2019 פרקים'!W$14+'מינהל כללי 2019 פרקים'!W$16</f>
        <v>6260000</v>
      </c>
      <c r="V10" s="80">
        <f>'הנדסה 2019 פרקים'!X$104+' החברה לפיתוח 2019 פרקים'!X$7+' החברה לפיתוח 2019 פרקים'!X$62+'תבל 2019 פרקים'!X$9+'ביטחון פיקוח וסדצ 2019 פרקים'!X$11+'חינוך 2019 פרקים'!X$7+'שאיפה 2019 פרקים'!X$7+'שאיפה 2019 פרקים'!X$35+'מחשוב 2019 פרקים'!X$9+'מחשוב 2019 פרקים'!X$14+'מינהל כללי 2019 פרקים'!X$16</f>
        <v>0</v>
      </c>
      <c r="W10" s="80">
        <f>'הנדסה 2019 פרקים'!Y$104+' החברה לפיתוח 2019 פרקים'!Y$7+' החברה לפיתוח 2019 פרקים'!Y$62+'תבל 2019 פרקים'!Y$9+'ביטחון פיקוח וסדצ 2019 פרקים'!Y$11+'חינוך 2019 פרקים'!Y$7+'שאיפה 2019 פרקים'!Y$7+'שאיפה 2019 פרקים'!Y$35+'מחשוב 2019 פרקים'!Y$9+'מחשוב 2019 פרקים'!Y$14+'מינהל כללי 2019 פרקים'!Y$16</f>
        <v>0</v>
      </c>
      <c r="X10" s="80">
        <f>'הנדסה 2019 פרקים'!Z$104+' החברה לפיתוח 2019 פרקים'!Z$7+' החברה לפיתוח 2019 פרקים'!Z$62+'תבל 2019 פרקים'!Z$9+'ביטחון פיקוח וסדצ 2019 פרקים'!Z$11+'חינוך 2019 פרקים'!Z$7+'שאיפה 2019 פרקים'!Z$7+'שאיפה 2019 פרקים'!Z$35+'מחשוב 2019 פרקים'!Z$9+'מחשוב 2019 פרקים'!Z$14+'מינהל כללי 2019 פרקים'!Z$16</f>
        <v>600000</v>
      </c>
    </row>
    <row r="11" spans="1:25" s="82" customFormat="1" ht="27" customHeight="1">
      <c r="A11" s="393" t="s">
        <v>1388</v>
      </c>
      <c r="B11" s="80">
        <f>' החברה לפיתוח 2019 פרקים'!D$87+'תבל 2019 פרקים'!D$56+'חינוך 2019 פרקים'!D$30+'שאיפה 2019 פרקים'!D$40+'מחשוב 2019 פרקים'!D$17</f>
        <v>1313323308.1339867</v>
      </c>
      <c r="C11" s="80">
        <f>' החברה לפיתוח 2019 פרקים'!E$87+'תבל 2019 פרקים'!E$56+'חינוך 2019 פרקים'!E$30+'שאיפה 2019 פרקים'!E$40+'מחשוב 2019 פרקים'!E$17</f>
        <v>908153445</v>
      </c>
      <c r="D11" s="80">
        <f>' החברה לפיתוח 2019 פרקים'!F$87+'תבל 2019 פרקים'!F$56+'חינוך 2019 פרקים'!F$30+'שאיפה 2019 פרקים'!F$40+'מחשוב 2019 פרקים'!F$17</f>
        <v>405169863.13398665</v>
      </c>
      <c r="E11" s="80">
        <f>' החברה לפיתוח 2019 פרקים'!G$87+'תבל 2019 פרקים'!G$56+'חינוך 2019 פרקים'!G$30+'שאיפה 2019 פרקים'!G$40+'מחשוב 2019 פרקים'!G$17</f>
        <v>533940418</v>
      </c>
      <c r="F11" s="80">
        <f>' החברה לפיתוח 2019 פרקים'!H$87+'תבל 2019 פרקים'!H$56+'חינוך 2019 פרקים'!H$30+'שאיפה 2019 פרקים'!H$40+'מחשוב 2019 פרקים'!H$17</f>
        <v>442643732.49999994</v>
      </c>
      <c r="G11" s="80">
        <f>' החברה לפיתוח 2019 פרקים'!I$87+'תבל 2019 פרקים'!I$56+'חינוך 2019 פרקים'!I$30+'שאיפה 2019 פרקים'!I$40+'מחשוב 2019 פרקים'!I$17</f>
        <v>18427701.710000001</v>
      </c>
      <c r="H11" s="80">
        <f>' החברה לפיתוח 2019 פרקים'!J$87+'תבל 2019 פרקים'!J$56+'חינוך 2019 פרקים'!J$30+'שאיפה 2019 פרקים'!J$40+'מחשוב 2019 פרקים'!J$17</f>
        <v>25095619.579999998</v>
      </c>
      <c r="I11" s="80">
        <f>' החברה לפיתוח 2019 פרקים'!K$87+'תבל 2019 פרקים'!K$56+'חינוך 2019 פרקים'!K$30+'שאיפה 2019 פרקים'!K$40+'מחשוב 2019 פרקים'!K$17</f>
        <v>43523321.289999999</v>
      </c>
      <c r="J11" s="80">
        <f>' החברה לפיתוח 2019 פרקים'!L$87+'תבל 2019 פרקים'!L$56+'חינוך 2019 פרקים'!L$30+'שאיפה 2019 פרקים'!L$40+'מחשוב 2019 פרקים'!L$17</f>
        <v>486167053.79000002</v>
      </c>
      <c r="K11" s="80">
        <f>' החברה לפיתוח 2019 פרקים'!M$87+'תבל 2019 פרקים'!M$56+'חינוך 2019 פרקים'!M$30+'שאיפה 2019 פרקים'!M$40+'מחשוב 2019 פרקים'!M$17</f>
        <v>74525364.209999993</v>
      </c>
      <c r="L11" s="80">
        <f>' החברה לפיתוח 2019 פרקים'!N$87+'תבל 2019 פרקים'!N$56+'חינוך 2019 פרקים'!N$30+'שאיפה 2019 פרקים'!N$40+'מחשוב 2019 פרקים'!N$17</f>
        <v>86172382.133986652</v>
      </c>
      <c r="M11" s="80">
        <f>' החברה לפיתוח 2019 פרקים'!O$87+'תבל 2019 פרקים'!O$56+'חינוך 2019 פרקים'!O$30+'שאיפה 2019 פרקים'!O$40+'מחשוב 2019 פרקים'!O$17</f>
        <v>666458508</v>
      </c>
      <c r="N11" s="80">
        <f>' החברה לפיתוח 2019 פרקים'!P$87+'תבל 2019 פרקים'!P$56+'חינוך 2019 פרקים'!P$30+'שאיפה 2019 פרקים'!P$40+'מחשוב 2019 פרקים'!P$17</f>
        <v>47773364.209999986</v>
      </c>
      <c r="O11" s="80">
        <f>' החברה לפיתוח 2019 פרקים'!Q$87+'תבל 2019 פרקים'!Q$56+'חינוך 2019 פרקים'!Q$30+'שאיפה 2019 פרקים'!Q$40+'מחשוב 2019 פרקים'!Q$17</f>
        <v>29350000</v>
      </c>
      <c r="P11" s="80">
        <f>' החברה לפיתוח 2019 פרקים'!R$87+'תבל 2019 פרקים'!R$56+'חינוך 2019 פרקים'!R$30+'שאיפה 2019 פרקים'!R$40+'מחשוב 2019 פרקים'!R$17</f>
        <v>0</v>
      </c>
      <c r="Q11" s="80">
        <f>' החברה לפיתוח 2019 פרקים'!S$87+'תבל 2019 פרקים'!S$56+'חינוך 2019 פרקים'!S$30+'שאיפה 2019 פרקים'!S$40+'מחשוב 2019 פרקים'!S$17</f>
        <v>29350000</v>
      </c>
      <c r="R11" s="80">
        <f>' החברה לפיתוח 2019 פרקים'!T$87+'תבל 2019 פרקים'!T$56+'חינוך 2019 פרקים'!T$30+'שאיפה 2019 פרקים'!T$40+'מחשוב 2019 פרקים'!T$17</f>
        <v>2598000</v>
      </c>
      <c r="S11" s="80">
        <f>' החברה לפיתוח 2019 פרקים'!U$87+'תבל 2019 פרקים'!U$56+'חינוך 2019 פרקים'!U$30+'שאיפה 2019 פרקים'!U$40+'מחשוב 2019 פרקים'!U$17</f>
        <v>83574382.133986652</v>
      </c>
      <c r="T11" s="80">
        <f>' החברה לפיתוח 2019 פרקים'!V$87+'תבל 2019 פרקים'!V$56+'חינוך 2019 פרקים'!V$30+'שאיפה 2019 פרקים'!V$40+'מחשוב 2019 פרקים'!V$17</f>
        <v>54098670</v>
      </c>
      <c r="U11" s="80">
        <f>' החברה לפיתוח 2019 פרקים'!W$87+'תבל 2019 פרקים'!W$56+'חינוך 2019 פרקים'!W$30+'שאיפה 2019 פרקים'!W$40+'מחשוב 2019 פרקים'!W$17</f>
        <v>9544100.13398665</v>
      </c>
      <c r="V11" s="80">
        <f>' החברה לפיתוח 2019 פרקים'!X$87+'תבל 2019 פרקים'!X$56+'חינוך 2019 פרקים'!X$30+'שאיפה 2019 פרקים'!X$40+'מחשוב 2019 פרקים'!X$17</f>
        <v>0</v>
      </c>
      <c r="W11" s="80">
        <f>' החברה לפיתוח 2019 פרקים'!Y$87+'תבל 2019 פרקים'!Y$56+'חינוך 2019 פרקים'!Y$30+'שאיפה 2019 פרקים'!Y$40+'מחשוב 2019 פרקים'!Y$17</f>
        <v>-917688</v>
      </c>
      <c r="X11" s="80">
        <f>' החברה לפיתוח 2019 פרקים'!Z$87+'תבל 2019 פרקים'!Z$56+'חינוך 2019 פרקים'!Z$30+'שאיפה 2019 פרקים'!Z$40+'מחשוב 2019 פרקים'!Z$17</f>
        <v>20849300</v>
      </c>
    </row>
    <row r="12" spans="1:25" s="82" customFormat="1" ht="27" customHeight="1">
      <c r="A12" s="393" t="s">
        <v>1389</v>
      </c>
      <c r="B12" s="80">
        <f>'הנדסה 2019 פרקים'!D$107+' החברה לפיתוח 2019 פרקים'!D$108+'תבל 2019 פרקים'!D$60+'תנוס 2019 פרקים'!D$15+'שאיפה 2019 פרקים'!D$42</f>
        <v>406186000</v>
      </c>
      <c r="C12" s="80">
        <f>'הנדסה 2019 פרקים'!E$107+' החברה לפיתוח 2019 פרקים'!E$108+'תבל 2019 פרקים'!E$60+'תנוס 2019 פרקים'!E$15+'שאיפה 2019 פרקים'!E$42</f>
        <v>376240000</v>
      </c>
      <c r="D12" s="80">
        <f>'הנדסה 2019 פרקים'!F$107+' החברה לפיתוח 2019 פרקים'!F$108+'תבל 2019 פרקים'!F$60+'תנוס 2019 פרקים'!F$15+'שאיפה 2019 פרקים'!F$42</f>
        <v>29946000</v>
      </c>
      <c r="E12" s="80">
        <f>'הנדסה 2019 פרקים'!G$107+' החברה לפיתוח 2019 פרקים'!G$108+'תבל 2019 פרקים'!G$60+'תנוס 2019 פרקים'!G$15+'שאיפה 2019 פרקים'!G$42</f>
        <v>71654800</v>
      </c>
      <c r="F12" s="80">
        <f>'הנדסה 2019 פרקים'!H$107+' החברה לפיתוח 2019 פרקים'!H$108+'תבל 2019 פרקים'!H$60+'תנוס 2019 פרקים'!H$15+'שאיפה 2019 פרקים'!H$42</f>
        <v>45525737.219999999</v>
      </c>
      <c r="G12" s="80">
        <f>'הנדסה 2019 פרקים'!I$107+' החברה לפיתוח 2019 פרקים'!I$108+'תבל 2019 פרקים'!I$60+'תנוס 2019 פרקים'!I$15+'שאיפה 2019 פרקים'!I$42</f>
        <v>123646.13</v>
      </c>
      <c r="H12" s="80">
        <f>'הנדסה 2019 פרקים'!J$107+' החברה לפיתוח 2019 פרקים'!J$108+'תבל 2019 פרקים'!J$60+'תנוס 2019 פרקים'!J$15+'שאיפה 2019 פרקים'!J$42</f>
        <v>15056624.029999999</v>
      </c>
      <c r="I12" s="80">
        <f>'הנדסה 2019 פרקים'!K$107+' החברה לפיתוח 2019 פרקים'!K$108+'תבל 2019 פרקים'!K$60+'תנוס 2019 פרקים'!K$15+'שאיפה 2019 פרקים'!K$42</f>
        <v>15180270.16</v>
      </c>
      <c r="J12" s="80">
        <f>'הנדסה 2019 פרקים'!L$107+' החברה לפיתוח 2019 פרקים'!L$108+'תבל 2019 פרקים'!L$60+'תנוס 2019 פרקים'!L$15+'שאיפה 2019 פרקים'!L$42</f>
        <v>60706007.38000001</v>
      </c>
      <c r="K12" s="80">
        <f>'הנדסה 2019 פרקים'!M$107+' החברה לפיתוח 2019 פרקים'!M$108+'תבל 2019 פרקים'!M$60+'תנוס 2019 פרקים'!M$15+'שאיפה 2019 פרקים'!M$42</f>
        <v>32718792.620000001</v>
      </c>
      <c r="L12" s="80">
        <f>'הנדסה 2019 פרקים'!N$107+' החברה לפיתוח 2019 פרקים'!N$108+'תבל 2019 פרקים'!N$60+'תנוס 2019 פרקים'!N$15+'שאיפה 2019 פרקים'!N$42</f>
        <v>83696200</v>
      </c>
      <c r="M12" s="80">
        <f>'הנדסה 2019 פרקים'!O$107+' החברה לפיתוח 2019 פרקים'!O$108+'תבל 2019 פרקים'!O$60+'תנוס 2019 פרקים'!O$15+'שאיפה 2019 פרקים'!O$42</f>
        <v>229065000</v>
      </c>
      <c r="N12" s="80">
        <f>'הנדסה 2019 פרקים'!P$107+' החברה לפיתוח 2019 פרקים'!P$108+'תבל 2019 פרקים'!P$60+'תנוס 2019 פרקים'!P$15+'שאיפה 2019 פרקים'!P$42</f>
        <v>10948792.619999997</v>
      </c>
      <c r="O12" s="80">
        <f>'הנדסה 2019 פרקים'!Q$107+' החברה לפיתוח 2019 פרקים'!Q$108+'תבל 2019 פרקים'!Q$60+'תנוס 2019 פרקים'!Q$15+'שאיפה 2019 פרקים'!Q$42</f>
        <v>22420000</v>
      </c>
      <c r="P12" s="80">
        <f>'הנדסה 2019 פרקים'!R$107+' החברה לפיתוח 2019 פרקים'!R$108+'תבל 2019 פרקים'!R$60+'תנוס 2019 פרקים'!R$15+'שאיפה 2019 פרקים'!R$42</f>
        <v>2800000</v>
      </c>
      <c r="Q12" s="80">
        <f>'הנדסה 2019 פרקים'!S$107+' החברה לפיתוח 2019 פרקים'!S$108+'תבל 2019 פרקים'!S$60+'תנוס 2019 פרקים'!S$15+'שאיפה 2019 פרקים'!S$42</f>
        <v>25220000</v>
      </c>
      <c r="R12" s="80">
        <f>'הנדסה 2019 פרקים'!T$107+' החברה לפיתוח 2019 פרקים'!T$108+'תבל 2019 פרקים'!T$60+'תנוס 2019 פרקים'!T$15+'שאיפה 2019 פרקים'!T$42</f>
        <v>3450000</v>
      </c>
      <c r="S12" s="80">
        <f>'הנדסה 2019 פרקים'!U$107+' החברה לפיתוח 2019 פרקים'!U$108+'תבל 2019 פרקים'!U$60+'תנוס 2019 פרקים'!U$15+'שאיפה 2019 פרקים'!U$42</f>
        <v>80246200</v>
      </c>
      <c r="T12" s="80">
        <f>'הנדסה 2019 פרקים'!V$107+' החברה לפיתוח 2019 פרקים'!V$108+'תבל 2019 פרקים'!V$60+'תנוס 2019 פרקים'!V$15+'שאיפה 2019 פרקים'!V$42</f>
        <v>79156200</v>
      </c>
      <c r="U12" s="80">
        <f>'הנדסה 2019 פרקים'!W$107+' החברה לפיתוח 2019 פרקים'!W$108+'תבל 2019 פרקים'!W$60+'תנוס 2019 פרקים'!W$15+'שאיפה 2019 פרקים'!W$42</f>
        <v>2140000</v>
      </c>
      <c r="V12" s="80">
        <f>'הנדסה 2019 פרקים'!X$107+' החברה לפיתוח 2019 פרקים'!X$108+'תבל 2019 פרקים'!X$60+'תנוס 2019 פרקים'!X$15+'שאיפה 2019 פרקים'!X$42</f>
        <v>0</v>
      </c>
      <c r="W12" s="80">
        <f>'הנדסה 2019 פרקים'!Y$107+' החברה לפיתוח 2019 פרקים'!Y$108+'תבל 2019 פרקים'!Y$60+'תנוס 2019 פרקים'!Y$15+'שאיפה 2019 פרקים'!Y$42</f>
        <v>-1050000</v>
      </c>
      <c r="X12" s="80">
        <f>'הנדסה 2019 פרקים'!Z$107+' החברה לפיתוח 2019 פרקים'!Z$108+'תבל 2019 פרקים'!Z$60+'תנוס 2019 פרקים'!Z$15+'שאיפה 2019 פרקים'!Z$42</f>
        <v>0</v>
      </c>
    </row>
    <row r="13" spans="1:25" s="82" customFormat="1" ht="27" customHeight="1">
      <c r="A13" s="393" t="s">
        <v>1394</v>
      </c>
      <c r="B13" s="80">
        <f>' החברה לפיתוח 2019 פרקים'!D$111+'תבל 2019 פרקים'!D$62+'מינהל כללי 2019 פרקים'!D$18</f>
        <v>11354000</v>
      </c>
      <c r="C13" s="80">
        <f>' החברה לפיתוח 2019 פרקים'!E$111+'תבל 2019 פרקים'!E$62+'מינהל כללי 2019 פרקים'!E$18</f>
        <v>1454000</v>
      </c>
      <c r="D13" s="80">
        <f>' החברה לפיתוח 2019 פרקים'!F$111+'תבל 2019 פרקים'!F$62+'מינהל כללי 2019 פרקים'!F$18</f>
        <v>9900000</v>
      </c>
      <c r="E13" s="80">
        <f>' החברה לפיתוח 2019 פרקים'!G$111+'תבל 2019 פרקים'!G$62+'מינהל כללי 2019 פרקים'!G$18</f>
        <v>1454000</v>
      </c>
      <c r="F13" s="80">
        <f>' החברה לפיתוח 2019 פרקים'!H$111+'תבל 2019 פרקים'!H$62+'מינהל כללי 2019 פרקים'!H$18</f>
        <v>769620.44</v>
      </c>
      <c r="G13" s="80">
        <f>' החברה לפיתוח 2019 פרקים'!I$111+'תבל 2019 פרקים'!I$62+'מינהל כללי 2019 פרקים'!I$18</f>
        <v>0</v>
      </c>
      <c r="H13" s="80">
        <f>' החברה לפיתוח 2019 פרקים'!J$111+'תבל 2019 פרקים'!J$62+'מינהל כללי 2019 פרקים'!J$18</f>
        <v>0</v>
      </c>
      <c r="I13" s="80">
        <f>' החברה לפיתוח 2019 פרקים'!K$111+'תבל 2019 פרקים'!K$62+'מינהל כללי 2019 פרקים'!K$18</f>
        <v>0</v>
      </c>
      <c r="J13" s="80">
        <f>' החברה לפיתוח 2019 פרקים'!L$111+'תבל 2019 פרקים'!L$62+'מינהל כללי 2019 פרקים'!L$18</f>
        <v>769620.44</v>
      </c>
      <c r="K13" s="80">
        <f>' החברה לפיתוח 2019 פרקים'!M$111+'תבל 2019 פרקים'!M$62+'מינהל כללי 2019 פרקים'!M$18</f>
        <v>684379.56</v>
      </c>
      <c r="L13" s="80">
        <f>' החברה לפיתוח 2019 פרקים'!N$111+'תבל 2019 פרקים'!N$62+'מינהל כללי 2019 פרקים'!N$18</f>
        <v>50000</v>
      </c>
      <c r="M13" s="80">
        <f>' החברה לפיתוח 2019 פרקים'!O$111+'תבל 2019 פרקים'!O$62+'מינהל כללי 2019 פרקים'!O$18</f>
        <v>9850000</v>
      </c>
      <c r="N13" s="80">
        <f>' החברה לפיתוח 2019 פרקים'!P$111+'תבל 2019 פרקים'!P$62+'מינהל כללי 2019 פרקים'!P$18</f>
        <v>684379.56</v>
      </c>
      <c r="O13" s="80">
        <f>' החברה לפיתוח 2019 פרקים'!Q$111+'תבל 2019 פרקים'!Q$62+'מינהל כללי 2019 פרקים'!Q$18</f>
        <v>0</v>
      </c>
      <c r="P13" s="80">
        <f>' החברה לפיתוח 2019 פרקים'!R$111+'תבל 2019 פרקים'!R$62+'מינהל כללי 2019 פרקים'!R$18</f>
        <v>0</v>
      </c>
      <c r="Q13" s="80">
        <f>' החברה לפיתוח 2019 פרקים'!S$111+'תבל 2019 פרקים'!S$62+'מינהל כללי 2019 פרקים'!S$18</f>
        <v>0</v>
      </c>
      <c r="R13" s="80">
        <f>' החברה לפיתוח 2019 פרקים'!T$111+'תבל 2019 פרקים'!T$62+'מינהל כללי 2019 פרקים'!T$18</f>
        <v>0</v>
      </c>
      <c r="S13" s="80">
        <f>' החברה לפיתוח 2019 פרקים'!U$111+'תבל 2019 פרקים'!U$62+'מינהל כללי 2019 פרקים'!U$18</f>
        <v>50000</v>
      </c>
      <c r="T13" s="80">
        <f>' החברה לפיתוח 2019 פרקים'!V$111+'תבל 2019 פרקים'!V$62+'מינהל כללי 2019 פרקים'!V$18</f>
        <v>50000</v>
      </c>
      <c r="U13" s="80">
        <f>' החברה לפיתוח 2019 פרקים'!W$111+'תבל 2019 פרקים'!W$62+'מינהל כללי 2019 פרקים'!W$18</f>
        <v>0</v>
      </c>
      <c r="V13" s="80">
        <f>' החברה לפיתוח 2019 פרקים'!X$111+'תבל 2019 פרקים'!X$62+'מינהל כללי 2019 פרקים'!X$18</f>
        <v>0</v>
      </c>
      <c r="W13" s="80">
        <f>' החברה לפיתוח 2019 פרקים'!Y$111+'תבל 2019 פרקים'!Y$62+'מינהל כללי 2019 פרקים'!Y$18</f>
        <v>0</v>
      </c>
      <c r="X13" s="80">
        <f>' החברה לפיתוח 2019 פרקים'!Z$111+'תבל 2019 פרקים'!Z$62+'מינהל כללי 2019 פרקים'!Z$18</f>
        <v>0</v>
      </c>
    </row>
    <row r="14" spans="1:25" s="82" customFormat="1" ht="27" customHeight="1">
      <c r="A14" s="11" t="s">
        <v>1390</v>
      </c>
      <c r="B14" s="80">
        <f>' החברה לפיתוח 2019 פרקים'!D$117+'תבל 2019 פרקים'!D$70</f>
        <v>22450000</v>
      </c>
      <c r="C14" s="80">
        <f>' החברה לפיתוח 2019 פרקים'!E$117+'תבל 2019 פרקים'!E$70</f>
        <v>14125000</v>
      </c>
      <c r="D14" s="80">
        <f>' החברה לפיתוח 2019 פרקים'!F$117+'תבל 2019 פרקים'!F$70</f>
        <v>8325000</v>
      </c>
      <c r="E14" s="80">
        <f>' החברה לפיתוח 2019 פרקים'!G$117+'תבל 2019 פרקים'!G$70</f>
        <v>11475000</v>
      </c>
      <c r="F14" s="80">
        <f>' החברה לפיתוח 2019 פרקים'!H$117+'תבל 2019 פרקים'!H$70</f>
        <v>5710639.1500000004</v>
      </c>
      <c r="G14" s="80">
        <f>' החברה לפיתוח 2019 פרקים'!I$117+'תבל 2019 פרקים'!I$70</f>
        <v>206564.65</v>
      </c>
      <c r="H14" s="80">
        <f>' החברה לפיתוח 2019 פרקים'!J$117+'תבל 2019 פרקים'!J$70</f>
        <v>2455473.7199999997</v>
      </c>
      <c r="I14" s="80">
        <f>' החברה לפיתוח 2019 פרקים'!K$117+'תבל 2019 פרקים'!K$70</f>
        <v>2662038.37</v>
      </c>
      <c r="J14" s="80">
        <f>' החברה לפיתוח 2019 פרקים'!L$117+'תבל 2019 פרקים'!L$70</f>
        <v>8372677.5200000005</v>
      </c>
      <c r="K14" s="80">
        <f>' החברה לפיתוח 2019 פרקים'!M$117+'תבל 2019 פרקים'!M$70</f>
        <v>3452322.4799999995</v>
      </c>
      <c r="L14" s="80">
        <f>' החברה לפיתוח 2019 פרקים'!N$117+'תבל 2019 פרקים'!N$70</f>
        <v>5425000</v>
      </c>
      <c r="M14" s="80">
        <f>' החברה לפיתוח 2019 פרקים'!O$117+'תבל 2019 פרקים'!O$70</f>
        <v>5200000</v>
      </c>
      <c r="N14" s="80">
        <f>' החברה לפיתוח 2019 פרקים'!P$117+'תבל 2019 פרקים'!P$70</f>
        <v>3102322.4799999995</v>
      </c>
      <c r="O14" s="80">
        <f>' החברה לפיתוח 2019 פרקים'!Q$117+'תבל 2019 פרקים'!Q$70</f>
        <v>350000</v>
      </c>
      <c r="P14" s="80">
        <f>' החברה לפיתוח 2019 פרקים'!R$117+'תבל 2019 פרקים'!R$70</f>
        <v>0</v>
      </c>
      <c r="Q14" s="80">
        <f>' החברה לפיתוח 2019 פרקים'!S$117+'תבל 2019 פרקים'!S$70</f>
        <v>350000</v>
      </c>
      <c r="R14" s="80">
        <f>' החברה לפיתוח 2019 פרקים'!T$117+'תבל 2019 פרקים'!T$70</f>
        <v>0</v>
      </c>
      <c r="S14" s="80">
        <f>' החברה לפיתוח 2019 פרקים'!U$117+'תבל 2019 פרקים'!U$70</f>
        <v>5425000</v>
      </c>
      <c r="T14" s="80">
        <f>' החברה לפיתוח 2019 פרקים'!V$117+'תבל 2019 פרקים'!V$70</f>
        <v>4800000</v>
      </c>
      <c r="U14" s="80">
        <f>' החברה לפיתוח 2019 פרקים'!W$117+'תבל 2019 פרקים'!W$70</f>
        <v>625000</v>
      </c>
      <c r="V14" s="80">
        <f>' החברה לפיתוח 2019 פרקים'!X$117+'תבל 2019 פרקים'!X$70</f>
        <v>0</v>
      </c>
      <c r="W14" s="80">
        <f>' החברה לפיתוח 2019 פרקים'!Y$117+'תבל 2019 פרקים'!Y$70</f>
        <v>0</v>
      </c>
      <c r="X14" s="80">
        <f>' החברה לפיתוח 2019 פרקים'!Z$117+'תבל 2019 פרקים'!Z$70</f>
        <v>0</v>
      </c>
    </row>
    <row r="15" spans="1:25" s="82" customFormat="1" ht="27" customHeight="1">
      <c r="A15" s="393" t="s">
        <v>1391</v>
      </c>
      <c r="B15" s="80">
        <f>'תבל 2019 פרקים'!D$73+'שאיפה 2019 פרקים'!D$56-B17</f>
        <v>16859559</v>
      </c>
      <c r="C15" s="80">
        <f>'תבל 2019 פרקים'!E$73+'שאיפה 2019 פרקים'!E$56-C17</f>
        <v>16704559</v>
      </c>
      <c r="D15" s="80">
        <f>'תבל 2019 פרקים'!F$73+'שאיפה 2019 פרקים'!F$56-D17</f>
        <v>155000</v>
      </c>
      <c r="E15" s="80">
        <f>'תבל 2019 פרקים'!G$73+'שאיפה 2019 פרקים'!G$56-E17</f>
        <v>3800559</v>
      </c>
      <c r="F15" s="80">
        <f>'תבל 2019 פרקים'!H$73+'שאיפה 2019 פרקים'!H$56-F17</f>
        <v>2580979.2900000066</v>
      </c>
      <c r="G15" s="80">
        <f>'תבל 2019 פרקים'!I$73+'שאיפה 2019 פרקים'!I$56-G17</f>
        <v>0</v>
      </c>
      <c r="H15" s="80">
        <f>'תבל 2019 פרקים'!J$73+'שאיפה 2019 פרקים'!J$56-H17</f>
        <v>663670.98</v>
      </c>
      <c r="I15" s="80">
        <f>'תבל 2019 פרקים'!K$73+'שאיפה 2019 פרקים'!K$56-I17</f>
        <v>663670.98</v>
      </c>
      <c r="J15" s="80">
        <f>'תבל 2019 פרקים'!L$73+'שאיפה 2019 פרקים'!L$56-J17</f>
        <v>3244650.2699999958</v>
      </c>
      <c r="K15" s="80">
        <f>'תבל 2019 פרקים'!M$73+'שאיפה 2019 פרקים'!M$56-K17</f>
        <v>2795908.7299999995</v>
      </c>
      <c r="L15" s="80">
        <f>'תבל 2019 פרקים'!N$73+'שאיפה 2019 פרקים'!N$56-L17</f>
        <v>3130000</v>
      </c>
      <c r="M15" s="80">
        <f>'תבל 2019 פרקים'!O$73+'שאיפה 2019 פרקים'!O$56-M17</f>
        <v>7689000</v>
      </c>
      <c r="N15" s="80">
        <f>'תבל 2019 פרקים'!P$73+'שאיפה 2019 פרקים'!P$56-N17</f>
        <v>555908.73</v>
      </c>
      <c r="O15" s="80">
        <f>'תבל 2019 פרקים'!Q$73+'שאיפה 2019 פרקים'!Q$56-O17</f>
        <v>2240000</v>
      </c>
      <c r="P15" s="80">
        <f>'תבל 2019 פרקים'!R$73+'שאיפה 2019 פרקים'!R$56-P17</f>
        <v>0</v>
      </c>
      <c r="Q15" s="80">
        <f>'תבל 2019 פרקים'!S$73+'שאיפה 2019 פרקים'!S$56-Q17</f>
        <v>2240000</v>
      </c>
      <c r="R15" s="80">
        <f>'תבל 2019 פרקים'!T$73+'שאיפה 2019 פרקים'!T$56-R17</f>
        <v>0</v>
      </c>
      <c r="S15" s="80">
        <f>'תבל 2019 פרקים'!U$73+'שאיפה 2019 פרקים'!U$56-S17</f>
        <v>3130000</v>
      </c>
      <c r="T15" s="80">
        <f>'תבל 2019 פרקים'!V$73+'שאיפה 2019 פרקים'!V$56-T17</f>
        <v>800000</v>
      </c>
      <c r="U15" s="80">
        <f>'תבל 2019 פרקים'!W$73+'שאיפה 2019 פרקים'!W$56-U17</f>
        <v>1190000</v>
      </c>
      <c r="V15" s="80">
        <f>'תבל 2019 פרקים'!X$73+'שאיפה 2019 פרקים'!X$56-V17</f>
        <v>0</v>
      </c>
      <c r="W15" s="80">
        <f>'תבל 2019 פרקים'!Y$73+'שאיפה 2019 פרקים'!Y$56-W17</f>
        <v>0</v>
      </c>
      <c r="X15" s="80">
        <f>'תבל 2019 פרקים'!Z$73+'שאיפה 2019 פרקים'!Z$56-X17</f>
        <v>1140000</v>
      </c>
    </row>
    <row r="16" spans="1:25" s="82" customFormat="1" ht="27" customHeight="1">
      <c r="A16" s="11" t="s">
        <v>1398</v>
      </c>
      <c r="B16" s="80">
        <f>' החברה לפיתוח 2019 פרקים'!D$113+'שאיפה 2019 פרקים'!D$44+'תבל 2019 פרקים'!D$64</f>
        <v>31200000</v>
      </c>
      <c r="C16" s="80">
        <f>' החברה לפיתוח 2019 פרקים'!E$113+'שאיפה 2019 פרקים'!E$44+'תבל 2019 פרקים'!E$64</f>
        <v>28100000</v>
      </c>
      <c r="D16" s="80">
        <f>' החברה לפיתוח 2019 פרקים'!F$113+'שאיפה 2019 פרקים'!F$44+'תבל 2019 פרקים'!F$64</f>
        <v>3100000</v>
      </c>
      <c r="E16" s="80">
        <f>' החברה לפיתוח 2019 פרקים'!G$113+'שאיפה 2019 פרקים'!G$44+'תבל 2019 פרקים'!G$64</f>
        <v>23674320</v>
      </c>
      <c r="F16" s="80">
        <f>' החברה לפיתוח 2019 פרקים'!H$113+'שאיפה 2019 פרקים'!H$44+'תבל 2019 פרקים'!H$64</f>
        <v>20628614.289999999</v>
      </c>
      <c r="G16" s="80">
        <f>' החברה לפיתוח 2019 פרקים'!I$113+'שאיפה 2019 פרקים'!I$44+'תבל 2019 פרקים'!I$64</f>
        <v>0</v>
      </c>
      <c r="H16" s="80">
        <f>' החברה לפיתוח 2019 פרקים'!J$113+'שאיפה 2019 פרקים'!J$44+'תבל 2019 פרקים'!J$64</f>
        <v>2988269</v>
      </c>
      <c r="I16" s="80">
        <f>' החברה לפיתוח 2019 פרקים'!K$113+'שאיפה 2019 פרקים'!K$44+'תבל 2019 פרקים'!K$64</f>
        <v>2988269</v>
      </c>
      <c r="J16" s="80">
        <f>' החברה לפיתוח 2019 פרקים'!L$113+'שאיפה 2019 פרקים'!L$44+'תבל 2019 פרקים'!L$64</f>
        <v>23616883.289999999</v>
      </c>
      <c r="K16" s="80">
        <f>' החברה לפיתוח 2019 פרקים'!M$113+'שאיפה 2019 פרקים'!M$44+'תבל 2019 פרקים'!M$64</f>
        <v>57436.709999999963</v>
      </c>
      <c r="L16" s="80">
        <f>' החברה לפיתוח 2019 פרקים'!N$113+'שאיפה 2019 פרקים'!N$44+'תבל 2019 פרקים'!N$64</f>
        <v>6500000</v>
      </c>
      <c r="M16" s="80">
        <f>' החברה לפיתוח 2019 פרקים'!O$113+'שאיפה 2019 פרקים'!O$44+'תבל 2019 פרקים'!O$64</f>
        <v>1025680</v>
      </c>
      <c r="N16" s="80">
        <f>' החברה לפיתוח 2019 פרקים'!P$113+'שאיפה 2019 פרקים'!P$44+'תבל 2019 פרקים'!P$64</f>
        <v>57436.709999999963</v>
      </c>
      <c r="O16" s="80">
        <f>' החברה לפיתוח 2019 פרקים'!Q$113+'שאיפה 2019 פרקים'!Q$44+'תבל 2019 פרקים'!Q$64</f>
        <v>0</v>
      </c>
      <c r="P16" s="80">
        <f>' החברה לפיתוח 2019 פרקים'!R$113+'שאיפה 2019 פרקים'!R$44+'תבל 2019 פרקים'!R$64</f>
        <v>0</v>
      </c>
      <c r="Q16" s="80">
        <f>' החברה לפיתוח 2019 פרקים'!S$113+'שאיפה 2019 פרקים'!S$44+'תבל 2019 פרקים'!S$64</f>
        <v>0</v>
      </c>
      <c r="R16" s="80">
        <f>' החברה לפיתוח 2019 פרקים'!T$113+'שאיפה 2019 פרקים'!T$44+'תבל 2019 פרקים'!T$64</f>
        <v>0</v>
      </c>
      <c r="S16" s="80">
        <f>' החברה לפיתוח 2019 פרקים'!U$113+'שאיפה 2019 פרקים'!U$44+'תבל 2019 פרקים'!U$64</f>
        <v>6500000</v>
      </c>
      <c r="T16" s="80">
        <f>' החברה לפיתוח 2019 פרקים'!V$113+'שאיפה 2019 פרקים'!V$44+'תבל 2019 פרקים'!V$64</f>
        <v>0</v>
      </c>
      <c r="U16" s="80">
        <f>' החברה לפיתוח 2019 פרקים'!W$113+'שאיפה 2019 פרקים'!W$44+'תבל 2019 פרקים'!W$64</f>
        <v>6500000</v>
      </c>
      <c r="V16" s="80">
        <f>' החברה לפיתוח 2019 פרקים'!X$113+'שאיפה 2019 פרקים'!X$44+'תבל 2019 פרקים'!X$64</f>
        <v>0</v>
      </c>
      <c r="W16" s="80">
        <f>' החברה לפיתוח 2019 פרקים'!Y$113+'שאיפה 2019 פרקים'!Y$44+'תבל 2019 פרקים'!Y$64</f>
        <v>0</v>
      </c>
      <c r="X16" s="80">
        <f>' החברה לפיתוח 2019 פרקים'!Z$113+'שאיפה 2019 פרקים'!Z$44+'תבל 2019 פרקים'!Z$64</f>
        <v>0</v>
      </c>
    </row>
    <row r="17" spans="1:26" s="82" customFormat="1" ht="27" customHeight="1">
      <c r="A17" s="11" t="s">
        <v>1429</v>
      </c>
      <c r="B17" s="80">
        <f>'שאיפה 2019 פרקים'!D$48</f>
        <v>88000000</v>
      </c>
      <c r="C17" s="80">
        <f>'שאיפה 2019 פרקים'!E$48</f>
        <v>88000000</v>
      </c>
      <c r="D17" s="80">
        <f>'שאיפה 2019 פרקים'!F$48</f>
        <v>0</v>
      </c>
      <c r="E17" s="80">
        <f>'שאיפה 2019 פרקים'!G$48</f>
        <v>65250000</v>
      </c>
      <c r="F17" s="80">
        <f>'שאיפה 2019 פרקים'!H$48</f>
        <v>65137184</v>
      </c>
      <c r="G17" s="80">
        <f>'שאיפה 2019 פרקים'!I$48</f>
        <v>0</v>
      </c>
      <c r="H17" s="80">
        <f>'שאיפה 2019 פרקים'!J$48</f>
        <v>1</v>
      </c>
      <c r="I17" s="80">
        <f>'שאיפה 2019 פרקים'!K$48</f>
        <v>1</v>
      </c>
      <c r="J17" s="80">
        <f>'שאיפה 2019 פרקים'!L$48</f>
        <v>65137185</v>
      </c>
      <c r="K17" s="80">
        <f>'שאיפה 2019 פרקים'!M$48</f>
        <v>2112815</v>
      </c>
      <c r="L17" s="80">
        <f>'שאיפה 2019 פרקים'!N$48</f>
        <v>16350000</v>
      </c>
      <c r="M17" s="80">
        <f>'שאיפה 2019 פרקים'!O$48</f>
        <v>4400000</v>
      </c>
      <c r="N17" s="80">
        <f>'שאיפה 2019 פרקים'!P$48</f>
        <v>112815</v>
      </c>
      <c r="O17" s="80">
        <f>'שאיפה 2019 פרקים'!Q$48</f>
        <v>2000000</v>
      </c>
      <c r="P17" s="80">
        <f>'שאיפה 2019 פרקים'!R$48</f>
        <v>0</v>
      </c>
      <c r="Q17" s="80">
        <f>'שאיפה 2019 פרקים'!S$48</f>
        <v>2000000</v>
      </c>
      <c r="R17" s="80">
        <f>'שאיפה 2019 פרקים'!T$48</f>
        <v>0</v>
      </c>
      <c r="S17" s="80">
        <f>'שאיפה 2019 פרקים'!U$48</f>
        <v>16350000</v>
      </c>
      <c r="T17" s="80">
        <f>'שאיפה 2019 פרקים'!V$48</f>
        <v>0</v>
      </c>
      <c r="U17" s="80">
        <f>'שאיפה 2019 פרקים'!W$48</f>
        <v>0</v>
      </c>
      <c r="V17" s="80">
        <f>'שאיפה 2019 פרקים'!X$48</f>
        <v>0</v>
      </c>
      <c r="W17" s="80">
        <f>'שאיפה 2019 פרקים'!Y$48</f>
        <v>0</v>
      </c>
      <c r="X17" s="80">
        <f>'שאיפה 2019 פרקים'!Z$48</f>
        <v>16350000</v>
      </c>
    </row>
    <row r="18" spans="1:26" s="82" customFormat="1" ht="27" customHeight="1">
      <c r="A18" s="393" t="s">
        <v>1395</v>
      </c>
      <c r="B18" s="80">
        <f>' החברה לפיתוח 2019 פרקים'!D$122+'תבל 2019 פרקים'!D$80+'תנוס 2019 פרקים'!D$17+'נכסים 2019 פרקים'!D$23</f>
        <v>288694365</v>
      </c>
      <c r="C18" s="80">
        <f>' החברה לפיתוח 2019 פרקים'!E$122+'תבל 2019 פרקים'!E$80+'תנוס 2019 פרקים'!E$17+'נכסים 2019 פרקים'!E$23</f>
        <v>294640065</v>
      </c>
      <c r="D18" s="80">
        <f>' החברה לפיתוח 2019 פרקים'!F$122+'תבל 2019 פרקים'!F$80+'תנוס 2019 פרקים'!F$17+'נכסים 2019 פרקים'!F$23</f>
        <v>-5945700</v>
      </c>
      <c r="E18" s="80">
        <f>' החברה לפיתוח 2019 פרקים'!G$122+'תבל 2019 פרקים'!G$80+'תנוס 2019 פרקים'!G$17+'נכסים 2019 פרקים'!G$23</f>
        <v>208592890</v>
      </c>
      <c r="F18" s="80">
        <f>' החברה לפיתוח 2019 פרקים'!H$122+'תבל 2019 פרקים'!H$80+'תנוס 2019 פרקים'!H$17+'נכסים 2019 פרקים'!H$23</f>
        <v>178169427.36999997</v>
      </c>
      <c r="G18" s="80">
        <f>' החברה לפיתוח 2019 פרקים'!I$122+'תבל 2019 פרקים'!I$80+'תנוס 2019 פרקים'!I$17+'נכסים 2019 פרקים'!I$23</f>
        <v>0</v>
      </c>
      <c r="H18" s="80">
        <f>' החברה לפיתוח 2019 פרקים'!J$122+'תבל 2019 פרקים'!J$80+'תנוס 2019 פרקים'!J$17+'נכסים 2019 פרקים'!J$23</f>
        <v>8921251.6099999994</v>
      </c>
      <c r="I18" s="80">
        <f>' החברה לפיתוח 2019 פרקים'!K$122+'תבל 2019 פרקים'!K$80+'תנוס 2019 פרקים'!K$17+'נכסים 2019 פרקים'!K$23</f>
        <v>8921251.6099999994</v>
      </c>
      <c r="J18" s="80">
        <f>' החברה לפיתוח 2019 פרקים'!L$122+'תבל 2019 פרקים'!L$80+'תנוס 2019 פרקים'!L$17+'נכסים 2019 פרקים'!L$23</f>
        <v>187090678.97999999</v>
      </c>
      <c r="K18" s="80">
        <f>' החברה לפיתוח 2019 פרקים'!M$122+'תבל 2019 פרקים'!M$80+'תנוס 2019 פרקים'!M$17+'נכסים 2019 פרקים'!M$23</f>
        <v>21762211.02</v>
      </c>
      <c r="L18" s="80">
        <f>' החברה לפיתוח 2019 פרקים'!N$122+'תבל 2019 פרקים'!N$80+'תנוס 2019 פרקים'!N$17+'נכסים 2019 פרקים'!N$23</f>
        <v>12154300</v>
      </c>
      <c r="M18" s="80">
        <f>' החברה לפיתוח 2019 פרקים'!O$122+'תבל 2019 פרקים'!O$80+'תנוס 2019 פרקים'!O$17+'נכסים 2019 פרקים'!O$23</f>
        <v>67687175</v>
      </c>
      <c r="N18" s="80">
        <f>' החברה לפיתוח 2019 פרקים'!P$122+'תבל 2019 פרקים'!P$80+'תנוס 2019 פרקים'!P$17+'נכסים 2019 פרקים'!P$23</f>
        <v>21502211.02</v>
      </c>
      <c r="O18" s="80">
        <f>' החברה לפיתוח 2019 פרקים'!Q$122+'תבל 2019 פרקים'!Q$80+'תנוס 2019 פרקים'!Q$17+'נכסים 2019 פרקים'!Q$23</f>
        <v>260000</v>
      </c>
      <c r="P18" s="80">
        <f>' החברה לפיתוח 2019 פרקים'!R$122+'תבל 2019 פרקים'!R$80+'תנוס 2019 פרקים'!R$17+'נכסים 2019 פרקים'!R$23</f>
        <v>0</v>
      </c>
      <c r="Q18" s="80">
        <f>' החברה לפיתוח 2019 פרקים'!S$122+'תבל 2019 פרקים'!S$80+'תנוס 2019 פרקים'!S$17+'נכסים 2019 פרקים'!S$23</f>
        <v>260000</v>
      </c>
      <c r="R18" s="80">
        <f>' החברה לפיתוח 2019 פרקים'!T$122+'תבל 2019 פרקים'!T$80+'תנוס 2019 פרקים'!T$17+'נכסים 2019 פרקים'!T$23</f>
        <v>0</v>
      </c>
      <c r="S18" s="80">
        <f>' החברה לפיתוח 2019 פרקים'!U$122+'תבל 2019 פרקים'!U$80+'תנוס 2019 פרקים'!U$17+'נכסים 2019 פרקים'!U$23</f>
        <v>12154300</v>
      </c>
      <c r="T18" s="80">
        <f>' החברה לפיתוח 2019 פרקים'!V$122+'תבל 2019 פרקים'!V$80+'תנוס 2019 פרקים'!V$17+'נכסים 2019 פרקים'!V$23</f>
        <v>8669300</v>
      </c>
      <c r="U18" s="80">
        <f>' החברה לפיתוח 2019 פרקים'!W$122+'תבל 2019 פרקים'!W$80+'תנוס 2019 פרקים'!W$17+'נכסים 2019 פרקים'!W$23</f>
        <v>3485000</v>
      </c>
      <c r="V18" s="80">
        <f>' החברה לפיתוח 2019 פרקים'!X$122+'תבל 2019 פרקים'!X$80+'תנוס 2019 פרקים'!X$17+'נכסים 2019 פרקים'!X$23</f>
        <v>0</v>
      </c>
      <c r="W18" s="80">
        <f>' החברה לפיתוח 2019 פרקים'!Y$122+'תבל 2019 פרקים'!Y$80+'תנוס 2019 פרקים'!Y$17+'נכסים 2019 פרקים'!Y$23</f>
        <v>0</v>
      </c>
      <c r="X18" s="80">
        <f>' החברה לפיתוח 2019 פרקים'!Z$122+'תבל 2019 פרקים'!Z$80+'תנוס 2019 פרקים'!Z$17+'נכסים 2019 פרקים'!Z$23</f>
        <v>0</v>
      </c>
    </row>
    <row r="19" spans="1:26" s="82" customFormat="1" ht="27" customHeight="1">
      <c r="A19" s="11" t="s">
        <v>1396</v>
      </c>
      <c r="B19" s="80">
        <f>'מינהל כללי 2019 פרקים'!D$20</f>
        <v>15133000</v>
      </c>
      <c r="C19" s="80">
        <f>'מינהל כללי 2019 פרקים'!E$20</f>
        <v>15133000</v>
      </c>
      <c r="D19" s="80">
        <f>'מינהל כללי 2019 פרקים'!F$20</f>
        <v>0</v>
      </c>
      <c r="E19" s="80">
        <f>'מינהל כללי 2019 פרקים'!G$20</f>
        <v>15133000</v>
      </c>
      <c r="F19" s="80">
        <f>'מינהל כללי 2019 פרקים'!H$20</f>
        <v>15133000</v>
      </c>
      <c r="G19" s="80">
        <f>'מינהל כללי 2019 פרקים'!I$20</f>
        <v>0</v>
      </c>
      <c r="H19" s="80">
        <f>'מינהל כללי 2019 פרקים'!J$20</f>
        <v>0</v>
      </c>
      <c r="I19" s="80">
        <f>'מינהל כללי 2019 פרקים'!K$20</f>
        <v>0</v>
      </c>
      <c r="J19" s="80">
        <f>'מינהל כללי 2019 פרקים'!L$20</f>
        <v>15133000</v>
      </c>
      <c r="K19" s="80">
        <f>'מינהל כללי 2019 פרקים'!M$20</f>
        <v>0</v>
      </c>
      <c r="L19" s="80">
        <f>'מינהל כללי 2019 פרקים'!N$20</f>
        <v>0</v>
      </c>
      <c r="M19" s="80">
        <f>'מינהל כללי 2019 פרקים'!O$20</f>
        <v>0</v>
      </c>
      <c r="N19" s="80">
        <f>'מינהל כללי 2019 פרקים'!P$20</f>
        <v>0</v>
      </c>
      <c r="O19" s="80">
        <f>'מינהל כללי 2019 פרקים'!Q$20</f>
        <v>0</v>
      </c>
      <c r="P19" s="80">
        <f>'מינהל כללי 2019 פרקים'!R$20</f>
        <v>0</v>
      </c>
      <c r="Q19" s="80">
        <f>'מינהל כללי 2019 פרקים'!S$20</f>
        <v>0</v>
      </c>
      <c r="R19" s="80">
        <f>'מינהל כללי 2019 פרקים'!T$20</f>
        <v>0</v>
      </c>
      <c r="S19" s="80">
        <f>'מינהל כללי 2019 פרקים'!U$20</f>
        <v>0</v>
      </c>
      <c r="T19" s="80">
        <f>'מינהל כללי 2019 פרקים'!V$20</f>
        <v>0</v>
      </c>
      <c r="U19" s="80">
        <f>'מינהל כללי 2019 פרקים'!W$20</f>
        <v>0</v>
      </c>
      <c r="V19" s="80">
        <f>'מינהל כללי 2019 פרקים'!X$20</f>
        <v>0</v>
      </c>
      <c r="W19" s="80">
        <f>'מינהל כללי 2019 פרקים'!Y$20</f>
        <v>0</v>
      </c>
      <c r="X19" s="80">
        <f>'מינהל כללי 2019 פרקים'!Z$20</f>
        <v>0</v>
      </c>
    </row>
    <row r="20" spans="1:26" s="82" customFormat="1" ht="27" customHeight="1">
      <c r="A20" s="392" t="s">
        <v>160</v>
      </c>
      <c r="B20" s="80">
        <f t="shared" ref="B20:X20" si="0">SUM(B6:B19)</f>
        <v>4672611501.1339865</v>
      </c>
      <c r="C20" s="80">
        <f t="shared" si="0"/>
        <v>4056067441</v>
      </c>
      <c r="D20" s="80">
        <f t="shared" si="0"/>
        <v>616544060.13398671</v>
      </c>
      <c r="E20" s="80">
        <f t="shared" si="0"/>
        <v>2199798425</v>
      </c>
      <c r="F20" s="80">
        <f t="shared" si="0"/>
        <v>1742524437.3299999</v>
      </c>
      <c r="G20" s="80">
        <f t="shared" si="0"/>
        <v>49646384.32</v>
      </c>
      <c r="H20" s="80">
        <f t="shared" si="0"/>
        <v>173171845.58999997</v>
      </c>
      <c r="I20" s="80">
        <f t="shared" si="0"/>
        <v>222818229.91000003</v>
      </c>
      <c r="J20" s="80">
        <f t="shared" si="0"/>
        <v>1965342667.2399998</v>
      </c>
      <c r="K20" s="80">
        <f t="shared" si="0"/>
        <v>350282230.81999999</v>
      </c>
      <c r="L20" s="80">
        <f t="shared" si="0"/>
        <v>526734774.13398665</v>
      </c>
      <c r="M20" s="80">
        <f t="shared" si="0"/>
        <v>1830251828.9400001</v>
      </c>
      <c r="N20" s="80">
        <f t="shared" si="0"/>
        <v>234455757.75999996</v>
      </c>
      <c r="O20" s="80">
        <f t="shared" si="0"/>
        <v>146325601</v>
      </c>
      <c r="P20" s="80">
        <f t="shared" si="0"/>
        <v>6827800</v>
      </c>
      <c r="Q20" s="80">
        <f t="shared" si="0"/>
        <v>153153401</v>
      </c>
      <c r="R20" s="80">
        <f t="shared" si="0"/>
        <v>37326927.939999998</v>
      </c>
      <c r="S20" s="80">
        <f t="shared" si="0"/>
        <v>489407846.19398665</v>
      </c>
      <c r="T20" s="80">
        <f t="shared" si="0"/>
        <v>290040000</v>
      </c>
      <c r="U20" s="80">
        <f t="shared" si="0"/>
        <v>44000000.193986654</v>
      </c>
      <c r="V20" s="80">
        <f t="shared" si="0"/>
        <v>0</v>
      </c>
      <c r="W20" s="80">
        <f t="shared" si="0"/>
        <v>34722657</v>
      </c>
      <c r="X20" s="80">
        <f t="shared" si="0"/>
        <v>120645189</v>
      </c>
    </row>
    <row r="21" spans="1:26" s="82" customFormat="1">
      <c r="A21" s="25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</row>
    <row r="22" spans="1:26" s="82" customFormat="1" hidden="1">
      <c r="A22" s="84"/>
      <c r="B22" s="85"/>
      <c r="C22" s="85"/>
      <c r="D22" s="37"/>
      <c r="E22" s="85"/>
      <c r="F22" s="85"/>
      <c r="G22" s="85"/>
      <c r="H22" s="85"/>
      <c r="I22" s="85"/>
      <c r="J22" s="14">
        <f>I20+F20</f>
        <v>1965342667.24</v>
      </c>
      <c r="K22" s="14">
        <f>N22+Q20-R20</f>
        <v>350282230.82000023</v>
      </c>
      <c r="L22" s="37"/>
      <c r="M22" s="37"/>
      <c r="N22" s="14">
        <f>E20-J20</f>
        <v>234455757.76000023</v>
      </c>
      <c r="O22" s="37"/>
      <c r="P22" s="37"/>
      <c r="Q22" s="37"/>
      <c r="R22" s="37"/>
      <c r="S22" s="14">
        <f>L20-R20</f>
        <v>489407846.19398665</v>
      </c>
      <c r="T22" s="37"/>
      <c r="U22" s="37"/>
      <c r="V22" s="37"/>
      <c r="W22" s="37"/>
      <c r="X22" s="37"/>
    </row>
    <row r="23" spans="1:26" hidden="1">
      <c r="J23" s="81"/>
      <c r="K23" s="81"/>
      <c r="M23" s="88"/>
      <c r="N23" s="89"/>
      <c r="O23" s="88"/>
      <c r="P23" s="90"/>
      <c r="Q23" s="90"/>
      <c r="R23" s="89"/>
      <c r="S23" s="91" t="s">
        <v>160</v>
      </c>
      <c r="T23" s="91" t="s">
        <v>139</v>
      </c>
      <c r="U23" s="91" t="s">
        <v>161</v>
      </c>
      <c r="V23" s="91" t="s">
        <v>15</v>
      </c>
      <c r="W23" s="91" t="s">
        <v>523</v>
      </c>
      <c r="X23" s="91" t="s">
        <v>140</v>
      </c>
    </row>
    <row r="24" spans="1:26" hidden="1">
      <c r="B24" s="98"/>
      <c r="M24" s="91" t="s">
        <v>162</v>
      </c>
      <c r="N24" s="92"/>
      <c r="O24" s="91" t="s">
        <v>162</v>
      </c>
      <c r="P24" s="93"/>
      <c r="Q24" s="93"/>
      <c r="R24" s="83"/>
      <c r="S24" s="94">
        <f>SUM(T24:X24)</f>
        <v>489407846</v>
      </c>
      <c r="T24" s="94">
        <f>'תקציב 2019 קרנות הרשות'!C21*1000</f>
        <v>290040000</v>
      </c>
      <c r="U24" s="94">
        <f>'תקציב 2019 קרנות הרשות'!D21*1000</f>
        <v>44000000</v>
      </c>
      <c r="V24" s="94">
        <f>'תקציב 2019  מקורות '!F10*1000</f>
        <v>0</v>
      </c>
      <c r="W24" s="94">
        <f>'תקציב 2019  מקורות '!F11*1000</f>
        <v>34722657</v>
      </c>
      <c r="X24" s="94">
        <f>'פרוט מקורות אחרים'!O16</f>
        <v>120645189</v>
      </c>
    </row>
    <row r="25" spans="1:26" hidden="1">
      <c r="B25" s="98"/>
      <c r="M25" s="91" t="s">
        <v>163</v>
      </c>
      <c r="N25" s="92"/>
      <c r="O25" s="91" t="s">
        <v>163</v>
      </c>
      <c r="P25" s="93"/>
      <c r="Q25" s="93"/>
      <c r="R25" s="83"/>
      <c r="S25" s="94">
        <f t="shared" ref="S25:X25" si="1">S20-S24</f>
        <v>0.19398665428161621</v>
      </c>
      <c r="T25" s="94">
        <f t="shared" si="1"/>
        <v>0</v>
      </c>
      <c r="U25" s="94">
        <f t="shared" si="1"/>
        <v>0.19398665428161621</v>
      </c>
      <c r="V25" s="94">
        <f t="shared" si="1"/>
        <v>0</v>
      </c>
      <c r="W25" s="94">
        <f t="shared" si="1"/>
        <v>0</v>
      </c>
      <c r="X25" s="94">
        <f t="shared" si="1"/>
        <v>0</v>
      </c>
      <c r="Z25" s="85"/>
    </row>
    <row r="26" spans="1:26" hidden="1">
      <c r="A26" s="96"/>
      <c r="D26" s="96"/>
      <c r="E26" s="96"/>
      <c r="M26" s="97"/>
      <c r="O26" s="97"/>
      <c r="P26" s="97"/>
      <c r="Q26" s="97"/>
      <c r="R26" s="82"/>
      <c r="S26" s="95"/>
      <c r="T26" s="95"/>
      <c r="U26" s="95"/>
      <c r="V26" s="95"/>
      <c r="W26" s="95"/>
      <c r="X26" s="95"/>
    </row>
    <row r="27" spans="1:26">
      <c r="J27" s="81">
        <f>I20+F20</f>
        <v>1965342667.24</v>
      </c>
      <c r="K27" s="98">
        <f>N20+Q20-R20</f>
        <v>350282230.81999999</v>
      </c>
      <c r="M27" s="97"/>
      <c r="N27" s="81">
        <f>E20-J20</f>
        <v>234455757.76000023</v>
      </c>
      <c r="O27" s="97"/>
      <c r="P27" s="97"/>
      <c r="Q27" s="97"/>
      <c r="R27" s="95"/>
      <c r="S27" s="81">
        <f>L20-R20</f>
        <v>489407846.19398665</v>
      </c>
      <c r="T27" s="95"/>
      <c r="U27" s="95"/>
      <c r="V27" s="95"/>
      <c r="W27" s="95"/>
      <c r="X27" s="95"/>
    </row>
    <row r="28" spans="1:26">
      <c r="A28" s="96"/>
      <c r="B28" s="96"/>
      <c r="C28" s="96"/>
      <c r="D28" s="96"/>
      <c r="M28" s="97"/>
      <c r="O28" s="97"/>
      <c r="P28" s="97"/>
      <c r="Q28" s="97"/>
      <c r="R28" s="82"/>
      <c r="S28" s="95"/>
      <c r="T28" s="95"/>
      <c r="U28" s="95"/>
      <c r="V28" s="95"/>
      <c r="W28" s="95"/>
      <c r="X28" s="95"/>
    </row>
    <row r="29" spans="1:26">
      <c r="B29" s="96"/>
      <c r="C29" s="96"/>
      <c r="N29" s="87"/>
      <c r="T29" s="95"/>
      <c r="U29" s="95"/>
      <c r="V29" s="95"/>
      <c r="W29" s="95"/>
      <c r="X29" s="95"/>
    </row>
    <row r="30" spans="1:26">
      <c r="B30" s="96"/>
      <c r="N30" s="87"/>
      <c r="T30" s="95"/>
      <c r="U30" s="95"/>
      <c r="V30" s="95"/>
      <c r="W30" s="95"/>
      <c r="X30" s="95"/>
    </row>
    <row r="31" spans="1:26">
      <c r="B31" s="96"/>
      <c r="N31" s="87"/>
      <c r="U31" s="95"/>
      <c r="V31" s="95"/>
      <c r="W31" s="95"/>
      <c r="X31" s="95"/>
    </row>
    <row r="32" spans="1:26">
      <c r="B32" s="96"/>
      <c r="N32" s="87"/>
      <c r="U32" s="95"/>
      <c r="V32" s="95"/>
      <c r="W32" s="95"/>
      <c r="X32" s="95"/>
    </row>
    <row r="33" spans="1:26" s="87" customFormat="1">
      <c r="A33" s="86"/>
      <c r="B33" s="96"/>
      <c r="J33" s="82"/>
      <c r="U33" s="98"/>
      <c r="V33" s="98"/>
      <c r="Y33" s="84"/>
      <c r="Z33" s="84"/>
    </row>
    <row r="34" spans="1:26" s="87" customFormat="1">
      <c r="A34" s="86"/>
      <c r="B34" s="96"/>
      <c r="J34" s="82"/>
      <c r="U34" s="98"/>
      <c r="Y34" s="84"/>
      <c r="Z34" s="84"/>
    </row>
    <row r="35" spans="1:26" s="87" customFormat="1">
      <c r="A35" s="86"/>
      <c r="B35" s="96"/>
      <c r="J35" s="82"/>
      <c r="U35" s="98"/>
      <c r="Y35" s="84"/>
      <c r="Z35" s="84"/>
    </row>
    <row r="36" spans="1:26" s="87" customFormat="1">
      <c r="A36" s="86"/>
      <c r="B36" s="96"/>
      <c r="J36" s="82"/>
      <c r="U36" s="98"/>
      <c r="Y36" s="84"/>
      <c r="Z36" s="84"/>
    </row>
    <row r="37" spans="1:26" s="87" customFormat="1">
      <c r="A37" s="86"/>
      <c r="B37" s="96"/>
      <c r="J37" s="82"/>
      <c r="U37" s="98"/>
      <c r="Y37" s="84"/>
      <c r="Z37" s="84"/>
    </row>
    <row r="38" spans="1:26" s="87" customFormat="1">
      <c r="A38" s="86"/>
      <c r="B38" s="96"/>
      <c r="J38" s="82"/>
      <c r="U38" s="98"/>
      <c r="Y38" s="84"/>
      <c r="Z38" s="84"/>
    </row>
    <row r="39" spans="1:26" s="87" customFormat="1">
      <c r="A39" s="86"/>
      <c r="B39" s="96"/>
      <c r="J39" s="82"/>
      <c r="U39" s="98"/>
      <c r="Y39" s="84"/>
      <c r="Z39" s="84"/>
    </row>
    <row r="40" spans="1:26" s="87" customFormat="1">
      <c r="A40" s="86"/>
      <c r="B40" s="677"/>
      <c r="J40" s="82"/>
      <c r="U40" s="98"/>
      <c r="Y40" s="84"/>
      <c r="Z40" s="84"/>
    </row>
    <row r="41" spans="1:26" s="87" customFormat="1">
      <c r="A41" s="86"/>
      <c r="J41" s="82"/>
      <c r="M41" s="386"/>
      <c r="N41" s="387"/>
      <c r="O41" s="386"/>
      <c r="P41" s="386"/>
      <c r="Q41" s="386"/>
      <c r="R41" s="386"/>
      <c r="Y41" s="84"/>
      <c r="Z41" s="84"/>
    </row>
  </sheetData>
  <sheetProtection formatCells="0" formatColumns="0" formatRows="0" insertColumns="0" insertRows="0" insertHyperlinks="0" deleteColumns="0" deleteRows="0" sort="0" autoFilter="0" pivotTables="0"/>
  <mergeCells count="3">
    <mergeCell ref="B4:M4"/>
    <mergeCell ref="N4:O4"/>
    <mergeCell ref="R4:X4"/>
  </mergeCells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V19"/>
  <sheetViews>
    <sheetView rightToLeft="1" workbookViewId="0">
      <selection activeCell="T20" sqref="T20"/>
    </sheetView>
  </sheetViews>
  <sheetFormatPr defaultRowHeight="15.5"/>
  <cols>
    <col min="1" max="1" width="4.1796875" style="146" customWidth="1"/>
    <col min="2" max="2" width="25.54296875" style="146" customWidth="1"/>
    <col min="3" max="3" width="11" style="148" customWidth="1"/>
    <col min="4" max="4" width="8.81640625" style="148" customWidth="1"/>
    <col min="5" max="6" width="10.7265625" style="148" customWidth="1"/>
    <col min="7" max="7" width="10" style="148" customWidth="1"/>
    <col min="8" max="8" width="10.453125" style="148" customWidth="1"/>
    <col min="9" max="9" width="10.26953125" style="148" customWidth="1"/>
    <col min="10" max="11" width="10.1796875" style="148" customWidth="1"/>
    <col min="12" max="13" width="10.26953125" style="148" customWidth="1"/>
    <col min="14" max="14" width="10" style="148" customWidth="1"/>
    <col min="15" max="15" width="12.81640625" style="146" customWidth="1"/>
    <col min="16" max="16" width="9.1796875" style="146"/>
    <col min="17" max="17" width="13.26953125" style="224" customWidth="1"/>
    <col min="18" max="18" width="11.81640625" style="224" customWidth="1"/>
    <col min="19" max="19" width="12.1796875" style="224" customWidth="1"/>
    <col min="20" max="20" width="2.7265625" style="224" customWidth="1"/>
    <col min="21" max="21" width="10.1796875" style="224" bestFit="1" customWidth="1"/>
    <col min="22" max="22" width="9.1796875" style="146" customWidth="1"/>
    <col min="23" max="257" width="9.1796875" style="146"/>
    <col min="258" max="258" width="4.1796875" style="146" customWidth="1"/>
    <col min="259" max="259" width="25.54296875" style="146" customWidth="1"/>
    <col min="260" max="260" width="0" style="146" hidden="1" customWidth="1"/>
    <col min="261" max="261" width="9.1796875" style="146" bestFit="1" customWidth="1"/>
    <col min="262" max="262" width="9.1796875" style="146" customWidth="1"/>
    <col min="263" max="263" width="8.81640625" style="146" customWidth="1"/>
    <col min="264" max="265" width="10.7265625" style="146" customWidth="1"/>
    <col min="266" max="266" width="10" style="146" customWidth="1"/>
    <col min="267" max="267" width="10.453125" style="146" customWidth="1"/>
    <col min="268" max="268" width="8.7265625" style="146" customWidth="1"/>
    <col min="269" max="269" width="0" style="146" hidden="1" customWidth="1"/>
    <col min="270" max="270" width="10.1796875" style="146" bestFit="1" customWidth="1"/>
    <col min="271" max="271" width="10.1796875" style="146" customWidth="1"/>
    <col min="272" max="272" width="0" style="146" hidden="1" customWidth="1"/>
    <col min="273" max="273" width="10" style="146" customWidth="1"/>
    <col min="274" max="274" width="12.81640625" style="146" customWidth="1"/>
    <col min="275" max="513" width="9.1796875" style="146"/>
    <col min="514" max="514" width="4.1796875" style="146" customWidth="1"/>
    <col min="515" max="515" width="25.54296875" style="146" customWidth="1"/>
    <col min="516" max="516" width="0" style="146" hidden="1" customWidth="1"/>
    <col min="517" max="517" width="9.1796875" style="146" bestFit="1" customWidth="1"/>
    <col min="518" max="518" width="9.1796875" style="146" customWidth="1"/>
    <col min="519" max="519" width="8.81640625" style="146" customWidth="1"/>
    <col min="520" max="521" width="10.7265625" style="146" customWidth="1"/>
    <col min="522" max="522" width="10" style="146" customWidth="1"/>
    <col min="523" max="523" width="10.453125" style="146" customWidth="1"/>
    <col min="524" max="524" width="8.7265625" style="146" customWidth="1"/>
    <col min="525" max="525" width="0" style="146" hidden="1" customWidth="1"/>
    <col min="526" max="526" width="10.1796875" style="146" bestFit="1" customWidth="1"/>
    <col min="527" max="527" width="10.1796875" style="146" customWidth="1"/>
    <col min="528" max="528" width="0" style="146" hidden="1" customWidth="1"/>
    <col min="529" max="529" width="10" style="146" customWidth="1"/>
    <col min="530" max="530" width="12.81640625" style="146" customWidth="1"/>
    <col min="531" max="769" width="9.1796875" style="146"/>
    <col min="770" max="770" width="4.1796875" style="146" customWidth="1"/>
    <col min="771" max="771" width="25.54296875" style="146" customWidth="1"/>
    <col min="772" max="772" width="0" style="146" hidden="1" customWidth="1"/>
    <col min="773" max="773" width="9.1796875" style="146" bestFit="1" customWidth="1"/>
    <col min="774" max="774" width="9.1796875" style="146" customWidth="1"/>
    <col min="775" max="775" width="8.81640625" style="146" customWidth="1"/>
    <col min="776" max="777" width="10.7265625" style="146" customWidth="1"/>
    <col min="778" max="778" width="10" style="146" customWidth="1"/>
    <col min="779" max="779" width="10.453125" style="146" customWidth="1"/>
    <col min="780" max="780" width="8.7265625" style="146" customWidth="1"/>
    <col min="781" max="781" width="0" style="146" hidden="1" customWidth="1"/>
    <col min="782" max="782" width="10.1796875" style="146" bestFit="1" customWidth="1"/>
    <col min="783" max="783" width="10.1796875" style="146" customWidth="1"/>
    <col min="784" max="784" width="0" style="146" hidden="1" customWidth="1"/>
    <col min="785" max="785" width="10" style="146" customWidth="1"/>
    <col min="786" max="786" width="12.81640625" style="146" customWidth="1"/>
    <col min="787" max="1025" width="9.1796875" style="146"/>
    <col min="1026" max="1026" width="4.1796875" style="146" customWidth="1"/>
    <col min="1027" max="1027" width="25.54296875" style="146" customWidth="1"/>
    <col min="1028" max="1028" width="0" style="146" hidden="1" customWidth="1"/>
    <col min="1029" max="1029" width="9.1796875" style="146" bestFit="1" customWidth="1"/>
    <col min="1030" max="1030" width="9.1796875" style="146" customWidth="1"/>
    <col min="1031" max="1031" width="8.81640625" style="146" customWidth="1"/>
    <col min="1032" max="1033" width="10.7265625" style="146" customWidth="1"/>
    <col min="1034" max="1034" width="10" style="146" customWidth="1"/>
    <col min="1035" max="1035" width="10.453125" style="146" customWidth="1"/>
    <col min="1036" max="1036" width="8.7265625" style="146" customWidth="1"/>
    <col min="1037" max="1037" width="0" style="146" hidden="1" customWidth="1"/>
    <col min="1038" max="1038" width="10.1796875" style="146" bestFit="1" customWidth="1"/>
    <col min="1039" max="1039" width="10.1796875" style="146" customWidth="1"/>
    <col min="1040" max="1040" width="0" style="146" hidden="1" customWidth="1"/>
    <col min="1041" max="1041" width="10" style="146" customWidth="1"/>
    <col min="1042" max="1042" width="12.81640625" style="146" customWidth="1"/>
    <col min="1043" max="1281" width="9.1796875" style="146"/>
    <col min="1282" max="1282" width="4.1796875" style="146" customWidth="1"/>
    <col min="1283" max="1283" width="25.54296875" style="146" customWidth="1"/>
    <col min="1284" max="1284" width="0" style="146" hidden="1" customWidth="1"/>
    <col min="1285" max="1285" width="9.1796875" style="146" bestFit="1" customWidth="1"/>
    <col min="1286" max="1286" width="9.1796875" style="146" customWidth="1"/>
    <col min="1287" max="1287" width="8.81640625" style="146" customWidth="1"/>
    <col min="1288" max="1289" width="10.7265625" style="146" customWidth="1"/>
    <col min="1290" max="1290" width="10" style="146" customWidth="1"/>
    <col min="1291" max="1291" width="10.453125" style="146" customWidth="1"/>
    <col min="1292" max="1292" width="8.7265625" style="146" customWidth="1"/>
    <col min="1293" max="1293" width="0" style="146" hidden="1" customWidth="1"/>
    <col min="1294" max="1294" width="10.1796875" style="146" bestFit="1" customWidth="1"/>
    <col min="1295" max="1295" width="10.1796875" style="146" customWidth="1"/>
    <col min="1296" max="1296" width="0" style="146" hidden="1" customWidth="1"/>
    <col min="1297" max="1297" width="10" style="146" customWidth="1"/>
    <col min="1298" max="1298" width="12.81640625" style="146" customWidth="1"/>
    <col min="1299" max="1537" width="9.1796875" style="146"/>
    <col min="1538" max="1538" width="4.1796875" style="146" customWidth="1"/>
    <col min="1539" max="1539" width="25.54296875" style="146" customWidth="1"/>
    <col min="1540" max="1540" width="0" style="146" hidden="1" customWidth="1"/>
    <col min="1541" max="1541" width="9.1796875" style="146" bestFit="1" customWidth="1"/>
    <col min="1542" max="1542" width="9.1796875" style="146" customWidth="1"/>
    <col min="1543" max="1543" width="8.81640625" style="146" customWidth="1"/>
    <col min="1544" max="1545" width="10.7265625" style="146" customWidth="1"/>
    <col min="1546" max="1546" width="10" style="146" customWidth="1"/>
    <col min="1547" max="1547" width="10.453125" style="146" customWidth="1"/>
    <col min="1548" max="1548" width="8.7265625" style="146" customWidth="1"/>
    <col min="1549" max="1549" width="0" style="146" hidden="1" customWidth="1"/>
    <col min="1550" max="1550" width="10.1796875" style="146" bestFit="1" customWidth="1"/>
    <col min="1551" max="1551" width="10.1796875" style="146" customWidth="1"/>
    <col min="1552" max="1552" width="0" style="146" hidden="1" customWidth="1"/>
    <col min="1553" max="1553" width="10" style="146" customWidth="1"/>
    <col min="1554" max="1554" width="12.81640625" style="146" customWidth="1"/>
    <col min="1555" max="1793" width="9.1796875" style="146"/>
    <col min="1794" max="1794" width="4.1796875" style="146" customWidth="1"/>
    <col min="1795" max="1795" width="25.54296875" style="146" customWidth="1"/>
    <col min="1796" max="1796" width="0" style="146" hidden="1" customWidth="1"/>
    <col min="1797" max="1797" width="9.1796875" style="146" bestFit="1" customWidth="1"/>
    <col min="1798" max="1798" width="9.1796875" style="146" customWidth="1"/>
    <col min="1799" max="1799" width="8.81640625" style="146" customWidth="1"/>
    <col min="1800" max="1801" width="10.7265625" style="146" customWidth="1"/>
    <col min="1802" max="1802" width="10" style="146" customWidth="1"/>
    <col min="1803" max="1803" width="10.453125" style="146" customWidth="1"/>
    <col min="1804" max="1804" width="8.7265625" style="146" customWidth="1"/>
    <col min="1805" max="1805" width="0" style="146" hidden="1" customWidth="1"/>
    <col min="1806" max="1806" width="10.1796875" style="146" bestFit="1" customWidth="1"/>
    <col min="1807" max="1807" width="10.1796875" style="146" customWidth="1"/>
    <col min="1808" max="1808" width="0" style="146" hidden="1" customWidth="1"/>
    <col min="1809" max="1809" width="10" style="146" customWidth="1"/>
    <col min="1810" max="1810" width="12.81640625" style="146" customWidth="1"/>
    <col min="1811" max="2049" width="9.1796875" style="146"/>
    <col min="2050" max="2050" width="4.1796875" style="146" customWidth="1"/>
    <col min="2051" max="2051" width="25.54296875" style="146" customWidth="1"/>
    <col min="2052" max="2052" width="0" style="146" hidden="1" customWidth="1"/>
    <col min="2053" max="2053" width="9.1796875" style="146" bestFit="1" customWidth="1"/>
    <col min="2054" max="2054" width="9.1796875" style="146" customWidth="1"/>
    <col min="2055" max="2055" width="8.81640625" style="146" customWidth="1"/>
    <col min="2056" max="2057" width="10.7265625" style="146" customWidth="1"/>
    <col min="2058" max="2058" width="10" style="146" customWidth="1"/>
    <col min="2059" max="2059" width="10.453125" style="146" customWidth="1"/>
    <col min="2060" max="2060" width="8.7265625" style="146" customWidth="1"/>
    <col min="2061" max="2061" width="0" style="146" hidden="1" customWidth="1"/>
    <col min="2062" max="2062" width="10.1796875" style="146" bestFit="1" customWidth="1"/>
    <col min="2063" max="2063" width="10.1796875" style="146" customWidth="1"/>
    <col min="2064" max="2064" width="0" style="146" hidden="1" customWidth="1"/>
    <col min="2065" max="2065" width="10" style="146" customWidth="1"/>
    <col min="2066" max="2066" width="12.81640625" style="146" customWidth="1"/>
    <col min="2067" max="2305" width="9.1796875" style="146"/>
    <col min="2306" max="2306" width="4.1796875" style="146" customWidth="1"/>
    <col min="2307" max="2307" width="25.54296875" style="146" customWidth="1"/>
    <col min="2308" max="2308" width="0" style="146" hidden="1" customWidth="1"/>
    <col min="2309" max="2309" width="9.1796875" style="146" bestFit="1" customWidth="1"/>
    <col min="2310" max="2310" width="9.1796875" style="146" customWidth="1"/>
    <col min="2311" max="2311" width="8.81640625" style="146" customWidth="1"/>
    <col min="2312" max="2313" width="10.7265625" style="146" customWidth="1"/>
    <col min="2314" max="2314" width="10" style="146" customWidth="1"/>
    <col min="2315" max="2315" width="10.453125" style="146" customWidth="1"/>
    <col min="2316" max="2316" width="8.7265625" style="146" customWidth="1"/>
    <col min="2317" max="2317" width="0" style="146" hidden="1" customWidth="1"/>
    <col min="2318" max="2318" width="10.1796875" style="146" bestFit="1" customWidth="1"/>
    <col min="2319" max="2319" width="10.1796875" style="146" customWidth="1"/>
    <col min="2320" max="2320" width="0" style="146" hidden="1" customWidth="1"/>
    <col min="2321" max="2321" width="10" style="146" customWidth="1"/>
    <col min="2322" max="2322" width="12.81640625" style="146" customWidth="1"/>
    <col min="2323" max="2561" width="9.1796875" style="146"/>
    <col min="2562" max="2562" width="4.1796875" style="146" customWidth="1"/>
    <col min="2563" max="2563" width="25.54296875" style="146" customWidth="1"/>
    <col min="2564" max="2564" width="0" style="146" hidden="1" customWidth="1"/>
    <col min="2565" max="2565" width="9.1796875" style="146" bestFit="1" customWidth="1"/>
    <col min="2566" max="2566" width="9.1796875" style="146" customWidth="1"/>
    <col min="2567" max="2567" width="8.81640625" style="146" customWidth="1"/>
    <col min="2568" max="2569" width="10.7265625" style="146" customWidth="1"/>
    <col min="2570" max="2570" width="10" style="146" customWidth="1"/>
    <col min="2571" max="2571" width="10.453125" style="146" customWidth="1"/>
    <col min="2572" max="2572" width="8.7265625" style="146" customWidth="1"/>
    <col min="2573" max="2573" width="0" style="146" hidden="1" customWidth="1"/>
    <col min="2574" max="2574" width="10.1796875" style="146" bestFit="1" customWidth="1"/>
    <col min="2575" max="2575" width="10.1796875" style="146" customWidth="1"/>
    <col min="2576" max="2576" width="0" style="146" hidden="1" customWidth="1"/>
    <col min="2577" max="2577" width="10" style="146" customWidth="1"/>
    <col min="2578" max="2578" width="12.81640625" style="146" customWidth="1"/>
    <col min="2579" max="2817" width="9.1796875" style="146"/>
    <col min="2818" max="2818" width="4.1796875" style="146" customWidth="1"/>
    <col min="2819" max="2819" width="25.54296875" style="146" customWidth="1"/>
    <col min="2820" max="2820" width="0" style="146" hidden="1" customWidth="1"/>
    <col min="2821" max="2821" width="9.1796875" style="146" bestFit="1" customWidth="1"/>
    <col min="2822" max="2822" width="9.1796875" style="146" customWidth="1"/>
    <col min="2823" max="2823" width="8.81640625" style="146" customWidth="1"/>
    <col min="2824" max="2825" width="10.7265625" style="146" customWidth="1"/>
    <col min="2826" max="2826" width="10" style="146" customWidth="1"/>
    <col min="2827" max="2827" width="10.453125" style="146" customWidth="1"/>
    <col min="2828" max="2828" width="8.7265625" style="146" customWidth="1"/>
    <col min="2829" max="2829" width="0" style="146" hidden="1" customWidth="1"/>
    <col min="2830" max="2830" width="10.1796875" style="146" bestFit="1" customWidth="1"/>
    <col min="2831" max="2831" width="10.1796875" style="146" customWidth="1"/>
    <col min="2832" max="2832" width="0" style="146" hidden="1" customWidth="1"/>
    <col min="2833" max="2833" width="10" style="146" customWidth="1"/>
    <col min="2834" max="2834" width="12.81640625" style="146" customWidth="1"/>
    <col min="2835" max="3073" width="9.1796875" style="146"/>
    <col min="3074" max="3074" width="4.1796875" style="146" customWidth="1"/>
    <col min="3075" max="3075" width="25.54296875" style="146" customWidth="1"/>
    <col min="3076" max="3076" width="0" style="146" hidden="1" customWidth="1"/>
    <col min="3077" max="3077" width="9.1796875" style="146" bestFit="1" customWidth="1"/>
    <col min="3078" max="3078" width="9.1796875" style="146" customWidth="1"/>
    <col min="3079" max="3079" width="8.81640625" style="146" customWidth="1"/>
    <col min="3080" max="3081" width="10.7265625" style="146" customWidth="1"/>
    <col min="3082" max="3082" width="10" style="146" customWidth="1"/>
    <col min="3083" max="3083" width="10.453125" style="146" customWidth="1"/>
    <col min="3084" max="3084" width="8.7265625" style="146" customWidth="1"/>
    <col min="3085" max="3085" width="0" style="146" hidden="1" customWidth="1"/>
    <col min="3086" max="3086" width="10.1796875" style="146" bestFit="1" customWidth="1"/>
    <col min="3087" max="3087" width="10.1796875" style="146" customWidth="1"/>
    <col min="3088" max="3088" width="0" style="146" hidden="1" customWidth="1"/>
    <col min="3089" max="3089" width="10" style="146" customWidth="1"/>
    <col min="3090" max="3090" width="12.81640625" style="146" customWidth="1"/>
    <col min="3091" max="3329" width="9.1796875" style="146"/>
    <col min="3330" max="3330" width="4.1796875" style="146" customWidth="1"/>
    <col min="3331" max="3331" width="25.54296875" style="146" customWidth="1"/>
    <col min="3332" max="3332" width="0" style="146" hidden="1" customWidth="1"/>
    <col min="3333" max="3333" width="9.1796875" style="146" bestFit="1" customWidth="1"/>
    <col min="3334" max="3334" width="9.1796875" style="146" customWidth="1"/>
    <col min="3335" max="3335" width="8.81640625" style="146" customWidth="1"/>
    <col min="3336" max="3337" width="10.7265625" style="146" customWidth="1"/>
    <col min="3338" max="3338" width="10" style="146" customWidth="1"/>
    <col min="3339" max="3339" width="10.453125" style="146" customWidth="1"/>
    <col min="3340" max="3340" width="8.7265625" style="146" customWidth="1"/>
    <col min="3341" max="3341" width="0" style="146" hidden="1" customWidth="1"/>
    <col min="3342" max="3342" width="10.1796875" style="146" bestFit="1" customWidth="1"/>
    <col min="3343" max="3343" width="10.1796875" style="146" customWidth="1"/>
    <col min="3344" max="3344" width="0" style="146" hidden="1" customWidth="1"/>
    <col min="3345" max="3345" width="10" style="146" customWidth="1"/>
    <col min="3346" max="3346" width="12.81640625" style="146" customWidth="1"/>
    <col min="3347" max="3585" width="9.1796875" style="146"/>
    <col min="3586" max="3586" width="4.1796875" style="146" customWidth="1"/>
    <col min="3587" max="3587" width="25.54296875" style="146" customWidth="1"/>
    <col min="3588" max="3588" width="0" style="146" hidden="1" customWidth="1"/>
    <col min="3589" max="3589" width="9.1796875" style="146" bestFit="1" customWidth="1"/>
    <col min="3590" max="3590" width="9.1796875" style="146" customWidth="1"/>
    <col min="3591" max="3591" width="8.81640625" style="146" customWidth="1"/>
    <col min="3592" max="3593" width="10.7265625" style="146" customWidth="1"/>
    <col min="3594" max="3594" width="10" style="146" customWidth="1"/>
    <col min="3595" max="3595" width="10.453125" style="146" customWidth="1"/>
    <col min="3596" max="3596" width="8.7265625" style="146" customWidth="1"/>
    <col min="3597" max="3597" width="0" style="146" hidden="1" customWidth="1"/>
    <col min="3598" max="3598" width="10.1796875" style="146" bestFit="1" customWidth="1"/>
    <col min="3599" max="3599" width="10.1796875" style="146" customWidth="1"/>
    <col min="3600" max="3600" width="0" style="146" hidden="1" customWidth="1"/>
    <col min="3601" max="3601" width="10" style="146" customWidth="1"/>
    <col min="3602" max="3602" width="12.81640625" style="146" customWidth="1"/>
    <col min="3603" max="3841" width="9.1796875" style="146"/>
    <col min="3842" max="3842" width="4.1796875" style="146" customWidth="1"/>
    <col min="3843" max="3843" width="25.54296875" style="146" customWidth="1"/>
    <col min="3844" max="3844" width="0" style="146" hidden="1" customWidth="1"/>
    <col min="3845" max="3845" width="9.1796875" style="146" bestFit="1" customWidth="1"/>
    <col min="3846" max="3846" width="9.1796875" style="146" customWidth="1"/>
    <col min="3847" max="3847" width="8.81640625" style="146" customWidth="1"/>
    <col min="3848" max="3849" width="10.7265625" style="146" customWidth="1"/>
    <col min="3850" max="3850" width="10" style="146" customWidth="1"/>
    <col min="3851" max="3851" width="10.453125" style="146" customWidth="1"/>
    <col min="3852" max="3852" width="8.7265625" style="146" customWidth="1"/>
    <col min="3853" max="3853" width="0" style="146" hidden="1" customWidth="1"/>
    <col min="3854" max="3854" width="10.1796875" style="146" bestFit="1" customWidth="1"/>
    <col min="3855" max="3855" width="10.1796875" style="146" customWidth="1"/>
    <col min="3856" max="3856" width="0" style="146" hidden="1" customWidth="1"/>
    <col min="3857" max="3857" width="10" style="146" customWidth="1"/>
    <col min="3858" max="3858" width="12.81640625" style="146" customWidth="1"/>
    <col min="3859" max="4097" width="9.1796875" style="146"/>
    <col min="4098" max="4098" width="4.1796875" style="146" customWidth="1"/>
    <col min="4099" max="4099" width="25.54296875" style="146" customWidth="1"/>
    <col min="4100" max="4100" width="0" style="146" hidden="1" customWidth="1"/>
    <col min="4101" max="4101" width="9.1796875" style="146" bestFit="1" customWidth="1"/>
    <col min="4102" max="4102" width="9.1796875" style="146" customWidth="1"/>
    <col min="4103" max="4103" width="8.81640625" style="146" customWidth="1"/>
    <col min="4104" max="4105" width="10.7265625" style="146" customWidth="1"/>
    <col min="4106" max="4106" width="10" style="146" customWidth="1"/>
    <col min="4107" max="4107" width="10.453125" style="146" customWidth="1"/>
    <col min="4108" max="4108" width="8.7265625" style="146" customWidth="1"/>
    <col min="4109" max="4109" width="0" style="146" hidden="1" customWidth="1"/>
    <col min="4110" max="4110" width="10.1796875" style="146" bestFit="1" customWidth="1"/>
    <col min="4111" max="4111" width="10.1796875" style="146" customWidth="1"/>
    <col min="4112" max="4112" width="0" style="146" hidden="1" customWidth="1"/>
    <col min="4113" max="4113" width="10" style="146" customWidth="1"/>
    <col min="4114" max="4114" width="12.81640625" style="146" customWidth="1"/>
    <col min="4115" max="4353" width="9.1796875" style="146"/>
    <col min="4354" max="4354" width="4.1796875" style="146" customWidth="1"/>
    <col min="4355" max="4355" width="25.54296875" style="146" customWidth="1"/>
    <col min="4356" max="4356" width="0" style="146" hidden="1" customWidth="1"/>
    <col min="4357" max="4357" width="9.1796875" style="146" bestFit="1" customWidth="1"/>
    <col min="4358" max="4358" width="9.1796875" style="146" customWidth="1"/>
    <col min="4359" max="4359" width="8.81640625" style="146" customWidth="1"/>
    <col min="4360" max="4361" width="10.7265625" style="146" customWidth="1"/>
    <col min="4362" max="4362" width="10" style="146" customWidth="1"/>
    <col min="4363" max="4363" width="10.453125" style="146" customWidth="1"/>
    <col min="4364" max="4364" width="8.7265625" style="146" customWidth="1"/>
    <col min="4365" max="4365" width="0" style="146" hidden="1" customWidth="1"/>
    <col min="4366" max="4366" width="10.1796875" style="146" bestFit="1" customWidth="1"/>
    <col min="4367" max="4367" width="10.1796875" style="146" customWidth="1"/>
    <col min="4368" max="4368" width="0" style="146" hidden="1" customWidth="1"/>
    <col min="4369" max="4369" width="10" style="146" customWidth="1"/>
    <col min="4370" max="4370" width="12.81640625" style="146" customWidth="1"/>
    <col min="4371" max="4609" width="9.1796875" style="146"/>
    <col min="4610" max="4610" width="4.1796875" style="146" customWidth="1"/>
    <col min="4611" max="4611" width="25.54296875" style="146" customWidth="1"/>
    <col min="4612" max="4612" width="0" style="146" hidden="1" customWidth="1"/>
    <col min="4613" max="4613" width="9.1796875" style="146" bestFit="1" customWidth="1"/>
    <col min="4614" max="4614" width="9.1796875" style="146" customWidth="1"/>
    <col min="4615" max="4615" width="8.81640625" style="146" customWidth="1"/>
    <col min="4616" max="4617" width="10.7265625" style="146" customWidth="1"/>
    <col min="4618" max="4618" width="10" style="146" customWidth="1"/>
    <col min="4619" max="4619" width="10.453125" style="146" customWidth="1"/>
    <col min="4620" max="4620" width="8.7265625" style="146" customWidth="1"/>
    <col min="4621" max="4621" width="0" style="146" hidden="1" customWidth="1"/>
    <col min="4622" max="4622" width="10.1796875" style="146" bestFit="1" customWidth="1"/>
    <col min="4623" max="4623" width="10.1796875" style="146" customWidth="1"/>
    <col min="4624" max="4624" width="0" style="146" hidden="1" customWidth="1"/>
    <col min="4625" max="4625" width="10" style="146" customWidth="1"/>
    <col min="4626" max="4626" width="12.81640625" style="146" customWidth="1"/>
    <col min="4627" max="4865" width="9.1796875" style="146"/>
    <col min="4866" max="4866" width="4.1796875" style="146" customWidth="1"/>
    <col min="4867" max="4867" width="25.54296875" style="146" customWidth="1"/>
    <col min="4868" max="4868" width="0" style="146" hidden="1" customWidth="1"/>
    <col min="4869" max="4869" width="9.1796875" style="146" bestFit="1" customWidth="1"/>
    <col min="4870" max="4870" width="9.1796875" style="146" customWidth="1"/>
    <col min="4871" max="4871" width="8.81640625" style="146" customWidth="1"/>
    <col min="4872" max="4873" width="10.7265625" style="146" customWidth="1"/>
    <col min="4874" max="4874" width="10" style="146" customWidth="1"/>
    <col min="4875" max="4875" width="10.453125" style="146" customWidth="1"/>
    <col min="4876" max="4876" width="8.7265625" style="146" customWidth="1"/>
    <col min="4877" max="4877" width="0" style="146" hidden="1" customWidth="1"/>
    <col min="4878" max="4878" width="10.1796875" style="146" bestFit="1" customWidth="1"/>
    <col min="4879" max="4879" width="10.1796875" style="146" customWidth="1"/>
    <col min="4880" max="4880" width="0" style="146" hidden="1" customWidth="1"/>
    <col min="4881" max="4881" width="10" style="146" customWidth="1"/>
    <col min="4882" max="4882" width="12.81640625" style="146" customWidth="1"/>
    <col min="4883" max="5121" width="9.1796875" style="146"/>
    <col min="5122" max="5122" width="4.1796875" style="146" customWidth="1"/>
    <col min="5123" max="5123" width="25.54296875" style="146" customWidth="1"/>
    <col min="5124" max="5124" width="0" style="146" hidden="1" customWidth="1"/>
    <col min="5125" max="5125" width="9.1796875" style="146" bestFit="1" customWidth="1"/>
    <col min="5126" max="5126" width="9.1796875" style="146" customWidth="1"/>
    <col min="5127" max="5127" width="8.81640625" style="146" customWidth="1"/>
    <col min="5128" max="5129" width="10.7265625" style="146" customWidth="1"/>
    <col min="5130" max="5130" width="10" style="146" customWidth="1"/>
    <col min="5131" max="5131" width="10.453125" style="146" customWidth="1"/>
    <col min="5132" max="5132" width="8.7265625" style="146" customWidth="1"/>
    <col min="5133" max="5133" width="0" style="146" hidden="1" customWidth="1"/>
    <col min="5134" max="5134" width="10.1796875" style="146" bestFit="1" customWidth="1"/>
    <col min="5135" max="5135" width="10.1796875" style="146" customWidth="1"/>
    <col min="5136" max="5136" width="0" style="146" hidden="1" customWidth="1"/>
    <col min="5137" max="5137" width="10" style="146" customWidth="1"/>
    <col min="5138" max="5138" width="12.81640625" style="146" customWidth="1"/>
    <col min="5139" max="5377" width="9.1796875" style="146"/>
    <col min="5378" max="5378" width="4.1796875" style="146" customWidth="1"/>
    <col min="5379" max="5379" width="25.54296875" style="146" customWidth="1"/>
    <col min="5380" max="5380" width="0" style="146" hidden="1" customWidth="1"/>
    <col min="5381" max="5381" width="9.1796875" style="146" bestFit="1" customWidth="1"/>
    <col min="5382" max="5382" width="9.1796875" style="146" customWidth="1"/>
    <col min="5383" max="5383" width="8.81640625" style="146" customWidth="1"/>
    <col min="5384" max="5385" width="10.7265625" style="146" customWidth="1"/>
    <col min="5386" max="5386" width="10" style="146" customWidth="1"/>
    <col min="5387" max="5387" width="10.453125" style="146" customWidth="1"/>
    <col min="5388" max="5388" width="8.7265625" style="146" customWidth="1"/>
    <col min="5389" max="5389" width="0" style="146" hidden="1" customWidth="1"/>
    <col min="5390" max="5390" width="10.1796875" style="146" bestFit="1" customWidth="1"/>
    <col min="5391" max="5391" width="10.1796875" style="146" customWidth="1"/>
    <col min="5392" max="5392" width="0" style="146" hidden="1" customWidth="1"/>
    <col min="5393" max="5393" width="10" style="146" customWidth="1"/>
    <col min="5394" max="5394" width="12.81640625" style="146" customWidth="1"/>
    <col min="5395" max="5633" width="9.1796875" style="146"/>
    <col min="5634" max="5634" width="4.1796875" style="146" customWidth="1"/>
    <col min="5635" max="5635" width="25.54296875" style="146" customWidth="1"/>
    <col min="5636" max="5636" width="0" style="146" hidden="1" customWidth="1"/>
    <col min="5637" max="5637" width="9.1796875" style="146" bestFit="1" customWidth="1"/>
    <col min="5638" max="5638" width="9.1796875" style="146" customWidth="1"/>
    <col min="5639" max="5639" width="8.81640625" style="146" customWidth="1"/>
    <col min="5640" max="5641" width="10.7265625" style="146" customWidth="1"/>
    <col min="5642" max="5642" width="10" style="146" customWidth="1"/>
    <col min="5643" max="5643" width="10.453125" style="146" customWidth="1"/>
    <col min="5644" max="5644" width="8.7265625" style="146" customWidth="1"/>
    <col min="5645" max="5645" width="0" style="146" hidden="1" customWidth="1"/>
    <col min="5646" max="5646" width="10.1796875" style="146" bestFit="1" customWidth="1"/>
    <col min="5647" max="5647" width="10.1796875" style="146" customWidth="1"/>
    <col min="5648" max="5648" width="0" style="146" hidden="1" customWidth="1"/>
    <col min="5649" max="5649" width="10" style="146" customWidth="1"/>
    <col min="5650" max="5650" width="12.81640625" style="146" customWidth="1"/>
    <col min="5651" max="5889" width="9.1796875" style="146"/>
    <col min="5890" max="5890" width="4.1796875" style="146" customWidth="1"/>
    <col min="5891" max="5891" width="25.54296875" style="146" customWidth="1"/>
    <col min="5892" max="5892" width="0" style="146" hidden="1" customWidth="1"/>
    <col min="5893" max="5893" width="9.1796875" style="146" bestFit="1" customWidth="1"/>
    <col min="5894" max="5894" width="9.1796875" style="146" customWidth="1"/>
    <col min="5895" max="5895" width="8.81640625" style="146" customWidth="1"/>
    <col min="5896" max="5897" width="10.7265625" style="146" customWidth="1"/>
    <col min="5898" max="5898" width="10" style="146" customWidth="1"/>
    <col min="5899" max="5899" width="10.453125" style="146" customWidth="1"/>
    <col min="5900" max="5900" width="8.7265625" style="146" customWidth="1"/>
    <col min="5901" max="5901" width="0" style="146" hidden="1" customWidth="1"/>
    <col min="5902" max="5902" width="10.1796875" style="146" bestFit="1" customWidth="1"/>
    <col min="5903" max="5903" width="10.1796875" style="146" customWidth="1"/>
    <col min="5904" max="5904" width="0" style="146" hidden="1" customWidth="1"/>
    <col min="5905" max="5905" width="10" style="146" customWidth="1"/>
    <col min="5906" max="5906" width="12.81640625" style="146" customWidth="1"/>
    <col min="5907" max="6145" width="9.1796875" style="146"/>
    <col min="6146" max="6146" width="4.1796875" style="146" customWidth="1"/>
    <col min="6147" max="6147" width="25.54296875" style="146" customWidth="1"/>
    <col min="6148" max="6148" width="0" style="146" hidden="1" customWidth="1"/>
    <col min="6149" max="6149" width="9.1796875" style="146" bestFit="1" customWidth="1"/>
    <col min="6150" max="6150" width="9.1796875" style="146" customWidth="1"/>
    <col min="6151" max="6151" width="8.81640625" style="146" customWidth="1"/>
    <col min="6152" max="6153" width="10.7265625" style="146" customWidth="1"/>
    <col min="6154" max="6154" width="10" style="146" customWidth="1"/>
    <col min="6155" max="6155" width="10.453125" style="146" customWidth="1"/>
    <col min="6156" max="6156" width="8.7265625" style="146" customWidth="1"/>
    <col min="6157" max="6157" width="0" style="146" hidden="1" customWidth="1"/>
    <col min="6158" max="6158" width="10.1796875" style="146" bestFit="1" customWidth="1"/>
    <col min="6159" max="6159" width="10.1796875" style="146" customWidth="1"/>
    <col min="6160" max="6160" width="0" style="146" hidden="1" customWidth="1"/>
    <col min="6161" max="6161" width="10" style="146" customWidth="1"/>
    <col min="6162" max="6162" width="12.81640625" style="146" customWidth="1"/>
    <col min="6163" max="6401" width="9.1796875" style="146"/>
    <col min="6402" max="6402" width="4.1796875" style="146" customWidth="1"/>
    <col min="6403" max="6403" width="25.54296875" style="146" customWidth="1"/>
    <col min="6404" max="6404" width="0" style="146" hidden="1" customWidth="1"/>
    <col min="6405" max="6405" width="9.1796875" style="146" bestFit="1" customWidth="1"/>
    <col min="6406" max="6406" width="9.1796875" style="146" customWidth="1"/>
    <col min="6407" max="6407" width="8.81640625" style="146" customWidth="1"/>
    <col min="6408" max="6409" width="10.7265625" style="146" customWidth="1"/>
    <col min="6410" max="6410" width="10" style="146" customWidth="1"/>
    <col min="6411" max="6411" width="10.453125" style="146" customWidth="1"/>
    <col min="6412" max="6412" width="8.7265625" style="146" customWidth="1"/>
    <col min="6413" max="6413" width="0" style="146" hidden="1" customWidth="1"/>
    <col min="6414" max="6414" width="10.1796875" style="146" bestFit="1" customWidth="1"/>
    <col min="6415" max="6415" width="10.1796875" style="146" customWidth="1"/>
    <col min="6416" max="6416" width="0" style="146" hidden="1" customWidth="1"/>
    <col min="6417" max="6417" width="10" style="146" customWidth="1"/>
    <col min="6418" max="6418" width="12.81640625" style="146" customWidth="1"/>
    <col min="6419" max="6657" width="9.1796875" style="146"/>
    <col min="6658" max="6658" width="4.1796875" style="146" customWidth="1"/>
    <col min="6659" max="6659" width="25.54296875" style="146" customWidth="1"/>
    <col min="6660" max="6660" width="0" style="146" hidden="1" customWidth="1"/>
    <col min="6661" max="6661" width="9.1796875" style="146" bestFit="1" customWidth="1"/>
    <col min="6662" max="6662" width="9.1796875" style="146" customWidth="1"/>
    <col min="6663" max="6663" width="8.81640625" style="146" customWidth="1"/>
    <col min="6664" max="6665" width="10.7265625" style="146" customWidth="1"/>
    <col min="6666" max="6666" width="10" style="146" customWidth="1"/>
    <col min="6667" max="6667" width="10.453125" style="146" customWidth="1"/>
    <col min="6668" max="6668" width="8.7265625" style="146" customWidth="1"/>
    <col min="6669" max="6669" width="0" style="146" hidden="1" customWidth="1"/>
    <col min="6670" max="6670" width="10.1796875" style="146" bestFit="1" customWidth="1"/>
    <col min="6671" max="6671" width="10.1796875" style="146" customWidth="1"/>
    <col min="6672" max="6672" width="0" style="146" hidden="1" customWidth="1"/>
    <col min="6673" max="6673" width="10" style="146" customWidth="1"/>
    <col min="6674" max="6674" width="12.81640625" style="146" customWidth="1"/>
    <col min="6675" max="6913" width="9.1796875" style="146"/>
    <col min="6914" max="6914" width="4.1796875" style="146" customWidth="1"/>
    <col min="6915" max="6915" width="25.54296875" style="146" customWidth="1"/>
    <col min="6916" max="6916" width="0" style="146" hidden="1" customWidth="1"/>
    <col min="6917" max="6917" width="9.1796875" style="146" bestFit="1" customWidth="1"/>
    <col min="6918" max="6918" width="9.1796875" style="146" customWidth="1"/>
    <col min="6919" max="6919" width="8.81640625" style="146" customWidth="1"/>
    <col min="6920" max="6921" width="10.7265625" style="146" customWidth="1"/>
    <col min="6922" max="6922" width="10" style="146" customWidth="1"/>
    <col min="6923" max="6923" width="10.453125" style="146" customWidth="1"/>
    <col min="6924" max="6924" width="8.7265625" style="146" customWidth="1"/>
    <col min="6925" max="6925" width="0" style="146" hidden="1" customWidth="1"/>
    <col min="6926" max="6926" width="10.1796875" style="146" bestFit="1" customWidth="1"/>
    <col min="6927" max="6927" width="10.1796875" style="146" customWidth="1"/>
    <col min="6928" max="6928" width="0" style="146" hidden="1" customWidth="1"/>
    <col min="6929" max="6929" width="10" style="146" customWidth="1"/>
    <col min="6930" max="6930" width="12.81640625" style="146" customWidth="1"/>
    <col min="6931" max="7169" width="9.1796875" style="146"/>
    <col min="7170" max="7170" width="4.1796875" style="146" customWidth="1"/>
    <col min="7171" max="7171" width="25.54296875" style="146" customWidth="1"/>
    <col min="7172" max="7172" width="0" style="146" hidden="1" customWidth="1"/>
    <col min="7173" max="7173" width="9.1796875" style="146" bestFit="1" customWidth="1"/>
    <col min="7174" max="7174" width="9.1796875" style="146" customWidth="1"/>
    <col min="7175" max="7175" width="8.81640625" style="146" customWidth="1"/>
    <col min="7176" max="7177" width="10.7265625" style="146" customWidth="1"/>
    <col min="7178" max="7178" width="10" style="146" customWidth="1"/>
    <col min="7179" max="7179" width="10.453125" style="146" customWidth="1"/>
    <col min="7180" max="7180" width="8.7265625" style="146" customWidth="1"/>
    <col min="7181" max="7181" width="0" style="146" hidden="1" customWidth="1"/>
    <col min="7182" max="7182" width="10.1796875" style="146" bestFit="1" customWidth="1"/>
    <col min="7183" max="7183" width="10.1796875" style="146" customWidth="1"/>
    <col min="7184" max="7184" width="0" style="146" hidden="1" customWidth="1"/>
    <col min="7185" max="7185" width="10" style="146" customWidth="1"/>
    <col min="7186" max="7186" width="12.81640625" style="146" customWidth="1"/>
    <col min="7187" max="7425" width="9.1796875" style="146"/>
    <col min="7426" max="7426" width="4.1796875" style="146" customWidth="1"/>
    <col min="7427" max="7427" width="25.54296875" style="146" customWidth="1"/>
    <col min="7428" max="7428" width="0" style="146" hidden="1" customWidth="1"/>
    <col min="7429" max="7429" width="9.1796875" style="146" bestFit="1" customWidth="1"/>
    <col min="7430" max="7430" width="9.1796875" style="146" customWidth="1"/>
    <col min="7431" max="7431" width="8.81640625" style="146" customWidth="1"/>
    <col min="7432" max="7433" width="10.7265625" style="146" customWidth="1"/>
    <col min="7434" max="7434" width="10" style="146" customWidth="1"/>
    <col min="7435" max="7435" width="10.453125" style="146" customWidth="1"/>
    <col min="7436" max="7436" width="8.7265625" style="146" customWidth="1"/>
    <col min="7437" max="7437" width="0" style="146" hidden="1" customWidth="1"/>
    <col min="7438" max="7438" width="10.1796875" style="146" bestFit="1" customWidth="1"/>
    <col min="7439" max="7439" width="10.1796875" style="146" customWidth="1"/>
    <col min="7440" max="7440" width="0" style="146" hidden="1" customWidth="1"/>
    <col min="7441" max="7441" width="10" style="146" customWidth="1"/>
    <col min="7442" max="7442" width="12.81640625" style="146" customWidth="1"/>
    <col min="7443" max="7681" width="9.1796875" style="146"/>
    <col min="7682" max="7682" width="4.1796875" style="146" customWidth="1"/>
    <col min="7683" max="7683" width="25.54296875" style="146" customWidth="1"/>
    <col min="7684" max="7684" width="0" style="146" hidden="1" customWidth="1"/>
    <col min="7685" max="7685" width="9.1796875" style="146" bestFit="1" customWidth="1"/>
    <col min="7686" max="7686" width="9.1796875" style="146" customWidth="1"/>
    <col min="7687" max="7687" width="8.81640625" style="146" customWidth="1"/>
    <col min="7688" max="7689" width="10.7265625" style="146" customWidth="1"/>
    <col min="7690" max="7690" width="10" style="146" customWidth="1"/>
    <col min="7691" max="7691" width="10.453125" style="146" customWidth="1"/>
    <col min="7692" max="7692" width="8.7265625" style="146" customWidth="1"/>
    <col min="7693" max="7693" width="0" style="146" hidden="1" customWidth="1"/>
    <col min="7694" max="7694" width="10.1796875" style="146" bestFit="1" customWidth="1"/>
    <col min="7695" max="7695" width="10.1796875" style="146" customWidth="1"/>
    <col min="7696" max="7696" width="0" style="146" hidden="1" customWidth="1"/>
    <col min="7697" max="7697" width="10" style="146" customWidth="1"/>
    <col min="7698" max="7698" width="12.81640625" style="146" customWidth="1"/>
    <col min="7699" max="7937" width="9.1796875" style="146"/>
    <col min="7938" max="7938" width="4.1796875" style="146" customWidth="1"/>
    <col min="7939" max="7939" width="25.54296875" style="146" customWidth="1"/>
    <col min="7940" max="7940" width="0" style="146" hidden="1" customWidth="1"/>
    <col min="7941" max="7941" width="9.1796875" style="146" bestFit="1" customWidth="1"/>
    <col min="7942" max="7942" width="9.1796875" style="146" customWidth="1"/>
    <col min="7943" max="7943" width="8.81640625" style="146" customWidth="1"/>
    <col min="7944" max="7945" width="10.7265625" style="146" customWidth="1"/>
    <col min="7946" max="7946" width="10" style="146" customWidth="1"/>
    <col min="7947" max="7947" width="10.453125" style="146" customWidth="1"/>
    <col min="7948" max="7948" width="8.7265625" style="146" customWidth="1"/>
    <col min="7949" max="7949" width="0" style="146" hidden="1" customWidth="1"/>
    <col min="7950" max="7950" width="10.1796875" style="146" bestFit="1" customWidth="1"/>
    <col min="7951" max="7951" width="10.1796875" style="146" customWidth="1"/>
    <col min="7952" max="7952" width="0" style="146" hidden="1" customWidth="1"/>
    <col min="7953" max="7953" width="10" style="146" customWidth="1"/>
    <col min="7954" max="7954" width="12.81640625" style="146" customWidth="1"/>
    <col min="7955" max="8193" width="9.1796875" style="146"/>
    <col min="8194" max="8194" width="4.1796875" style="146" customWidth="1"/>
    <col min="8195" max="8195" width="25.54296875" style="146" customWidth="1"/>
    <col min="8196" max="8196" width="0" style="146" hidden="1" customWidth="1"/>
    <col min="8197" max="8197" width="9.1796875" style="146" bestFit="1" customWidth="1"/>
    <col min="8198" max="8198" width="9.1796875" style="146" customWidth="1"/>
    <col min="8199" max="8199" width="8.81640625" style="146" customWidth="1"/>
    <col min="8200" max="8201" width="10.7265625" style="146" customWidth="1"/>
    <col min="8202" max="8202" width="10" style="146" customWidth="1"/>
    <col min="8203" max="8203" width="10.453125" style="146" customWidth="1"/>
    <col min="8204" max="8204" width="8.7265625" style="146" customWidth="1"/>
    <col min="8205" max="8205" width="0" style="146" hidden="1" customWidth="1"/>
    <col min="8206" max="8206" width="10.1796875" style="146" bestFit="1" customWidth="1"/>
    <col min="8207" max="8207" width="10.1796875" style="146" customWidth="1"/>
    <col min="8208" max="8208" width="0" style="146" hidden="1" customWidth="1"/>
    <col min="8209" max="8209" width="10" style="146" customWidth="1"/>
    <col min="8210" max="8210" width="12.81640625" style="146" customWidth="1"/>
    <col min="8211" max="8449" width="9.1796875" style="146"/>
    <col min="8450" max="8450" width="4.1796875" style="146" customWidth="1"/>
    <col min="8451" max="8451" width="25.54296875" style="146" customWidth="1"/>
    <col min="8452" max="8452" width="0" style="146" hidden="1" customWidth="1"/>
    <col min="8453" max="8453" width="9.1796875" style="146" bestFit="1" customWidth="1"/>
    <col min="8454" max="8454" width="9.1796875" style="146" customWidth="1"/>
    <col min="8455" max="8455" width="8.81640625" style="146" customWidth="1"/>
    <col min="8456" max="8457" width="10.7265625" style="146" customWidth="1"/>
    <col min="8458" max="8458" width="10" style="146" customWidth="1"/>
    <col min="8459" max="8459" width="10.453125" style="146" customWidth="1"/>
    <col min="8460" max="8460" width="8.7265625" style="146" customWidth="1"/>
    <col min="8461" max="8461" width="0" style="146" hidden="1" customWidth="1"/>
    <col min="8462" max="8462" width="10.1796875" style="146" bestFit="1" customWidth="1"/>
    <col min="8463" max="8463" width="10.1796875" style="146" customWidth="1"/>
    <col min="8464" max="8464" width="0" style="146" hidden="1" customWidth="1"/>
    <col min="8465" max="8465" width="10" style="146" customWidth="1"/>
    <col min="8466" max="8466" width="12.81640625" style="146" customWidth="1"/>
    <col min="8467" max="8705" width="9.1796875" style="146"/>
    <col min="8706" max="8706" width="4.1796875" style="146" customWidth="1"/>
    <col min="8707" max="8707" width="25.54296875" style="146" customWidth="1"/>
    <col min="8708" max="8708" width="0" style="146" hidden="1" customWidth="1"/>
    <col min="8709" max="8709" width="9.1796875" style="146" bestFit="1" customWidth="1"/>
    <col min="8710" max="8710" width="9.1796875" style="146" customWidth="1"/>
    <col min="8711" max="8711" width="8.81640625" style="146" customWidth="1"/>
    <col min="8712" max="8713" width="10.7265625" style="146" customWidth="1"/>
    <col min="8714" max="8714" width="10" style="146" customWidth="1"/>
    <col min="8715" max="8715" width="10.453125" style="146" customWidth="1"/>
    <col min="8716" max="8716" width="8.7265625" style="146" customWidth="1"/>
    <col min="8717" max="8717" width="0" style="146" hidden="1" customWidth="1"/>
    <col min="8718" max="8718" width="10.1796875" style="146" bestFit="1" customWidth="1"/>
    <col min="8719" max="8719" width="10.1796875" style="146" customWidth="1"/>
    <col min="8720" max="8720" width="0" style="146" hidden="1" customWidth="1"/>
    <col min="8721" max="8721" width="10" style="146" customWidth="1"/>
    <col min="8722" max="8722" width="12.81640625" style="146" customWidth="1"/>
    <col min="8723" max="8961" width="9.1796875" style="146"/>
    <col min="8962" max="8962" width="4.1796875" style="146" customWidth="1"/>
    <col min="8963" max="8963" width="25.54296875" style="146" customWidth="1"/>
    <col min="8964" max="8964" width="0" style="146" hidden="1" customWidth="1"/>
    <col min="8965" max="8965" width="9.1796875" style="146" bestFit="1" customWidth="1"/>
    <col min="8966" max="8966" width="9.1796875" style="146" customWidth="1"/>
    <col min="8967" max="8967" width="8.81640625" style="146" customWidth="1"/>
    <col min="8968" max="8969" width="10.7265625" style="146" customWidth="1"/>
    <col min="8970" max="8970" width="10" style="146" customWidth="1"/>
    <col min="8971" max="8971" width="10.453125" style="146" customWidth="1"/>
    <col min="8972" max="8972" width="8.7265625" style="146" customWidth="1"/>
    <col min="8973" max="8973" width="0" style="146" hidden="1" customWidth="1"/>
    <col min="8974" max="8974" width="10.1796875" style="146" bestFit="1" customWidth="1"/>
    <col min="8975" max="8975" width="10.1796875" style="146" customWidth="1"/>
    <col min="8976" max="8976" width="0" style="146" hidden="1" customWidth="1"/>
    <col min="8977" max="8977" width="10" style="146" customWidth="1"/>
    <col min="8978" max="8978" width="12.81640625" style="146" customWidth="1"/>
    <col min="8979" max="9217" width="9.1796875" style="146"/>
    <col min="9218" max="9218" width="4.1796875" style="146" customWidth="1"/>
    <col min="9219" max="9219" width="25.54296875" style="146" customWidth="1"/>
    <col min="9220" max="9220" width="0" style="146" hidden="1" customWidth="1"/>
    <col min="9221" max="9221" width="9.1796875" style="146" bestFit="1" customWidth="1"/>
    <col min="9222" max="9222" width="9.1796875" style="146" customWidth="1"/>
    <col min="9223" max="9223" width="8.81640625" style="146" customWidth="1"/>
    <col min="9224" max="9225" width="10.7265625" style="146" customWidth="1"/>
    <col min="9226" max="9226" width="10" style="146" customWidth="1"/>
    <col min="9227" max="9227" width="10.453125" style="146" customWidth="1"/>
    <col min="9228" max="9228" width="8.7265625" style="146" customWidth="1"/>
    <col min="9229" max="9229" width="0" style="146" hidden="1" customWidth="1"/>
    <col min="9230" max="9230" width="10.1796875" style="146" bestFit="1" customWidth="1"/>
    <col min="9231" max="9231" width="10.1796875" style="146" customWidth="1"/>
    <col min="9232" max="9232" width="0" style="146" hidden="1" customWidth="1"/>
    <col min="9233" max="9233" width="10" style="146" customWidth="1"/>
    <col min="9234" max="9234" width="12.81640625" style="146" customWidth="1"/>
    <col min="9235" max="9473" width="9.1796875" style="146"/>
    <col min="9474" max="9474" width="4.1796875" style="146" customWidth="1"/>
    <col min="9475" max="9475" width="25.54296875" style="146" customWidth="1"/>
    <col min="9476" max="9476" width="0" style="146" hidden="1" customWidth="1"/>
    <col min="9477" max="9477" width="9.1796875" style="146" bestFit="1" customWidth="1"/>
    <col min="9478" max="9478" width="9.1796875" style="146" customWidth="1"/>
    <col min="9479" max="9479" width="8.81640625" style="146" customWidth="1"/>
    <col min="9480" max="9481" width="10.7265625" style="146" customWidth="1"/>
    <col min="9482" max="9482" width="10" style="146" customWidth="1"/>
    <col min="9483" max="9483" width="10.453125" style="146" customWidth="1"/>
    <col min="9484" max="9484" width="8.7265625" style="146" customWidth="1"/>
    <col min="9485" max="9485" width="0" style="146" hidden="1" customWidth="1"/>
    <col min="9486" max="9486" width="10.1796875" style="146" bestFit="1" customWidth="1"/>
    <col min="9487" max="9487" width="10.1796875" style="146" customWidth="1"/>
    <col min="9488" max="9488" width="0" style="146" hidden="1" customWidth="1"/>
    <col min="9489" max="9489" width="10" style="146" customWidth="1"/>
    <col min="9490" max="9490" width="12.81640625" style="146" customWidth="1"/>
    <col min="9491" max="9729" width="9.1796875" style="146"/>
    <col min="9730" max="9730" width="4.1796875" style="146" customWidth="1"/>
    <col min="9731" max="9731" width="25.54296875" style="146" customWidth="1"/>
    <col min="9732" max="9732" width="0" style="146" hidden="1" customWidth="1"/>
    <col min="9733" max="9733" width="9.1796875" style="146" bestFit="1" customWidth="1"/>
    <col min="9734" max="9734" width="9.1796875" style="146" customWidth="1"/>
    <col min="9735" max="9735" width="8.81640625" style="146" customWidth="1"/>
    <col min="9736" max="9737" width="10.7265625" style="146" customWidth="1"/>
    <col min="9738" max="9738" width="10" style="146" customWidth="1"/>
    <col min="9739" max="9739" width="10.453125" style="146" customWidth="1"/>
    <col min="9740" max="9740" width="8.7265625" style="146" customWidth="1"/>
    <col min="9741" max="9741" width="0" style="146" hidden="1" customWidth="1"/>
    <col min="9742" max="9742" width="10.1796875" style="146" bestFit="1" customWidth="1"/>
    <col min="9743" max="9743" width="10.1796875" style="146" customWidth="1"/>
    <col min="9744" max="9744" width="0" style="146" hidden="1" customWidth="1"/>
    <col min="9745" max="9745" width="10" style="146" customWidth="1"/>
    <col min="9746" max="9746" width="12.81640625" style="146" customWidth="1"/>
    <col min="9747" max="9985" width="9.1796875" style="146"/>
    <col min="9986" max="9986" width="4.1796875" style="146" customWidth="1"/>
    <col min="9987" max="9987" width="25.54296875" style="146" customWidth="1"/>
    <col min="9988" max="9988" width="0" style="146" hidden="1" customWidth="1"/>
    <col min="9989" max="9989" width="9.1796875" style="146" bestFit="1" customWidth="1"/>
    <col min="9990" max="9990" width="9.1796875" style="146" customWidth="1"/>
    <col min="9991" max="9991" width="8.81640625" style="146" customWidth="1"/>
    <col min="9992" max="9993" width="10.7265625" style="146" customWidth="1"/>
    <col min="9994" max="9994" width="10" style="146" customWidth="1"/>
    <col min="9995" max="9995" width="10.453125" style="146" customWidth="1"/>
    <col min="9996" max="9996" width="8.7265625" style="146" customWidth="1"/>
    <col min="9997" max="9997" width="0" style="146" hidden="1" customWidth="1"/>
    <col min="9998" max="9998" width="10.1796875" style="146" bestFit="1" customWidth="1"/>
    <col min="9999" max="9999" width="10.1796875" style="146" customWidth="1"/>
    <col min="10000" max="10000" width="0" style="146" hidden="1" customWidth="1"/>
    <col min="10001" max="10001" width="10" style="146" customWidth="1"/>
    <col min="10002" max="10002" width="12.81640625" style="146" customWidth="1"/>
    <col min="10003" max="10241" width="9.1796875" style="146"/>
    <col min="10242" max="10242" width="4.1796875" style="146" customWidth="1"/>
    <col min="10243" max="10243" width="25.54296875" style="146" customWidth="1"/>
    <col min="10244" max="10244" width="0" style="146" hidden="1" customWidth="1"/>
    <col min="10245" max="10245" width="9.1796875" style="146" bestFit="1" customWidth="1"/>
    <col min="10246" max="10246" width="9.1796875" style="146" customWidth="1"/>
    <col min="10247" max="10247" width="8.81640625" style="146" customWidth="1"/>
    <col min="10248" max="10249" width="10.7265625" style="146" customWidth="1"/>
    <col min="10250" max="10250" width="10" style="146" customWidth="1"/>
    <col min="10251" max="10251" width="10.453125" style="146" customWidth="1"/>
    <col min="10252" max="10252" width="8.7265625" style="146" customWidth="1"/>
    <col min="10253" max="10253" width="0" style="146" hidden="1" customWidth="1"/>
    <col min="10254" max="10254" width="10.1796875" style="146" bestFit="1" customWidth="1"/>
    <col min="10255" max="10255" width="10.1796875" style="146" customWidth="1"/>
    <col min="10256" max="10256" width="0" style="146" hidden="1" customWidth="1"/>
    <col min="10257" max="10257" width="10" style="146" customWidth="1"/>
    <col min="10258" max="10258" width="12.81640625" style="146" customWidth="1"/>
    <col min="10259" max="10497" width="9.1796875" style="146"/>
    <col min="10498" max="10498" width="4.1796875" style="146" customWidth="1"/>
    <col min="10499" max="10499" width="25.54296875" style="146" customWidth="1"/>
    <col min="10500" max="10500" width="0" style="146" hidden="1" customWidth="1"/>
    <col min="10501" max="10501" width="9.1796875" style="146" bestFit="1" customWidth="1"/>
    <col min="10502" max="10502" width="9.1796875" style="146" customWidth="1"/>
    <col min="10503" max="10503" width="8.81640625" style="146" customWidth="1"/>
    <col min="10504" max="10505" width="10.7265625" style="146" customWidth="1"/>
    <col min="10506" max="10506" width="10" style="146" customWidth="1"/>
    <col min="10507" max="10507" width="10.453125" style="146" customWidth="1"/>
    <col min="10508" max="10508" width="8.7265625" style="146" customWidth="1"/>
    <col min="10509" max="10509" width="0" style="146" hidden="1" customWidth="1"/>
    <col min="10510" max="10510" width="10.1796875" style="146" bestFit="1" customWidth="1"/>
    <col min="10511" max="10511" width="10.1796875" style="146" customWidth="1"/>
    <col min="10512" max="10512" width="0" style="146" hidden="1" customWidth="1"/>
    <col min="10513" max="10513" width="10" style="146" customWidth="1"/>
    <col min="10514" max="10514" width="12.81640625" style="146" customWidth="1"/>
    <col min="10515" max="10753" width="9.1796875" style="146"/>
    <col min="10754" max="10754" width="4.1796875" style="146" customWidth="1"/>
    <col min="10755" max="10755" width="25.54296875" style="146" customWidth="1"/>
    <col min="10756" max="10756" width="0" style="146" hidden="1" customWidth="1"/>
    <col min="10757" max="10757" width="9.1796875" style="146" bestFit="1" customWidth="1"/>
    <col min="10758" max="10758" width="9.1796875" style="146" customWidth="1"/>
    <col min="10759" max="10759" width="8.81640625" style="146" customWidth="1"/>
    <col min="10760" max="10761" width="10.7265625" style="146" customWidth="1"/>
    <col min="10762" max="10762" width="10" style="146" customWidth="1"/>
    <col min="10763" max="10763" width="10.453125" style="146" customWidth="1"/>
    <col min="10764" max="10764" width="8.7265625" style="146" customWidth="1"/>
    <col min="10765" max="10765" width="0" style="146" hidden="1" customWidth="1"/>
    <col min="10766" max="10766" width="10.1796875" style="146" bestFit="1" customWidth="1"/>
    <col min="10767" max="10767" width="10.1796875" style="146" customWidth="1"/>
    <col min="10768" max="10768" width="0" style="146" hidden="1" customWidth="1"/>
    <col min="10769" max="10769" width="10" style="146" customWidth="1"/>
    <col min="10770" max="10770" width="12.81640625" style="146" customWidth="1"/>
    <col min="10771" max="11009" width="9.1796875" style="146"/>
    <col min="11010" max="11010" width="4.1796875" style="146" customWidth="1"/>
    <col min="11011" max="11011" width="25.54296875" style="146" customWidth="1"/>
    <col min="11012" max="11012" width="0" style="146" hidden="1" customWidth="1"/>
    <col min="11013" max="11013" width="9.1796875" style="146" bestFit="1" customWidth="1"/>
    <col min="11014" max="11014" width="9.1796875" style="146" customWidth="1"/>
    <col min="11015" max="11015" width="8.81640625" style="146" customWidth="1"/>
    <col min="11016" max="11017" width="10.7265625" style="146" customWidth="1"/>
    <col min="11018" max="11018" width="10" style="146" customWidth="1"/>
    <col min="11019" max="11019" width="10.453125" style="146" customWidth="1"/>
    <col min="11020" max="11020" width="8.7265625" style="146" customWidth="1"/>
    <col min="11021" max="11021" width="0" style="146" hidden="1" customWidth="1"/>
    <col min="11022" max="11022" width="10.1796875" style="146" bestFit="1" customWidth="1"/>
    <col min="11023" max="11023" width="10.1796875" style="146" customWidth="1"/>
    <col min="11024" max="11024" width="0" style="146" hidden="1" customWidth="1"/>
    <col min="11025" max="11025" width="10" style="146" customWidth="1"/>
    <col min="11026" max="11026" width="12.81640625" style="146" customWidth="1"/>
    <col min="11027" max="11265" width="9.1796875" style="146"/>
    <col min="11266" max="11266" width="4.1796875" style="146" customWidth="1"/>
    <col min="11267" max="11267" width="25.54296875" style="146" customWidth="1"/>
    <col min="11268" max="11268" width="0" style="146" hidden="1" customWidth="1"/>
    <col min="11269" max="11269" width="9.1796875" style="146" bestFit="1" customWidth="1"/>
    <col min="11270" max="11270" width="9.1796875" style="146" customWidth="1"/>
    <col min="11271" max="11271" width="8.81640625" style="146" customWidth="1"/>
    <col min="11272" max="11273" width="10.7265625" style="146" customWidth="1"/>
    <col min="11274" max="11274" width="10" style="146" customWidth="1"/>
    <col min="11275" max="11275" width="10.453125" style="146" customWidth="1"/>
    <col min="11276" max="11276" width="8.7265625" style="146" customWidth="1"/>
    <col min="11277" max="11277" width="0" style="146" hidden="1" customWidth="1"/>
    <col min="11278" max="11278" width="10.1796875" style="146" bestFit="1" customWidth="1"/>
    <col min="11279" max="11279" width="10.1796875" style="146" customWidth="1"/>
    <col min="11280" max="11280" width="0" style="146" hidden="1" customWidth="1"/>
    <col min="11281" max="11281" width="10" style="146" customWidth="1"/>
    <col min="11282" max="11282" width="12.81640625" style="146" customWidth="1"/>
    <col min="11283" max="11521" width="9.1796875" style="146"/>
    <col min="11522" max="11522" width="4.1796875" style="146" customWidth="1"/>
    <col min="11523" max="11523" width="25.54296875" style="146" customWidth="1"/>
    <col min="11524" max="11524" width="0" style="146" hidden="1" customWidth="1"/>
    <col min="11525" max="11525" width="9.1796875" style="146" bestFit="1" customWidth="1"/>
    <col min="11526" max="11526" width="9.1796875" style="146" customWidth="1"/>
    <col min="11527" max="11527" width="8.81640625" style="146" customWidth="1"/>
    <col min="11528" max="11529" width="10.7265625" style="146" customWidth="1"/>
    <col min="11530" max="11530" width="10" style="146" customWidth="1"/>
    <col min="11531" max="11531" width="10.453125" style="146" customWidth="1"/>
    <col min="11532" max="11532" width="8.7265625" style="146" customWidth="1"/>
    <col min="11533" max="11533" width="0" style="146" hidden="1" customWidth="1"/>
    <col min="11534" max="11534" width="10.1796875" style="146" bestFit="1" customWidth="1"/>
    <col min="11535" max="11535" width="10.1796875" style="146" customWidth="1"/>
    <col min="11536" max="11536" width="0" style="146" hidden="1" customWidth="1"/>
    <col min="11537" max="11537" width="10" style="146" customWidth="1"/>
    <col min="11538" max="11538" width="12.81640625" style="146" customWidth="1"/>
    <col min="11539" max="11777" width="9.1796875" style="146"/>
    <col min="11778" max="11778" width="4.1796875" style="146" customWidth="1"/>
    <col min="11779" max="11779" width="25.54296875" style="146" customWidth="1"/>
    <col min="11780" max="11780" width="0" style="146" hidden="1" customWidth="1"/>
    <col min="11781" max="11781" width="9.1796875" style="146" bestFit="1" customWidth="1"/>
    <col min="11782" max="11782" width="9.1796875" style="146" customWidth="1"/>
    <col min="11783" max="11783" width="8.81640625" style="146" customWidth="1"/>
    <col min="11784" max="11785" width="10.7265625" style="146" customWidth="1"/>
    <col min="11786" max="11786" width="10" style="146" customWidth="1"/>
    <col min="11787" max="11787" width="10.453125" style="146" customWidth="1"/>
    <col min="11788" max="11788" width="8.7265625" style="146" customWidth="1"/>
    <col min="11789" max="11789" width="0" style="146" hidden="1" customWidth="1"/>
    <col min="11790" max="11790" width="10.1796875" style="146" bestFit="1" customWidth="1"/>
    <col min="11791" max="11791" width="10.1796875" style="146" customWidth="1"/>
    <col min="11792" max="11792" width="0" style="146" hidden="1" customWidth="1"/>
    <col min="11793" max="11793" width="10" style="146" customWidth="1"/>
    <col min="11794" max="11794" width="12.81640625" style="146" customWidth="1"/>
    <col min="11795" max="12033" width="9.1796875" style="146"/>
    <col min="12034" max="12034" width="4.1796875" style="146" customWidth="1"/>
    <col min="12035" max="12035" width="25.54296875" style="146" customWidth="1"/>
    <col min="12036" max="12036" width="0" style="146" hidden="1" customWidth="1"/>
    <col min="12037" max="12037" width="9.1796875" style="146" bestFit="1" customWidth="1"/>
    <col min="12038" max="12038" width="9.1796875" style="146" customWidth="1"/>
    <col min="12039" max="12039" width="8.81640625" style="146" customWidth="1"/>
    <col min="12040" max="12041" width="10.7265625" style="146" customWidth="1"/>
    <col min="12042" max="12042" width="10" style="146" customWidth="1"/>
    <col min="12043" max="12043" width="10.453125" style="146" customWidth="1"/>
    <col min="12044" max="12044" width="8.7265625" style="146" customWidth="1"/>
    <col min="12045" max="12045" width="0" style="146" hidden="1" customWidth="1"/>
    <col min="12046" max="12046" width="10.1796875" style="146" bestFit="1" customWidth="1"/>
    <col min="12047" max="12047" width="10.1796875" style="146" customWidth="1"/>
    <col min="12048" max="12048" width="0" style="146" hidden="1" customWidth="1"/>
    <col min="12049" max="12049" width="10" style="146" customWidth="1"/>
    <col min="12050" max="12050" width="12.81640625" style="146" customWidth="1"/>
    <col min="12051" max="12289" width="9.1796875" style="146"/>
    <col min="12290" max="12290" width="4.1796875" style="146" customWidth="1"/>
    <col min="12291" max="12291" width="25.54296875" style="146" customWidth="1"/>
    <col min="12292" max="12292" width="0" style="146" hidden="1" customWidth="1"/>
    <col min="12293" max="12293" width="9.1796875" style="146" bestFit="1" customWidth="1"/>
    <col min="12294" max="12294" width="9.1796875" style="146" customWidth="1"/>
    <col min="12295" max="12295" width="8.81640625" style="146" customWidth="1"/>
    <col min="12296" max="12297" width="10.7265625" style="146" customWidth="1"/>
    <col min="12298" max="12298" width="10" style="146" customWidth="1"/>
    <col min="12299" max="12299" width="10.453125" style="146" customWidth="1"/>
    <col min="12300" max="12300" width="8.7265625" style="146" customWidth="1"/>
    <col min="12301" max="12301" width="0" style="146" hidden="1" customWidth="1"/>
    <col min="12302" max="12302" width="10.1796875" style="146" bestFit="1" customWidth="1"/>
    <col min="12303" max="12303" width="10.1796875" style="146" customWidth="1"/>
    <col min="12304" max="12304" width="0" style="146" hidden="1" customWidth="1"/>
    <col min="12305" max="12305" width="10" style="146" customWidth="1"/>
    <col min="12306" max="12306" width="12.81640625" style="146" customWidth="1"/>
    <col min="12307" max="12545" width="9.1796875" style="146"/>
    <col min="12546" max="12546" width="4.1796875" style="146" customWidth="1"/>
    <col min="12547" max="12547" width="25.54296875" style="146" customWidth="1"/>
    <col min="12548" max="12548" width="0" style="146" hidden="1" customWidth="1"/>
    <col min="12549" max="12549" width="9.1796875" style="146" bestFit="1" customWidth="1"/>
    <col min="12550" max="12550" width="9.1796875" style="146" customWidth="1"/>
    <col min="12551" max="12551" width="8.81640625" style="146" customWidth="1"/>
    <col min="12552" max="12553" width="10.7265625" style="146" customWidth="1"/>
    <col min="12554" max="12554" width="10" style="146" customWidth="1"/>
    <col min="12555" max="12555" width="10.453125" style="146" customWidth="1"/>
    <col min="12556" max="12556" width="8.7265625" style="146" customWidth="1"/>
    <col min="12557" max="12557" width="0" style="146" hidden="1" customWidth="1"/>
    <col min="12558" max="12558" width="10.1796875" style="146" bestFit="1" customWidth="1"/>
    <col min="12559" max="12559" width="10.1796875" style="146" customWidth="1"/>
    <col min="12560" max="12560" width="0" style="146" hidden="1" customWidth="1"/>
    <col min="12561" max="12561" width="10" style="146" customWidth="1"/>
    <col min="12562" max="12562" width="12.81640625" style="146" customWidth="1"/>
    <col min="12563" max="12801" width="9.1796875" style="146"/>
    <col min="12802" max="12802" width="4.1796875" style="146" customWidth="1"/>
    <col min="12803" max="12803" width="25.54296875" style="146" customWidth="1"/>
    <col min="12804" max="12804" width="0" style="146" hidden="1" customWidth="1"/>
    <col min="12805" max="12805" width="9.1796875" style="146" bestFit="1" customWidth="1"/>
    <col min="12806" max="12806" width="9.1796875" style="146" customWidth="1"/>
    <col min="12807" max="12807" width="8.81640625" style="146" customWidth="1"/>
    <col min="12808" max="12809" width="10.7265625" style="146" customWidth="1"/>
    <col min="12810" max="12810" width="10" style="146" customWidth="1"/>
    <col min="12811" max="12811" width="10.453125" style="146" customWidth="1"/>
    <col min="12812" max="12812" width="8.7265625" style="146" customWidth="1"/>
    <col min="12813" max="12813" width="0" style="146" hidden="1" customWidth="1"/>
    <col min="12814" max="12814" width="10.1796875" style="146" bestFit="1" customWidth="1"/>
    <col min="12815" max="12815" width="10.1796875" style="146" customWidth="1"/>
    <col min="12816" max="12816" width="0" style="146" hidden="1" customWidth="1"/>
    <col min="12817" max="12817" width="10" style="146" customWidth="1"/>
    <col min="12818" max="12818" width="12.81640625" style="146" customWidth="1"/>
    <col min="12819" max="13057" width="9.1796875" style="146"/>
    <col min="13058" max="13058" width="4.1796875" style="146" customWidth="1"/>
    <col min="13059" max="13059" width="25.54296875" style="146" customWidth="1"/>
    <col min="13060" max="13060" width="0" style="146" hidden="1" customWidth="1"/>
    <col min="13061" max="13061" width="9.1796875" style="146" bestFit="1" customWidth="1"/>
    <col min="13062" max="13062" width="9.1796875" style="146" customWidth="1"/>
    <col min="13063" max="13063" width="8.81640625" style="146" customWidth="1"/>
    <col min="13064" max="13065" width="10.7265625" style="146" customWidth="1"/>
    <col min="13066" max="13066" width="10" style="146" customWidth="1"/>
    <col min="13067" max="13067" width="10.453125" style="146" customWidth="1"/>
    <col min="13068" max="13068" width="8.7265625" style="146" customWidth="1"/>
    <col min="13069" max="13069" width="0" style="146" hidden="1" customWidth="1"/>
    <col min="13070" max="13070" width="10.1796875" style="146" bestFit="1" customWidth="1"/>
    <col min="13071" max="13071" width="10.1796875" style="146" customWidth="1"/>
    <col min="13072" max="13072" width="0" style="146" hidden="1" customWidth="1"/>
    <col min="13073" max="13073" width="10" style="146" customWidth="1"/>
    <col min="13074" max="13074" width="12.81640625" style="146" customWidth="1"/>
    <col min="13075" max="13313" width="9.1796875" style="146"/>
    <col min="13314" max="13314" width="4.1796875" style="146" customWidth="1"/>
    <col min="13315" max="13315" width="25.54296875" style="146" customWidth="1"/>
    <col min="13316" max="13316" width="0" style="146" hidden="1" customWidth="1"/>
    <col min="13317" max="13317" width="9.1796875" style="146" bestFit="1" customWidth="1"/>
    <col min="13318" max="13318" width="9.1796875" style="146" customWidth="1"/>
    <col min="13319" max="13319" width="8.81640625" style="146" customWidth="1"/>
    <col min="13320" max="13321" width="10.7265625" style="146" customWidth="1"/>
    <col min="13322" max="13322" width="10" style="146" customWidth="1"/>
    <col min="13323" max="13323" width="10.453125" style="146" customWidth="1"/>
    <col min="13324" max="13324" width="8.7265625" style="146" customWidth="1"/>
    <col min="13325" max="13325" width="0" style="146" hidden="1" customWidth="1"/>
    <col min="13326" max="13326" width="10.1796875" style="146" bestFit="1" customWidth="1"/>
    <col min="13327" max="13327" width="10.1796875" style="146" customWidth="1"/>
    <col min="13328" max="13328" width="0" style="146" hidden="1" customWidth="1"/>
    <col min="13329" max="13329" width="10" style="146" customWidth="1"/>
    <col min="13330" max="13330" width="12.81640625" style="146" customWidth="1"/>
    <col min="13331" max="13569" width="9.1796875" style="146"/>
    <col min="13570" max="13570" width="4.1796875" style="146" customWidth="1"/>
    <col min="13571" max="13571" width="25.54296875" style="146" customWidth="1"/>
    <col min="13572" max="13572" width="0" style="146" hidden="1" customWidth="1"/>
    <col min="13573" max="13573" width="9.1796875" style="146" bestFit="1" customWidth="1"/>
    <col min="13574" max="13574" width="9.1796875" style="146" customWidth="1"/>
    <col min="13575" max="13575" width="8.81640625" style="146" customWidth="1"/>
    <col min="13576" max="13577" width="10.7265625" style="146" customWidth="1"/>
    <col min="13578" max="13578" width="10" style="146" customWidth="1"/>
    <col min="13579" max="13579" width="10.453125" style="146" customWidth="1"/>
    <col min="13580" max="13580" width="8.7265625" style="146" customWidth="1"/>
    <col min="13581" max="13581" width="0" style="146" hidden="1" customWidth="1"/>
    <col min="13582" max="13582" width="10.1796875" style="146" bestFit="1" customWidth="1"/>
    <col min="13583" max="13583" width="10.1796875" style="146" customWidth="1"/>
    <col min="13584" max="13584" width="0" style="146" hidden="1" customWidth="1"/>
    <col min="13585" max="13585" width="10" style="146" customWidth="1"/>
    <col min="13586" max="13586" width="12.81640625" style="146" customWidth="1"/>
    <col min="13587" max="13825" width="9.1796875" style="146"/>
    <col min="13826" max="13826" width="4.1796875" style="146" customWidth="1"/>
    <col min="13827" max="13827" width="25.54296875" style="146" customWidth="1"/>
    <col min="13828" max="13828" width="0" style="146" hidden="1" customWidth="1"/>
    <col min="13829" max="13829" width="9.1796875" style="146" bestFit="1" customWidth="1"/>
    <col min="13830" max="13830" width="9.1796875" style="146" customWidth="1"/>
    <col min="13831" max="13831" width="8.81640625" style="146" customWidth="1"/>
    <col min="13832" max="13833" width="10.7265625" style="146" customWidth="1"/>
    <col min="13834" max="13834" width="10" style="146" customWidth="1"/>
    <col min="13835" max="13835" width="10.453125" style="146" customWidth="1"/>
    <col min="13836" max="13836" width="8.7265625" style="146" customWidth="1"/>
    <col min="13837" max="13837" width="0" style="146" hidden="1" customWidth="1"/>
    <col min="13838" max="13838" width="10.1796875" style="146" bestFit="1" customWidth="1"/>
    <col min="13839" max="13839" width="10.1796875" style="146" customWidth="1"/>
    <col min="13840" max="13840" width="0" style="146" hidden="1" customWidth="1"/>
    <col min="13841" max="13841" width="10" style="146" customWidth="1"/>
    <col min="13842" max="13842" width="12.81640625" style="146" customWidth="1"/>
    <col min="13843" max="14081" width="9.1796875" style="146"/>
    <col min="14082" max="14082" width="4.1796875" style="146" customWidth="1"/>
    <col min="14083" max="14083" width="25.54296875" style="146" customWidth="1"/>
    <col min="14084" max="14084" width="0" style="146" hidden="1" customWidth="1"/>
    <col min="14085" max="14085" width="9.1796875" style="146" bestFit="1" customWidth="1"/>
    <col min="14086" max="14086" width="9.1796875" style="146" customWidth="1"/>
    <col min="14087" max="14087" width="8.81640625" style="146" customWidth="1"/>
    <col min="14088" max="14089" width="10.7265625" style="146" customWidth="1"/>
    <col min="14090" max="14090" width="10" style="146" customWidth="1"/>
    <col min="14091" max="14091" width="10.453125" style="146" customWidth="1"/>
    <col min="14092" max="14092" width="8.7265625" style="146" customWidth="1"/>
    <col min="14093" max="14093" width="0" style="146" hidden="1" customWidth="1"/>
    <col min="14094" max="14094" width="10.1796875" style="146" bestFit="1" customWidth="1"/>
    <col min="14095" max="14095" width="10.1796875" style="146" customWidth="1"/>
    <col min="14096" max="14096" width="0" style="146" hidden="1" customWidth="1"/>
    <col min="14097" max="14097" width="10" style="146" customWidth="1"/>
    <col min="14098" max="14098" width="12.81640625" style="146" customWidth="1"/>
    <col min="14099" max="14337" width="9.1796875" style="146"/>
    <col min="14338" max="14338" width="4.1796875" style="146" customWidth="1"/>
    <col min="14339" max="14339" width="25.54296875" style="146" customWidth="1"/>
    <col min="14340" max="14340" width="0" style="146" hidden="1" customWidth="1"/>
    <col min="14341" max="14341" width="9.1796875" style="146" bestFit="1" customWidth="1"/>
    <col min="14342" max="14342" width="9.1796875" style="146" customWidth="1"/>
    <col min="14343" max="14343" width="8.81640625" style="146" customWidth="1"/>
    <col min="14344" max="14345" width="10.7265625" style="146" customWidth="1"/>
    <col min="14346" max="14346" width="10" style="146" customWidth="1"/>
    <col min="14347" max="14347" width="10.453125" style="146" customWidth="1"/>
    <col min="14348" max="14348" width="8.7265625" style="146" customWidth="1"/>
    <col min="14349" max="14349" width="0" style="146" hidden="1" customWidth="1"/>
    <col min="14350" max="14350" width="10.1796875" style="146" bestFit="1" customWidth="1"/>
    <col min="14351" max="14351" width="10.1796875" style="146" customWidth="1"/>
    <col min="14352" max="14352" width="0" style="146" hidden="1" customWidth="1"/>
    <col min="14353" max="14353" width="10" style="146" customWidth="1"/>
    <col min="14354" max="14354" width="12.81640625" style="146" customWidth="1"/>
    <col min="14355" max="14593" width="9.1796875" style="146"/>
    <col min="14594" max="14594" width="4.1796875" style="146" customWidth="1"/>
    <col min="14595" max="14595" width="25.54296875" style="146" customWidth="1"/>
    <col min="14596" max="14596" width="0" style="146" hidden="1" customWidth="1"/>
    <col min="14597" max="14597" width="9.1796875" style="146" bestFit="1" customWidth="1"/>
    <col min="14598" max="14598" width="9.1796875" style="146" customWidth="1"/>
    <col min="14599" max="14599" width="8.81640625" style="146" customWidth="1"/>
    <col min="14600" max="14601" width="10.7265625" style="146" customWidth="1"/>
    <col min="14602" max="14602" width="10" style="146" customWidth="1"/>
    <col min="14603" max="14603" width="10.453125" style="146" customWidth="1"/>
    <col min="14604" max="14604" width="8.7265625" style="146" customWidth="1"/>
    <col min="14605" max="14605" width="0" style="146" hidden="1" customWidth="1"/>
    <col min="14606" max="14606" width="10.1796875" style="146" bestFit="1" customWidth="1"/>
    <col min="14607" max="14607" width="10.1796875" style="146" customWidth="1"/>
    <col min="14608" max="14608" width="0" style="146" hidden="1" customWidth="1"/>
    <col min="14609" max="14609" width="10" style="146" customWidth="1"/>
    <col min="14610" max="14610" width="12.81640625" style="146" customWidth="1"/>
    <col min="14611" max="14849" width="9.1796875" style="146"/>
    <col min="14850" max="14850" width="4.1796875" style="146" customWidth="1"/>
    <col min="14851" max="14851" width="25.54296875" style="146" customWidth="1"/>
    <col min="14852" max="14852" width="0" style="146" hidden="1" customWidth="1"/>
    <col min="14853" max="14853" width="9.1796875" style="146" bestFit="1" customWidth="1"/>
    <col min="14854" max="14854" width="9.1796875" style="146" customWidth="1"/>
    <col min="14855" max="14855" width="8.81640625" style="146" customWidth="1"/>
    <col min="14856" max="14857" width="10.7265625" style="146" customWidth="1"/>
    <col min="14858" max="14858" width="10" style="146" customWidth="1"/>
    <col min="14859" max="14859" width="10.453125" style="146" customWidth="1"/>
    <col min="14860" max="14860" width="8.7265625" style="146" customWidth="1"/>
    <col min="14861" max="14861" width="0" style="146" hidden="1" customWidth="1"/>
    <col min="14862" max="14862" width="10.1796875" style="146" bestFit="1" customWidth="1"/>
    <col min="14863" max="14863" width="10.1796875" style="146" customWidth="1"/>
    <col min="14864" max="14864" width="0" style="146" hidden="1" customWidth="1"/>
    <col min="14865" max="14865" width="10" style="146" customWidth="1"/>
    <col min="14866" max="14866" width="12.81640625" style="146" customWidth="1"/>
    <col min="14867" max="15105" width="9.1796875" style="146"/>
    <col min="15106" max="15106" width="4.1796875" style="146" customWidth="1"/>
    <col min="15107" max="15107" width="25.54296875" style="146" customWidth="1"/>
    <col min="15108" max="15108" width="0" style="146" hidden="1" customWidth="1"/>
    <col min="15109" max="15109" width="9.1796875" style="146" bestFit="1" customWidth="1"/>
    <col min="15110" max="15110" width="9.1796875" style="146" customWidth="1"/>
    <col min="15111" max="15111" width="8.81640625" style="146" customWidth="1"/>
    <col min="15112" max="15113" width="10.7265625" style="146" customWidth="1"/>
    <col min="15114" max="15114" width="10" style="146" customWidth="1"/>
    <col min="15115" max="15115" width="10.453125" style="146" customWidth="1"/>
    <col min="15116" max="15116" width="8.7265625" style="146" customWidth="1"/>
    <col min="15117" max="15117" width="0" style="146" hidden="1" customWidth="1"/>
    <col min="15118" max="15118" width="10.1796875" style="146" bestFit="1" customWidth="1"/>
    <col min="15119" max="15119" width="10.1796875" style="146" customWidth="1"/>
    <col min="15120" max="15120" width="0" style="146" hidden="1" customWidth="1"/>
    <col min="15121" max="15121" width="10" style="146" customWidth="1"/>
    <col min="15122" max="15122" width="12.81640625" style="146" customWidth="1"/>
    <col min="15123" max="15361" width="9.1796875" style="146"/>
    <col min="15362" max="15362" width="4.1796875" style="146" customWidth="1"/>
    <col min="15363" max="15363" width="25.54296875" style="146" customWidth="1"/>
    <col min="15364" max="15364" width="0" style="146" hidden="1" customWidth="1"/>
    <col min="15365" max="15365" width="9.1796875" style="146" bestFit="1" customWidth="1"/>
    <col min="15366" max="15366" width="9.1796875" style="146" customWidth="1"/>
    <col min="15367" max="15367" width="8.81640625" style="146" customWidth="1"/>
    <col min="15368" max="15369" width="10.7265625" style="146" customWidth="1"/>
    <col min="15370" max="15370" width="10" style="146" customWidth="1"/>
    <col min="15371" max="15371" width="10.453125" style="146" customWidth="1"/>
    <col min="15372" max="15372" width="8.7265625" style="146" customWidth="1"/>
    <col min="15373" max="15373" width="0" style="146" hidden="1" customWidth="1"/>
    <col min="15374" max="15374" width="10.1796875" style="146" bestFit="1" customWidth="1"/>
    <col min="15375" max="15375" width="10.1796875" style="146" customWidth="1"/>
    <col min="15376" max="15376" width="0" style="146" hidden="1" customWidth="1"/>
    <col min="15377" max="15377" width="10" style="146" customWidth="1"/>
    <col min="15378" max="15378" width="12.81640625" style="146" customWidth="1"/>
    <col min="15379" max="15617" width="9.1796875" style="146"/>
    <col min="15618" max="15618" width="4.1796875" style="146" customWidth="1"/>
    <col min="15619" max="15619" width="25.54296875" style="146" customWidth="1"/>
    <col min="15620" max="15620" width="0" style="146" hidden="1" customWidth="1"/>
    <col min="15621" max="15621" width="9.1796875" style="146" bestFit="1" customWidth="1"/>
    <col min="15622" max="15622" width="9.1796875" style="146" customWidth="1"/>
    <col min="15623" max="15623" width="8.81640625" style="146" customWidth="1"/>
    <col min="15624" max="15625" width="10.7265625" style="146" customWidth="1"/>
    <col min="15626" max="15626" width="10" style="146" customWidth="1"/>
    <col min="15627" max="15627" width="10.453125" style="146" customWidth="1"/>
    <col min="15628" max="15628" width="8.7265625" style="146" customWidth="1"/>
    <col min="15629" max="15629" width="0" style="146" hidden="1" customWidth="1"/>
    <col min="15630" max="15630" width="10.1796875" style="146" bestFit="1" customWidth="1"/>
    <col min="15631" max="15631" width="10.1796875" style="146" customWidth="1"/>
    <col min="15632" max="15632" width="0" style="146" hidden="1" customWidth="1"/>
    <col min="15633" max="15633" width="10" style="146" customWidth="1"/>
    <col min="15634" max="15634" width="12.81640625" style="146" customWidth="1"/>
    <col min="15635" max="15873" width="9.1796875" style="146"/>
    <col min="15874" max="15874" width="4.1796875" style="146" customWidth="1"/>
    <col min="15875" max="15875" width="25.54296875" style="146" customWidth="1"/>
    <col min="15876" max="15876" width="0" style="146" hidden="1" customWidth="1"/>
    <col min="15877" max="15877" width="9.1796875" style="146" bestFit="1" customWidth="1"/>
    <col min="15878" max="15878" width="9.1796875" style="146" customWidth="1"/>
    <col min="15879" max="15879" width="8.81640625" style="146" customWidth="1"/>
    <col min="15880" max="15881" width="10.7265625" style="146" customWidth="1"/>
    <col min="15882" max="15882" width="10" style="146" customWidth="1"/>
    <col min="15883" max="15883" width="10.453125" style="146" customWidth="1"/>
    <col min="15884" max="15884" width="8.7265625" style="146" customWidth="1"/>
    <col min="15885" max="15885" width="0" style="146" hidden="1" customWidth="1"/>
    <col min="15886" max="15886" width="10.1796875" style="146" bestFit="1" customWidth="1"/>
    <col min="15887" max="15887" width="10.1796875" style="146" customWidth="1"/>
    <col min="15888" max="15888" width="0" style="146" hidden="1" customWidth="1"/>
    <col min="15889" max="15889" width="10" style="146" customWidth="1"/>
    <col min="15890" max="15890" width="12.81640625" style="146" customWidth="1"/>
    <col min="15891" max="16129" width="9.1796875" style="146"/>
    <col min="16130" max="16130" width="4.1796875" style="146" customWidth="1"/>
    <col min="16131" max="16131" width="25.54296875" style="146" customWidth="1"/>
    <col min="16132" max="16132" width="0" style="146" hidden="1" customWidth="1"/>
    <col min="16133" max="16133" width="9.1796875" style="146" bestFit="1" customWidth="1"/>
    <col min="16134" max="16134" width="9.1796875" style="146" customWidth="1"/>
    <col min="16135" max="16135" width="8.81640625" style="146" customWidth="1"/>
    <col min="16136" max="16137" width="10.7265625" style="146" customWidth="1"/>
    <col min="16138" max="16138" width="10" style="146" customWidth="1"/>
    <col min="16139" max="16139" width="10.453125" style="146" customWidth="1"/>
    <col min="16140" max="16140" width="8.7265625" style="146" customWidth="1"/>
    <col min="16141" max="16141" width="0" style="146" hidden="1" customWidth="1"/>
    <col min="16142" max="16142" width="10.1796875" style="146" bestFit="1" customWidth="1"/>
    <col min="16143" max="16143" width="10.1796875" style="146" customWidth="1"/>
    <col min="16144" max="16144" width="0" style="146" hidden="1" customWidth="1"/>
    <col min="16145" max="16145" width="10" style="146" customWidth="1"/>
    <col min="16146" max="16146" width="12.81640625" style="146" customWidth="1"/>
    <col min="16147" max="16384" width="9.1796875" style="146"/>
  </cols>
  <sheetData>
    <row r="1" spans="2:22" ht="20.5">
      <c r="B1" s="323" t="s">
        <v>474</v>
      </c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</row>
    <row r="3" spans="2:22" s="224" customFormat="1" ht="62">
      <c r="B3" s="221" t="s">
        <v>475</v>
      </c>
      <c r="C3" s="222" t="s">
        <v>482</v>
      </c>
      <c r="D3" s="222" t="s">
        <v>476</v>
      </c>
      <c r="E3" s="222" t="s">
        <v>452</v>
      </c>
      <c r="F3" s="222" t="s">
        <v>477</v>
      </c>
      <c r="G3" s="222" t="s">
        <v>1098</v>
      </c>
      <c r="H3" s="222" t="s">
        <v>455</v>
      </c>
      <c r="I3" s="222" t="s">
        <v>478</v>
      </c>
      <c r="J3" s="560" t="s">
        <v>453</v>
      </c>
      <c r="K3" s="223" t="s">
        <v>140</v>
      </c>
      <c r="L3" s="336" t="s">
        <v>544</v>
      </c>
      <c r="M3" s="223" t="s">
        <v>451</v>
      </c>
      <c r="N3" s="222" t="s">
        <v>479</v>
      </c>
      <c r="O3" s="221" t="s">
        <v>160</v>
      </c>
    </row>
    <row r="4" spans="2:22" s="231" customFormat="1" ht="32.15" customHeight="1">
      <c r="B4" s="226" t="s">
        <v>286</v>
      </c>
      <c r="C4" s="227"/>
      <c r="D4" s="227"/>
      <c r="E4" s="227"/>
      <c r="F4" s="227"/>
      <c r="G4" s="227"/>
      <c r="H4" s="227"/>
      <c r="I4" s="227"/>
      <c r="J4" s="229">
        <f>'תקציב הנדסה 2019'!Z68+'תקציב הנדסה 2019'!Z46+'תקציב הנדסה 2019'!Z47</f>
        <v>1579577</v>
      </c>
      <c r="K4" s="229"/>
      <c r="L4" s="229"/>
      <c r="M4" s="229">
        <f>'תקציב הנדסה 2019'!Z12+'תקציב הנדסה 2019'!Z101+'תקציב הנדסה 2019'!Z102+'תקציב הנדסה 2019'!Z103</f>
        <v>1295000</v>
      </c>
      <c r="N4" s="227"/>
      <c r="O4" s="230">
        <f t="shared" ref="O4:O15" si="0">SUM(C4:N4)</f>
        <v>2874577</v>
      </c>
      <c r="Q4" s="224"/>
      <c r="R4" s="224"/>
      <c r="S4" s="224"/>
      <c r="T4" s="224"/>
      <c r="U4" s="224"/>
      <c r="V4" s="232"/>
    </row>
    <row r="5" spans="2:22" s="231" customFormat="1" ht="32.15" customHeight="1">
      <c r="B5" s="226" t="s">
        <v>480</v>
      </c>
      <c r="C5" s="227">
        <f>'תקציב החברה לפיתוח 2019'!Z96+'תקציב החברה לפיתוח 2019'!Z97+'תקציב החברה לפיתוח 2019'!Z108</f>
        <v>66237613</v>
      </c>
      <c r="D5" s="227"/>
      <c r="E5" s="227"/>
      <c r="F5" s="227"/>
      <c r="G5" s="227"/>
      <c r="H5" s="227"/>
      <c r="I5" s="227"/>
      <c r="J5" s="229"/>
      <c r="K5" s="229">
        <f>'תקציב החברה לפיתוח 2019'!Z9+'תקציב החברה לפיתוח 2019'!Z55+'תקציב החברה לפיתוח 2019'!Z88+'תקציב החברה לפיתוח 2019'!Z110</f>
        <v>7275000</v>
      </c>
      <c r="L5" s="229"/>
      <c r="M5" s="229">
        <f>'תקציב החברה לפיתוח 2019'!Z31+'תקציב החברה לפיתוח 2019'!Z29</f>
        <v>4672540</v>
      </c>
      <c r="N5" s="227"/>
      <c r="O5" s="230">
        <f t="shared" si="0"/>
        <v>78185153</v>
      </c>
      <c r="Q5" s="224"/>
      <c r="R5" s="224"/>
      <c r="S5" s="224"/>
      <c r="T5" s="224"/>
      <c r="U5" s="224"/>
      <c r="V5" s="233"/>
    </row>
    <row r="6" spans="2:22" s="231" customFormat="1" ht="32.15" customHeight="1">
      <c r="B6" s="226" t="s">
        <v>356</v>
      </c>
      <c r="C6" s="227"/>
      <c r="D6" s="227"/>
      <c r="E6" s="227">
        <f>'תקציב אגף ת.ב.ל 2019'!Z53+'תקציב אגף ת.ב.ל 2019'!Z58+'תקציב אגף ת.ב.ל 2019'!Z62</f>
        <v>9221300</v>
      </c>
      <c r="F6" s="227"/>
      <c r="G6" s="227"/>
      <c r="H6" s="227"/>
      <c r="I6" s="227"/>
      <c r="J6" s="229"/>
      <c r="K6" s="229"/>
      <c r="L6" s="229"/>
      <c r="M6" s="229"/>
      <c r="N6" s="227"/>
      <c r="O6" s="230">
        <f t="shared" si="0"/>
        <v>9221300</v>
      </c>
      <c r="Q6" s="224"/>
      <c r="R6" s="224"/>
      <c r="S6" s="224"/>
      <c r="T6" s="224"/>
      <c r="U6" s="224"/>
      <c r="V6" s="233"/>
    </row>
    <row r="7" spans="2:22" s="231" customFormat="1" ht="32.15" customHeight="1">
      <c r="B7" s="591" t="s">
        <v>247</v>
      </c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7"/>
      <c r="O7" s="230">
        <f>SUM(C7:N7)</f>
        <v>0</v>
      </c>
      <c r="Q7" s="224"/>
      <c r="R7" s="224"/>
      <c r="S7" s="224"/>
      <c r="T7" s="224"/>
      <c r="U7" s="224"/>
    </row>
    <row r="8" spans="2:22" s="231" customFormat="1" ht="32.15" customHeight="1">
      <c r="B8" s="226" t="s">
        <v>483</v>
      </c>
      <c r="C8" s="227"/>
      <c r="D8" s="227"/>
      <c r="E8" s="227">
        <f>'תקציב אגף חינוך 2019'!Z24</f>
        <v>78000</v>
      </c>
      <c r="F8" s="227"/>
      <c r="G8" s="227"/>
      <c r="H8" s="227"/>
      <c r="I8" s="227">
        <f>'תקציב אגף חינוך 2019'!Z28</f>
        <v>4800000</v>
      </c>
      <c r="J8" s="229"/>
      <c r="K8" s="229"/>
      <c r="L8" s="229"/>
      <c r="M8" s="229"/>
      <c r="N8" s="227"/>
      <c r="O8" s="230">
        <f t="shared" si="0"/>
        <v>4878000</v>
      </c>
      <c r="Q8" s="224"/>
      <c r="R8" s="224"/>
      <c r="S8" s="224"/>
      <c r="T8" s="224"/>
      <c r="U8" s="224"/>
      <c r="V8" s="233"/>
    </row>
    <row r="9" spans="2:22" s="231" customFormat="1" ht="32.15" customHeight="1">
      <c r="B9" s="226" t="s">
        <v>1048</v>
      </c>
      <c r="C9" s="227"/>
      <c r="D9" s="227"/>
      <c r="E9" s="227"/>
      <c r="F9" s="227"/>
      <c r="G9" s="227"/>
      <c r="H9" s="227"/>
      <c r="I9" s="227"/>
      <c r="J9" s="227"/>
      <c r="K9" s="227"/>
      <c r="L9" s="227"/>
      <c r="M9" s="227"/>
      <c r="N9" s="227"/>
      <c r="O9" s="230">
        <f>SUM(C9:N9)</f>
        <v>0</v>
      </c>
      <c r="Q9" s="224"/>
      <c r="R9" s="224"/>
      <c r="S9" s="224"/>
      <c r="T9" s="224"/>
      <c r="U9" s="224"/>
    </row>
    <row r="10" spans="2:22" s="231" customFormat="1" ht="32.15" customHeight="1">
      <c r="B10" s="226" t="s">
        <v>362</v>
      </c>
      <c r="C10" s="227"/>
      <c r="D10" s="227">
        <f>'תקציב אגף שאיפה  2019'!Z23+'תקציב אגף שאיפה  2019'!Z35</f>
        <v>1140000</v>
      </c>
      <c r="E10" s="227"/>
      <c r="F10" s="227"/>
      <c r="G10" s="227"/>
      <c r="H10" s="227"/>
      <c r="I10" s="227"/>
      <c r="J10" s="229"/>
      <c r="K10" s="229"/>
      <c r="L10" s="229"/>
      <c r="M10" s="229"/>
      <c r="N10" s="227">
        <f>'תקציב אגף שאיפה  2019'!Z13</f>
        <v>16350000</v>
      </c>
      <c r="O10" s="230">
        <f t="shared" si="0"/>
        <v>17490000</v>
      </c>
      <c r="Q10" s="224"/>
      <c r="R10" s="224"/>
      <c r="S10" s="224"/>
      <c r="T10" s="224"/>
      <c r="U10" s="224"/>
      <c r="V10" s="233"/>
    </row>
    <row r="11" spans="2:22" s="231" customFormat="1" ht="32.15" customHeight="1">
      <c r="B11" s="226" t="s">
        <v>371</v>
      </c>
      <c r="C11" s="227"/>
      <c r="D11" s="227"/>
      <c r="E11" s="227"/>
      <c r="F11" s="227"/>
      <c r="G11" s="227"/>
      <c r="H11" s="227"/>
      <c r="I11" s="227"/>
      <c r="J11" s="229"/>
      <c r="K11" s="229"/>
      <c r="L11" s="229">
        <f>'תקציב רשות החופים 2019'!Z22+'תקציב רשות החופים 2019'!Z23+'תקציב רשות החופים 2019'!Z24</f>
        <v>196159</v>
      </c>
      <c r="M11" s="229"/>
      <c r="N11" s="227"/>
      <c r="O11" s="230">
        <f t="shared" si="0"/>
        <v>196159</v>
      </c>
      <c r="Q11" s="224"/>
      <c r="R11" s="224"/>
      <c r="S11" s="224"/>
      <c r="T11" s="224"/>
      <c r="U11" s="224"/>
      <c r="V11" s="232"/>
    </row>
    <row r="12" spans="2:22" s="231" customFormat="1" ht="32.15" customHeight="1">
      <c r="B12" s="226" t="s">
        <v>481</v>
      </c>
      <c r="C12" s="227"/>
      <c r="D12" s="227"/>
      <c r="E12" s="227"/>
      <c r="F12" s="227"/>
      <c r="G12" s="227">
        <f>'תקציב החברה לתירות 2019'!Z10</f>
        <v>4800000</v>
      </c>
      <c r="H12" s="227"/>
      <c r="I12" s="227"/>
      <c r="J12" s="229"/>
      <c r="K12" s="229"/>
      <c r="L12" s="229"/>
      <c r="M12" s="229"/>
      <c r="N12" s="227"/>
      <c r="O12" s="230">
        <f>SUM(C12:N12)</f>
        <v>4800000</v>
      </c>
      <c r="Q12" s="224"/>
      <c r="R12" s="224"/>
      <c r="S12" s="224"/>
      <c r="T12" s="224"/>
      <c r="U12" s="224"/>
    </row>
    <row r="13" spans="2:22" s="231" customFormat="1" ht="32.15" customHeight="1">
      <c r="B13" s="226" t="s">
        <v>1091</v>
      </c>
      <c r="C13" s="227"/>
      <c r="D13" s="227"/>
      <c r="E13" s="227"/>
      <c r="F13" s="227"/>
      <c r="G13" s="227"/>
      <c r="H13" s="227">
        <f>'תקציב אגף תקשוב 2019'!Z13</f>
        <v>3000000</v>
      </c>
      <c r="I13" s="227"/>
      <c r="J13" s="229"/>
      <c r="K13" s="229"/>
      <c r="L13" s="229"/>
      <c r="M13" s="229"/>
      <c r="N13" s="227"/>
      <c r="O13" s="230">
        <f t="shared" si="0"/>
        <v>3000000</v>
      </c>
      <c r="Q13" s="224"/>
      <c r="R13" s="224"/>
      <c r="S13" s="224"/>
      <c r="T13" s="224"/>
      <c r="U13" s="224"/>
    </row>
    <row r="14" spans="2:22" s="231" customFormat="1" ht="32.15" customHeight="1">
      <c r="B14" s="226" t="s">
        <v>1093</v>
      </c>
      <c r="C14" s="227"/>
      <c r="D14" s="227"/>
      <c r="E14" s="227"/>
      <c r="F14" s="227"/>
      <c r="G14" s="227"/>
      <c r="H14" s="227"/>
      <c r="I14" s="227"/>
      <c r="J14" s="229"/>
      <c r="K14" s="229"/>
      <c r="L14" s="229"/>
      <c r="M14" s="229"/>
      <c r="N14" s="227"/>
      <c r="O14" s="230">
        <f>SUM(C14:N14)</f>
        <v>0</v>
      </c>
      <c r="Q14" s="224"/>
      <c r="R14" s="224"/>
      <c r="S14" s="224"/>
      <c r="T14" s="224"/>
      <c r="U14" s="224"/>
    </row>
    <row r="15" spans="2:22" s="231" customFormat="1" ht="32.15" customHeight="1">
      <c r="B15" s="226" t="s">
        <v>506</v>
      </c>
      <c r="C15" s="227"/>
      <c r="D15" s="227"/>
      <c r="E15" s="227"/>
      <c r="F15" s="227"/>
      <c r="G15" s="227"/>
      <c r="H15" s="227"/>
      <c r="I15" s="227"/>
      <c r="J15" s="227"/>
      <c r="K15" s="227"/>
      <c r="L15" s="227"/>
      <c r="M15" s="227"/>
      <c r="N15" s="227"/>
      <c r="O15" s="230">
        <f t="shared" si="0"/>
        <v>0</v>
      </c>
      <c r="Q15" s="224"/>
      <c r="R15" s="224"/>
      <c r="S15" s="224"/>
      <c r="T15" s="224"/>
      <c r="U15" s="224"/>
    </row>
    <row r="16" spans="2:22" s="231" customFormat="1" ht="32.15" customHeight="1">
      <c r="B16" s="234" t="s">
        <v>160</v>
      </c>
      <c r="C16" s="230">
        <f t="shared" ref="C16:O16" si="1">SUM(C4:C15)</f>
        <v>66237613</v>
      </c>
      <c r="D16" s="230">
        <f t="shared" si="1"/>
        <v>1140000</v>
      </c>
      <c r="E16" s="230">
        <f t="shared" si="1"/>
        <v>9299300</v>
      </c>
      <c r="F16" s="230">
        <f t="shared" si="1"/>
        <v>0</v>
      </c>
      <c r="G16" s="230">
        <f t="shared" si="1"/>
        <v>4800000</v>
      </c>
      <c r="H16" s="230">
        <f t="shared" si="1"/>
        <v>3000000</v>
      </c>
      <c r="I16" s="230">
        <f t="shared" si="1"/>
        <v>4800000</v>
      </c>
      <c r="J16" s="236">
        <f t="shared" si="1"/>
        <v>1579577</v>
      </c>
      <c r="K16" s="236">
        <f t="shared" si="1"/>
        <v>7275000</v>
      </c>
      <c r="L16" s="230">
        <f t="shared" si="1"/>
        <v>196159</v>
      </c>
      <c r="M16" s="230">
        <f t="shared" si="1"/>
        <v>5967540</v>
      </c>
      <c r="N16" s="230">
        <f t="shared" si="1"/>
        <v>16350000</v>
      </c>
      <c r="O16" s="230">
        <f t="shared" si="1"/>
        <v>120645189</v>
      </c>
      <c r="Q16" s="224"/>
      <c r="R16" s="224"/>
      <c r="S16" s="224"/>
      <c r="T16" s="224"/>
      <c r="U16" s="224"/>
    </row>
    <row r="17" spans="2:22" s="148" customFormat="1">
      <c r="B17" s="146"/>
      <c r="O17" s="146"/>
      <c r="P17" s="146"/>
      <c r="Q17" s="224"/>
      <c r="R17" s="224"/>
      <c r="S17" s="224"/>
      <c r="T17" s="224"/>
      <c r="U17" s="224"/>
      <c r="V17" s="146"/>
    </row>
    <row r="18" spans="2:22" s="148" customFormat="1">
      <c r="O18" s="146"/>
      <c r="P18" s="146"/>
      <c r="Q18" s="224"/>
      <c r="R18" s="224"/>
      <c r="S18" s="224"/>
      <c r="T18" s="224"/>
      <c r="U18" s="224"/>
      <c r="V18" s="146"/>
    </row>
    <row r="19" spans="2:22" s="148" customFormat="1" ht="15.75" hidden="1" customHeight="1">
      <c r="B19" s="146"/>
      <c r="J19" s="148" t="e">
        <f>J16+E16+#REF!+Q16+H16+F16</f>
        <v>#REF!</v>
      </c>
      <c r="K19" s="148">
        <f>K16+F16+D16+C16+I16+G16</f>
        <v>84252613</v>
      </c>
      <c r="O19" s="146"/>
      <c r="P19" s="146"/>
      <c r="Q19" s="224"/>
      <c r="R19" s="224"/>
      <c r="S19" s="224"/>
      <c r="T19" s="224"/>
      <c r="U19" s="224"/>
      <c r="V19" s="146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zoomScaleNormal="100" workbookViewId="0">
      <selection activeCell="T20" sqref="T20"/>
    </sheetView>
  </sheetViews>
  <sheetFormatPr defaultColWidth="9.1796875" defaultRowHeight="12.5"/>
  <cols>
    <col min="1" max="16384" width="9.1796875" style="330"/>
  </cols>
  <sheetData/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4"/>
  <sheetViews>
    <sheetView rightToLeft="1" topLeftCell="A4" workbookViewId="0">
      <selection activeCell="T20" sqref="T20"/>
    </sheetView>
  </sheetViews>
  <sheetFormatPr defaultColWidth="9.1796875" defaultRowHeight="14"/>
  <cols>
    <col min="1" max="3" width="4.1796875" style="353" customWidth="1"/>
    <col min="4" max="4" width="24.1796875" style="353" customWidth="1"/>
    <col min="5" max="5" width="34.54296875" style="353" customWidth="1"/>
    <col min="6" max="6" width="5.7265625" style="353" customWidth="1"/>
    <col min="7" max="7" width="5.54296875" style="353" customWidth="1"/>
    <col min="8" max="9" width="12.1796875" style="353" customWidth="1"/>
    <col min="10" max="10" width="7.81640625" style="353" customWidth="1"/>
    <col min="11" max="16384" width="9.1796875" style="353"/>
  </cols>
  <sheetData>
    <row r="3" spans="1:17" ht="20.5">
      <c r="A3" s="352"/>
      <c r="C3" s="354" t="s">
        <v>1174</v>
      </c>
      <c r="D3" s="352"/>
      <c r="E3" s="352"/>
      <c r="F3" s="352"/>
      <c r="G3" s="352"/>
      <c r="H3" s="352"/>
      <c r="I3" s="352"/>
      <c r="J3" s="352"/>
      <c r="K3" s="352"/>
      <c r="L3" s="352"/>
    </row>
    <row r="4" spans="1:17" ht="21" thickBot="1">
      <c r="A4" s="352"/>
      <c r="C4" s="354"/>
      <c r="D4" s="352"/>
      <c r="E4" s="352"/>
      <c r="F4" s="352"/>
      <c r="G4" s="352"/>
      <c r="H4" s="352"/>
      <c r="I4" s="352"/>
      <c r="J4" s="352"/>
      <c r="K4" s="352"/>
      <c r="L4" s="352"/>
    </row>
    <row r="5" spans="1:17" ht="16" thickBot="1">
      <c r="A5" s="352"/>
      <c r="B5" s="355" t="s">
        <v>344</v>
      </c>
      <c r="C5" s="352" t="s">
        <v>1477</v>
      </c>
      <c r="D5" s="352"/>
      <c r="E5" s="352"/>
      <c r="F5" s="352"/>
      <c r="H5" s="356">
        <f>'תקציב הנדסה 2019'!U104</f>
        <v>42416580</v>
      </c>
      <c r="I5" s="352"/>
      <c r="J5" s="352"/>
      <c r="K5" s="352"/>
      <c r="L5" s="352"/>
    </row>
    <row r="6" spans="1:17" ht="21" thickBot="1">
      <c r="A6" s="352"/>
      <c r="C6" s="354"/>
      <c r="D6" s="352"/>
      <c r="E6" s="352"/>
      <c r="F6" s="352"/>
      <c r="H6" s="352"/>
      <c r="I6" s="352"/>
      <c r="J6" s="352"/>
      <c r="K6" s="352"/>
      <c r="L6" s="352"/>
    </row>
    <row r="7" spans="1:17" ht="16" thickBot="1">
      <c r="B7" s="355" t="s">
        <v>344</v>
      </c>
      <c r="C7" s="352" t="s">
        <v>546</v>
      </c>
      <c r="D7" s="352"/>
      <c r="F7" s="352"/>
      <c r="H7" s="356">
        <f>'תקציב הנדסה 2019'!A104</f>
        <v>98</v>
      </c>
      <c r="I7" s="352"/>
      <c r="J7" s="352"/>
      <c r="K7" s="352"/>
      <c r="L7" s="352"/>
      <c r="M7" s="352"/>
      <c r="N7" s="352"/>
      <c r="O7" s="352"/>
      <c r="P7" s="352"/>
      <c r="Q7" s="352"/>
    </row>
    <row r="8" spans="1:17" ht="15.5">
      <c r="B8" s="355"/>
      <c r="C8" s="352"/>
      <c r="D8" s="352"/>
      <c r="E8" s="352"/>
      <c r="F8" s="352"/>
      <c r="H8" s="352"/>
      <c r="I8" s="352"/>
      <c r="J8" s="352"/>
      <c r="K8" s="352"/>
      <c r="L8" s="352"/>
      <c r="M8" s="352"/>
      <c r="N8" s="352"/>
      <c r="O8" s="352"/>
      <c r="P8" s="352"/>
      <c r="Q8" s="352"/>
    </row>
    <row r="9" spans="1:17" ht="15.5">
      <c r="B9" s="355" t="s">
        <v>344</v>
      </c>
      <c r="C9" s="352" t="s">
        <v>547</v>
      </c>
      <c r="D9" s="352"/>
      <c r="E9" s="352"/>
      <c r="F9" s="352"/>
      <c r="G9" s="352"/>
      <c r="H9" s="352"/>
      <c r="I9" s="352"/>
      <c r="J9" s="352"/>
      <c r="K9" s="352"/>
      <c r="L9" s="352"/>
    </row>
    <row r="10" spans="1:17" ht="16" thickBot="1">
      <c r="B10" s="352"/>
      <c r="C10" s="352"/>
      <c r="D10" s="352"/>
      <c r="E10" s="352"/>
      <c r="F10" s="352"/>
      <c r="G10" s="352"/>
      <c r="H10" s="352"/>
      <c r="I10" s="352"/>
      <c r="J10" s="352"/>
      <c r="K10" s="352"/>
      <c r="L10" s="352"/>
      <c r="M10" s="352"/>
      <c r="N10" s="352"/>
      <c r="O10" s="352"/>
      <c r="P10" s="352"/>
      <c r="Q10" s="352"/>
    </row>
    <row r="11" spans="1:17" ht="15.5">
      <c r="C11" s="725" t="s">
        <v>548</v>
      </c>
      <c r="D11" s="726"/>
      <c r="E11" s="731" t="s">
        <v>549</v>
      </c>
      <c r="F11" s="732"/>
      <c r="G11" s="733"/>
      <c r="H11" s="400" t="s">
        <v>551</v>
      </c>
      <c r="I11" s="352"/>
      <c r="J11" s="352"/>
      <c r="K11" s="352"/>
      <c r="L11" s="352"/>
      <c r="M11" s="352"/>
      <c r="N11" s="352"/>
      <c r="O11" s="352"/>
      <c r="P11" s="352"/>
      <c r="Q11" s="352"/>
    </row>
    <row r="12" spans="1:17" ht="15.5">
      <c r="C12" s="727" t="s">
        <v>13</v>
      </c>
      <c r="D12" s="728"/>
      <c r="E12" s="719">
        <f>'תקציב הנדסה 2019'!V104/1000</f>
        <v>39542.002999999997</v>
      </c>
      <c r="F12" s="720"/>
      <c r="G12" s="721"/>
      <c r="H12" s="401">
        <f>E12/$E$14</f>
        <v>0.93222987331840523</v>
      </c>
      <c r="I12" s="352"/>
      <c r="J12" s="352"/>
      <c r="K12" s="352"/>
      <c r="L12" s="352"/>
      <c r="M12" s="352"/>
      <c r="N12" s="352"/>
      <c r="O12" s="352"/>
      <c r="P12" s="352"/>
      <c r="Q12" s="352"/>
    </row>
    <row r="13" spans="1:17" ht="15.5">
      <c r="C13" s="727" t="s">
        <v>140</v>
      </c>
      <c r="D13" s="728"/>
      <c r="E13" s="719">
        <f>'תקציב הנדסה 2019'!Z104/1000</f>
        <v>2874.5770000000002</v>
      </c>
      <c r="F13" s="720"/>
      <c r="G13" s="721"/>
      <c r="H13" s="401">
        <f>E13/$E$14</f>
        <v>6.7770126681594808E-2</v>
      </c>
      <c r="I13" s="352"/>
      <c r="J13" s="352"/>
      <c r="K13" s="352"/>
      <c r="L13" s="352"/>
      <c r="M13" s="352"/>
      <c r="N13" s="352"/>
      <c r="O13" s="352"/>
      <c r="P13" s="352"/>
      <c r="Q13" s="352"/>
    </row>
    <row r="14" spans="1:17" ht="16" thickBot="1">
      <c r="C14" s="729" t="s">
        <v>160</v>
      </c>
      <c r="D14" s="730"/>
      <c r="E14" s="722">
        <f>SUM(E12:E13)</f>
        <v>42416.579999999994</v>
      </c>
      <c r="F14" s="723"/>
      <c r="G14" s="724"/>
      <c r="H14" s="688">
        <f>E14/$E$14</f>
        <v>1</v>
      </c>
      <c r="I14" s="352"/>
      <c r="J14" s="352"/>
      <c r="K14" s="352"/>
      <c r="L14" s="352"/>
      <c r="M14" s="352"/>
      <c r="N14" s="352"/>
      <c r="O14" s="352"/>
      <c r="P14" s="352"/>
      <c r="Q14" s="352"/>
    </row>
    <row r="15" spans="1:17" ht="15.5">
      <c r="B15" s="355"/>
      <c r="C15" s="352"/>
      <c r="D15" s="352"/>
      <c r="E15" s="352"/>
      <c r="F15" s="352"/>
      <c r="G15" s="352"/>
      <c r="H15" s="352"/>
      <c r="I15" s="352"/>
      <c r="J15" s="352"/>
      <c r="K15" s="352"/>
      <c r="L15" s="352"/>
      <c r="M15" s="352"/>
      <c r="N15" s="352"/>
      <c r="O15" s="352"/>
      <c r="P15" s="352"/>
      <c r="Q15" s="352"/>
    </row>
    <row r="16" spans="1:17" s="628" customFormat="1" ht="15.5">
      <c r="C16" s="630" t="s">
        <v>344</v>
      </c>
      <c r="D16" s="627" t="s">
        <v>1478</v>
      </c>
      <c r="E16" s="627"/>
      <c r="F16" s="627"/>
      <c r="G16" s="627"/>
      <c r="H16" s="627"/>
      <c r="I16" s="627"/>
      <c r="J16" s="627"/>
      <c r="K16" s="627"/>
      <c r="L16" s="627"/>
      <c r="M16" s="627"/>
      <c r="N16" s="627"/>
      <c r="O16" s="627"/>
      <c r="P16" s="627"/>
      <c r="Q16" s="627"/>
    </row>
    <row r="17" spans="1:17" s="628" customFormat="1" ht="15.5">
      <c r="C17" s="630"/>
      <c r="D17" s="627"/>
      <c r="E17" s="627"/>
      <c r="F17" s="627"/>
      <c r="G17" s="627"/>
      <c r="H17" s="627"/>
      <c r="I17" s="627"/>
      <c r="J17" s="627"/>
      <c r="K17" s="627"/>
      <c r="L17" s="627"/>
      <c r="M17" s="627"/>
      <c r="N17" s="627"/>
      <c r="O17" s="627"/>
      <c r="P17" s="627"/>
      <c r="Q17" s="627"/>
    </row>
    <row r="18" spans="1:17" s="628" customFormat="1" ht="15.5">
      <c r="A18" s="627"/>
      <c r="B18" s="627"/>
      <c r="C18" s="627"/>
      <c r="D18" s="627" t="s">
        <v>1285</v>
      </c>
      <c r="E18" s="627"/>
      <c r="F18" s="627"/>
      <c r="G18" s="627"/>
      <c r="H18" s="627"/>
      <c r="I18" s="627"/>
      <c r="J18" s="627"/>
      <c r="K18" s="627"/>
      <c r="L18" s="627"/>
      <c r="M18" s="627"/>
      <c r="N18" s="627"/>
      <c r="O18" s="627"/>
      <c r="P18" s="627"/>
      <c r="Q18" s="627"/>
    </row>
    <row r="19" spans="1:17" s="628" customFormat="1" ht="15.5">
      <c r="A19" s="627"/>
      <c r="B19" s="627"/>
      <c r="C19" s="627"/>
      <c r="D19" s="627"/>
      <c r="E19" s="627"/>
      <c r="F19" s="627"/>
      <c r="G19" s="627"/>
      <c r="H19" s="627"/>
      <c r="I19" s="627"/>
      <c r="J19" s="627"/>
      <c r="K19" s="627"/>
      <c r="L19" s="627"/>
      <c r="M19" s="627"/>
      <c r="N19" s="627"/>
      <c r="O19" s="627"/>
      <c r="P19" s="627"/>
      <c r="Q19" s="627"/>
    </row>
    <row r="20" spans="1:17" s="628" customFormat="1" ht="15.5">
      <c r="A20" s="627"/>
      <c r="B20" s="627"/>
      <c r="C20" s="627"/>
      <c r="D20" s="627" t="s">
        <v>1254</v>
      </c>
      <c r="E20" s="627"/>
      <c r="F20" s="627"/>
      <c r="G20" s="627"/>
      <c r="H20" s="627"/>
      <c r="I20" s="627"/>
      <c r="J20" s="627"/>
      <c r="K20" s="627"/>
      <c r="L20" s="627"/>
      <c r="M20" s="627"/>
      <c r="N20" s="627"/>
      <c r="O20" s="627"/>
      <c r="P20" s="627"/>
      <c r="Q20" s="627"/>
    </row>
    <row r="21" spans="1:17" s="628" customFormat="1" ht="15.5">
      <c r="A21" s="627"/>
      <c r="B21" s="627"/>
      <c r="C21" s="627"/>
      <c r="D21" s="627"/>
      <c r="E21" s="627"/>
      <c r="F21" s="627"/>
      <c r="G21" s="627"/>
      <c r="H21" s="627"/>
      <c r="I21" s="627"/>
      <c r="J21" s="627"/>
      <c r="K21" s="627"/>
      <c r="L21" s="627"/>
      <c r="M21" s="627"/>
      <c r="N21" s="627"/>
      <c r="O21" s="627"/>
      <c r="P21" s="627"/>
      <c r="Q21" s="627"/>
    </row>
    <row r="22" spans="1:17" s="628" customFormat="1" ht="15.5">
      <c r="A22" s="627"/>
      <c r="B22" s="627"/>
      <c r="C22" s="627"/>
      <c r="D22" s="627" t="s">
        <v>1250</v>
      </c>
      <c r="E22" s="627"/>
      <c r="F22" s="627"/>
      <c r="G22" s="627"/>
      <c r="H22" s="627"/>
      <c r="I22" s="627"/>
      <c r="J22" s="627"/>
      <c r="K22" s="627"/>
      <c r="L22" s="627"/>
      <c r="M22" s="627"/>
      <c r="N22" s="627"/>
      <c r="O22" s="627"/>
      <c r="P22" s="627"/>
      <c r="Q22" s="627"/>
    </row>
    <row r="23" spans="1:17" s="628" customFormat="1" ht="15.5">
      <c r="A23" s="627"/>
      <c r="B23" s="627"/>
      <c r="C23" s="627"/>
      <c r="D23" s="627"/>
      <c r="E23" s="627"/>
      <c r="F23" s="627"/>
      <c r="G23" s="627"/>
      <c r="H23" s="627"/>
      <c r="I23" s="627"/>
      <c r="J23" s="627"/>
      <c r="K23" s="627"/>
      <c r="L23" s="627"/>
      <c r="M23" s="627"/>
      <c r="N23" s="627"/>
      <c r="O23" s="627"/>
      <c r="P23" s="627"/>
      <c r="Q23" s="627"/>
    </row>
    <row r="24" spans="1:17" s="628" customFormat="1" ht="15.5">
      <c r="A24" s="627"/>
      <c r="B24" s="627"/>
      <c r="C24" s="627"/>
      <c r="D24" s="627" t="s">
        <v>1251</v>
      </c>
      <c r="E24" s="627"/>
      <c r="F24" s="627"/>
      <c r="G24" s="627"/>
      <c r="H24" s="627"/>
      <c r="I24" s="627"/>
      <c r="J24" s="627"/>
      <c r="K24" s="627"/>
      <c r="L24" s="627"/>
      <c r="M24" s="627"/>
      <c r="N24" s="627"/>
      <c r="O24" s="627"/>
      <c r="P24" s="627"/>
      <c r="Q24" s="627"/>
    </row>
    <row r="25" spans="1:17" ht="15.5">
      <c r="A25" s="363"/>
      <c r="B25" s="352"/>
      <c r="C25" s="352"/>
      <c r="D25" s="352"/>
      <c r="E25" s="352"/>
      <c r="F25" s="352"/>
      <c r="G25" s="352"/>
      <c r="H25" s="352"/>
      <c r="I25" s="352"/>
      <c r="J25" s="352"/>
      <c r="K25" s="352"/>
      <c r="L25" s="352"/>
      <c r="M25" s="352"/>
      <c r="N25" s="352"/>
      <c r="O25" s="352"/>
      <c r="P25" s="352"/>
      <c r="Q25" s="352"/>
    </row>
    <row r="26" spans="1:17" s="628" customFormat="1" ht="15.5">
      <c r="A26" s="627"/>
      <c r="B26" s="627"/>
      <c r="C26" s="627"/>
      <c r="D26" s="627" t="s">
        <v>1480</v>
      </c>
      <c r="E26" s="627"/>
      <c r="F26" s="627"/>
      <c r="G26" s="627"/>
      <c r="H26" s="627"/>
      <c r="I26" s="627"/>
      <c r="J26" s="627"/>
      <c r="K26" s="627"/>
      <c r="L26" s="627"/>
      <c r="M26" s="627"/>
      <c r="N26" s="627"/>
      <c r="O26" s="627"/>
      <c r="P26" s="627"/>
      <c r="Q26" s="627"/>
    </row>
    <row r="27" spans="1:17" ht="15.5">
      <c r="D27" s="684" t="s">
        <v>1479</v>
      </c>
      <c r="E27" s="352"/>
      <c r="F27" s="352"/>
      <c r="G27" s="352"/>
      <c r="H27" s="352"/>
      <c r="I27" s="352"/>
      <c r="J27" s="352"/>
      <c r="K27" s="352"/>
      <c r="L27" s="352"/>
      <c r="M27" s="352"/>
      <c r="N27" s="352"/>
      <c r="O27" s="352"/>
      <c r="P27" s="352"/>
      <c r="Q27" s="352"/>
    </row>
    <row r="28" spans="1:17" ht="15.5">
      <c r="D28" s="684"/>
      <c r="E28" s="352"/>
      <c r="F28" s="352"/>
      <c r="G28" s="352"/>
      <c r="H28" s="352"/>
      <c r="I28" s="352"/>
      <c r="J28" s="352"/>
      <c r="K28" s="352"/>
      <c r="L28" s="352"/>
      <c r="M28" s="352"/>
      <c r="N28" s="352"/>
      <c r="O28" s="352"/>
      <c r="P28" s="352"/>
      <c r="Q28" s="352"/>
    </row>
    <row r="29" spans="1:17" s="628" customFormat="1" ht="15.5">
      <c r="A29" s="627"/>
      <c r="B29" s="627"/>
      <c r="C29" s="627"/>
      <c r="D29" s="627" t="s">
        <v>1482</v>
      </c>
      <c r="E29" s="627"/>
      <c r="F29" s="627"/>
      <c r="G29" s="627"/>
      <c r="H29" s="627"/>
      <c r="I29" s="627"/>
      <c r="J29" s="627"/>
      <c r="K29" s="627"/>
      <c r="L29" s="627"/>
      <c r="M29" s="627"/>
      <c r="N29" s="627"/>
      <c r="O29" s="627"/>
      <c r="P29" s="627"/>
      <c r="Q29" s="627"/>
    </row>
    <row r="30" spans="1:17" s="628" customFormat="1" ht="15.5">
      <c r="A30" s="627"/>
      <c r="B30" s="627"/>
      <c r="C30" s="627"/>
      <c r="D30" s="684" t="s">
        <v>1481</v>
      </c>
      <c r="E30" s="627"/>
      <c r="F30" s="627"/>
      <c r="G30" s="627"/>
      <c r="H30" s="627"/>
      <c r="I30" s="627"/>
      <c r="J30" s="627"/>
      <c r="K30" s="627"/>
      <c r="L30" s="627"/>
      <c r="M30" s="627"/>
      <c r="N30" s="627"/>
      <c r="O30" s="627"/>
      <c r="P30" s="627"/>
      <c r="Q30" s="627"/>
    </row>
    <row r="31" spans="1:17" s="628" customFormat="1" ht="15.5">
      <c r="A31" s="627"/>
      <c r="B31" s="627"/>
      <c r="C31" s="627"/>
      <c r="D31" s="684"/>
      <c r="E31" s="627"/>
      <c r="F31" s="627"/>
      <c r="G31" s="627"/>
      <c r="H31" s="627"/>
      <c r="I31" s="627"/>
      <c r="J31" s="627"/>
      <c r="K31" s="627"/>
      <c r="L31" s="627"/>
      <c r="M31" s="627"/>
      <c r="N31" s="627"/>
      <c r="O31" s="627"/>
      <c r="P31" s="627"/>
      <c r="Q31" s="627"/>
    </row>
    <row r="32" spans="1:17" s="628" customFormat="1" ht="15.5">
      <c r="A32" s="627"/>
      <c r="B32" s="627"/>
      <c r="C32" s="627"/>
      <c r="D32" s="627" t="s">
        <v>1252</v>
      </c>
      <c r="E32" s="627"/>
      <c r="F32" s="627"/>
      <c r="G32" s="627"/>
      <c r="H32" s="627"/>
      <c r="I32" s="627"/>
      <c r="J32" s="627"/>
      <c r="K32" s="627"/>
      <c r="L32" s="627"/>
      <c r="M32" s="627"/>
      <c r="N32" s="627"/>
      <c r="O32" s="627"/>
      <c r="P32" s="627"/>
      <c r="Q32" s="627"/>
    </row>
    <row r="34" spans="3:17" s="685" customFormat="1" ht="15.5">
      <c r="C34" s="686" t="s">
        <v>344</v>
      </c>
      <c r="D34" s="687" t="s">
        <v>1483</v>
      </c>
      <c r="E34" s="687"/>
      <c r="F34" s="687"/>
      <c r="G34" s="687"/>
      <c r="H34" s="687"/>
      <c r="I34" s="687"/>
      <c r="J34" s="687"/>
      <c r="K34" s="687"/>
      <c r="L34" s="687"/>
      <c r="M34" s="687"/>
      <c r="N34" s="687"/>
      <c r="O34" s="687"/>
      <c r="P34" s="687"/>
      <c r="Q34" s="687"/>
    </row>
  </sheetData>
  <mergeCells count="8">
    <mergeCell ref="E12:G12"/>
    <mergeCell ref="E13:G13"/>
    <mergeCell ref="E14:G14"/>
    <mergeCell ref="C11:D11"/>
    <mergeCell ref="C12:D12"/>
    <mergeCell ref="C13:D13"/>
    <mergeCell ref="C14:D14"/>
    <mergeCell ref="E11:G11"/>
  </mergeCells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5"/>
  <sheetViews>
    <sheetView rightToLeft="1" topLeftCell="A16" workbookViewId="0">
      <selection activeCell="T20" sqref="T20"/>
    </sheetView>
  </sheetViews>
  <sheetFormatPr defaultColWidth="9.1796875" defaultRowHeight="14"/>
  <cols>
    <col min="1" max="3" width="4.1796875" style="353" customWidth="1"/>
    <col min="4" max="4" width="31.453125" style="353" customWidth="1"/>
    <col min="5" max="5" width="34.54296875" style="353" customWidth="1"/>
    <col min="6" max="6" width="5.7265625" style="353" customWidth="1"/>
    <col min="7" max="7" width="5.54296875" style="353" customWidth="1"/>
    <col min="8" max="9" width="12.1796875" style="353" customWidth="1"/>
    <col min="10" max="10" width="7.81640625" style="353" customWidth="1"/>
    <col min="11" max="16384" width="9.1796875" style="353"/>
  </cols>
  <sheetData>
    <row r="3" spans="1:17" ht="20.5">
      <c r="A3" s="352"/>
      <c r="C3" s="354" t="s">
        <v>1174</v>
      </c>
      <c r="D3" s="352"/>
      <c r="E3" s="352"/>
      <c r="F3" s="352"/>
      <c r="G3" s="352"/>
      <c r="H3" s="352"/>
      <c r="I3" s="352"/>
      <c r="J3" s="352"/>
      <c r="K3" s="352"/>
      <c r="L3" s="352"/>
    </row>
    <row r="4" spans="1:17" ht="20.5">
      <c r="A4" s="352"/>
      <c r="C4" s="354"/>
      <c r="D4" s="352"/>
      <c r="E4" s="352"/>
      <c r="F4" s="352"/>
      <c r="G4" s="352"/>
      <c r="H4" s="352"/>
      <c r="I4" s="352"/>
      <c r="J4" s="352"/>
      <c r="K4" s="352"/>
      <c r="L4" s="352"/>
    </row>
    <row r="5" spans="1:17" ht="15.5">
      <c r="B5" s="355" t="s">
        <v>344</v>
      </c>
      <c r="C5" s="352" t="s">
        <v>1200</v>
      </c>
      <c r="D5" s="352"/>
      <c r="E5" s="352"/>
      <c r="F5" s="352"/>
      <c r="H5" s="361"/>
      <c r="I5" s="352"/>
      <c r="J5" s="352"/>
      <c r="K5" s="352"/>
      <c r="L5" s="352"/>
      <c r="M5" s="352"/>
      <c r="N5" s="352"/>
      <c r="O5" s="352"/>
      <c r="P5" s="352"/>
      <c r="Q5" s="352"/>
    </row>
    <row r="6" spans="1:17" ht="16" thickBot="1">
      <c r="C6" s="352"/>
      <c r="D6" s="352"/>
      <c r="E6" s="352"/>
      <c r="F6" s="352"/>
      <c r="H6" s="352"/>
      <c r="I6" s="352"/>
      <c r="J6" s="352"/>
      <c r="K6" s="352"/>
      <c r="L6" s="352"/>
    </row>
    <row r="7" spans="1:17" ht="15.5">
      <c r="D7" s="365" t="s">
        <v>552</v>
      </c>
      <c r="E7" s="357" t="s">
        <v>549</v>
      </c>
      <c r="F7" s="358"/>
      <c r="G7" s="352"/>
      <c r="H7" s="352"/>
      <c r="I7" s="352"/>
      <c r="J7" s="352"/>
      <c r="K7" s="352"/>
      <c r="L7" s="352"/>
      <c r="M7" s="352"/>
      <c r="N7" s="352"/>
      <c r="O7" s="352"/>
      <c r="P7" s="352"/>
      <c r="Q7" s="352"/>
    </row>
    <row r="8" spans="1:17" ht="15.5">
      <c r="C8" s="355"/>
      <c r="D8" s="359" t="s">
        <v>683</v>
      </c>
      <c r="E8" s="360">
        <v>7500000</v>
      </c>
      <c r="F8" s="361"/>
      <c r="G8" s="352"/>
      <c r="H8" s="352"/>
      <c r="I8" s="352"/>
      <c r="J8" s="352"/>
      <c r="K8" s="352"/>
      <c r="L8" s="352"/>
      <c r="M8" s="352"/>
      <c r="N8" s="352"/>
      <c r="O8" s="352"/>
      <c r="P8" s="352"/>
      <c r="Q8" s="352"/>
    </row>
    <row r="9" spans="1:17" ht="15.5">
      <c r="C9" s="355"/>
      <c r="D9" s="682" t="s">
        <v>169</v>
      </c>
      <c r="E9" s="360">
        <v>6000000</v>
      </c>
      <c r="F9" s="361"/>
      <c r="G9" s="352"/>
      <c r="H9" s="352"/>
      <c r="I9" s="352"/>
      <c r="J9" s="352"/>
      <c r="K9" s="352"/>
      <c r="L9" s="352"/>
      <c r="M9" s="352"/>
      <c r="N9" s="352"/>
      <c r="O9" s="352"/>
      <c r="P9" s="352"/>
      <c r="Q9" s="352"/>
    </row>
    <row r="10" spans="1:17" ht="15.5">
      <c r="C10" s="355"/>
      <c r="D10" s="359" t="s">
        <v>53</v>
      </c>
      <c r="E10" s="360">
        <v>4800000</v>
      </c>
      <c r="F10" s="361"/>
      <c r="G10" s="352"/>
      <c r="H10" s="352"/>
      <c r="I10" s="352"/>
      <c r="J10" s="352"/>
      <c r="K10" s="352"/>
      <c r="L10" s="352"/>
      <c r="M10" s="352"/>
      <c r="N10" s="352"/>
      <c r="O10" s="352"/>
      <c r="P10" s="352"/>
      <c r="Q10" s="352"/>
    </row>
    <row r="11" spans="1:17" ht="15.5">
      <c r="C11" s="355"/>
      <c r="D11" s="682" t="s">
        <v>29</v>
      </c>
      <c r="E11" s="360">
        <v>3900000</v>
      </c>
      <c r="G11" s="352"/>
      <c r="H11" s="352"/>
      <c r="I11" s="352"/>
      <c r="J11" s="352"/>
      <c r="K11" s="352"/>
      <c r="L11" s="352"/>
      <c r="M11" s="352"/>
      <c r="N11" s="352"/>
      <c r="O11" s="352"/>
      <c r="P11" s="352"/>
      <c r="Q11" s="352"/>
    </row>
    <row r="12" spans="1:17" ht="15.5">
      <c r="C12" s="355"/>
      <c r="D12" s="359" t="s">
        <v>1407</v>
      </c>
      <c r="E12" s="360">
        <v>2680000</v>
      </c>
      <c r="F12" s="361"/>
      <c r="G12" s="352"/>
      <c r="H12" s="352"/>
      <c r="I12" s="352"/>
      <c r="J12" s="352"/>
      <c r="K12" s="352"/>
      <c r="L12" s="352"/>
      <c r="M12" s="352"/>
      <c r="N12" s="352"/>
      <c r="O12" s="352"/>
      <c r="P12" s="352"/>
      <c r="Q12" s="352"/>
    </row>
    <row r="13" spans="1:17" ht="15.5">
      <c r="C13" s="355"/>
      <c r="D13" s="359" t="s">
        <v>1484</v>
      </c>
      <c r="E13" s="360">
        <v>2008338</v>
      </c>
      <c r="F13" s="361"/>
      <c r="G13" s="352"/>
      <c r="H13" s="352"/>
      <c r="I13" s="352"/>
      <c r="J13" s="352"/>
      <c r="K13" s="352"/>
      <c r="L13" s="352"/>
      <c r="M13" s="352"/>
      <c r="N13" s="352"/>
      <c r="O13" s="352"/>
      <c r="P13" s="352"/>
      <c r="Q13" s="352"/>
    </row>
    <row r="14" spans="1:17" ht="15.5">
      <c r="C14" s="355"/>
      <c r="D14" s="682" t="s">
        <v>43</v>
      </c>
      <c r="E14" s="360">
        <v>2000000</v>
      </c>
      <c r="F14" s="361"/>
      <c r="G14" s="352"/>
      <c r="H14" s="352"/>
      <c r="I14" s="352"/>
      <c r="J14" s="352"/>
      <c r="K14" s="352"/>
      <c r="L14" s="352"/>
      <c r="M14" s="352"/>
      <c r="N14" s="352"/>
      <c r="O14" s="352"/>
      <c r="P14" s="352"/>
      <c r="Q14" s="352"/>
    </row>
    <row r="15" spans="1:17" ht="15.5">
      <c r="C15" s="355"/>
      <c r="D15" s="359" t="s">
        <v>529</v>
      </c>
      <c r="E15" s="360">
        <v>2000000</v>
      </c>
      <c r="F15" s="361"/>
      <c r="G15" s="352"/>
      <c r="H15" s="352"/>
      <c r="I15" s="352"/>
      <c r="J15" s="352"/>
      <c r="K15" s="352"/>
      <c r="L15" s="352"/>
      <c r="M15" s="352"/>
      <c r="N15" s="352"/>
      <c r="O15" s="352"/>
      <c r="P15" s="352"/>
      <c r="Q15" s="352"/>
    </row>
    <row r="16" spans="1:17" ht="15.5">
      <c r="D16" s="359" t="s">
        <v>686</v>
      </c>
      <c r="E16" s="360">
        <v>1200000</v>
      </c>
    </row>
    <row r="17" spans="3:17" ht="16" thickBot="1">
      <c r="C17" s="355"/>
      <c r="D17" s="374" t="s">
        <v>1408</v>
      </c>
      <c r="E17" s="375">
        <v>1100000</v>
      </c>
      <c r="F17" s="361"/>
      <c r="G17" s="352"/>
      <c r="H17" s="352"/>
      <c r="I17" s="352"/>
      <c r="J17" s="352"/>
      <c r="K17" s="352"/>
      <c r="L17" s="352"/>
      <c r="M17" s="352"/>
      <c r="N17" s="352"/>
      <c r="O17" s="352"/>
      <c r="P17" s="352"/>
      <c r="Q17" s="352"/>
    </row>
    <row r="19" spans="3:17" ht="15.5">
      <c r="D19" s="669" t="s">
        <v>1409</v>
      </c>
    </row>
    <row r="35" spans="4:4" ht="15.5">
      <c r="D35" s="352" t="s">
        <v>1232</v>
      </c>
    </row>
  </sheetData>
  <sortState ref="A8:Q17">
    <sortCondition descending="1" ref="E8:E17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113"/>
  <sheetViews>
    <sheetView showZeros="0" rightToLeft="1" zoomScaleNormal="100" workbookViewId="0">
      <pane xSplit="3" ySplit="4" topLeftCell="D86" activePane="bottomRight" state="frozen"/>
      <selection activeCell="T20" sqref="T20"/>
      <selection pane="topRight" activeCell="T20" sqref="T20"/>
      <selection pane="bottomLeft" activeCell="T20" sqref="T20"/>
      <selection pane="bottomRight" activeCell="T20" sqref="T20"/>
    </sheetView>
  </sheetViews>
  <sheetFormatPr defaultColWidth="9.453125" defaultRowHeight="14"/>
  <cols>
    <col min="1" max="1" width="4.453125" style="15" customWidth="1"/>
    <col min="2" max="2" width="5.26953125" style="15" customWidth="1"/>
    <col min="3" max="3" width="29.54296875" style="21" customWidth="1"/>
    <col min="4" max="4" width="11.26953125" style="17" customWidth="1"/>
    <col min="5" max="5" width="12.26953125" style="17" customWidth="1"/>
    <col min="6" max="6" width="11.453125" style="17" customWidth="1"/>
    <col min="7" max="10" width="13" style="17" hidden="1" customWidth="1"/>
    <col min="11" max="11" width="11.7265625" style="17" hidden="1" customWidth="1"/>
    <col min="12" max="12" width="11.1796875" style="17" customWidth="1"/>
    <col min="13" max="14" width="10.1796875" style="17" customWidth="1"/>
    <col min="15" max="15" width="11.1796875" style="17" customWidth="1"/>
    <col min="16" max="16" width="11.453125" style="17" hidden="1" customWidth="1"/>
    <col min="17" max="17" width="16.26953125" style="17" hidden="1" customWidth="1"/>
    <col min="18" max="18" width="12.26953125" style="17" hidden="1" customWidth="1"/>
    <col min="19" max="19" width="12" style="17" hidden="1" customWidth="1"/>
    <col min="20" max="20" width="10.1796875" style="17" bestFit="1" customWidth="1"/>
    <col min="21" max="21" width="10.1796875" style="15" customWidth="1"/>
    <col min="22" max="22" width="10.26953125" style="15" customWidth="1"/>
    <col min="23" max="23" width="7.1796875" style="15" hidden="1" customWidth="1"/>
    <col min="24" max="25" width="5" style="15" hidden="1" customWidth="1"/>
    <col min="26" max="26" width="10.26953125" style="15" customWidth="1"/>
    <col min="27" max="27" width="28.1796875" style="40" hidden="1" customWidth="1"/>
    <col min="28" max="28" width="8.1796875" style="15" hidden="1" customWidth="1"/>
    <col min="29" max="29" width="22.453125" style="21" customWidth="1"/>
    <col min="30" max="30" width="10.81640625" style="21" bestFit="1" customWidth="1"/>
    <col min="31" max="16384" width="9.453125" style="15"/>
  </cols>
  <sheetData>
    <row r="1" spans="1:32" s="39" customFormat="1" ht="18">
      <c r="A1" s="38"/>
      <c r="B1" s="38"/>
      <c r="C1" s="405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C1" s="21"/>
      <c r="AD1" s="21"/>
    </row>
    <row r="2" spans="1:32" ht="18">
      <c r="A2" s="122" t="s">
        <v>1174</v>
      </c>
      <c r="B2" s="38"/>
      <c r="C2" s="405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406"/>
      <c r="R2" s="38"/>
      <c r="S2" s="38"/>
      <c r="T2" s="38"/>
      <c r="U2" s="38"/>
      <c r="V2" s="38"/>
      <c r="W2" s="38"/>
      <c r="X2" s="38"/>
      <c r="Y2" s="38"/>
      <c r="Z2" s="38"/>
    </row>
    <row r="3" spans="1:32"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407"/>
      <c r="V3" s="407"/>
      <c r="W3" s="407"/>
      <c r="X3" s="407"/>
      <c r="Y3" s="407"/>
      <c r="Z3" s="407"/>
    </row>
    <row r="4" spans="1:32" s="41" customFormat="1" ht="86.25" customHeight="1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9</v>
      </c>
      <c r="J4" s="11" t="s">
        <v>318</v>
      </c>
      <c r="K4" s="11" t="s">
        <v>10</v>
      </c>
      <c r="L4" s="11" t="s">
        <v>11</v>
      </c>
      <c r="M4" s="11" t="s">
        <v>627</v>
      </c>
      <c r="N4" s="11" t="s">
        <v>628</v>
      </c>
      <c r="O4" s="11" t="s">
        <v>629</v>
      </c>
      <c r="P4" s="11" t="s">
        <v>12</v>
      </c>
      <c r="Q4" s="11" t="s">
        <v>630</v>
      </c>
      <c r="R4" s="11" t="s">
        <v>631</v>
      </c>
      <c r="S4" s="11" t="s">
        <v>632</v>
      </c>
      <c r="T4" s="11" t="s">
        <v>633</v>
      </c>
      <c r="U4" s="11" t="s">
        <v>634</v>
      </c>
      <c r="V4" s="11" t="s">
        <v>13</v>
      </c>
      <c r="W4" s="11" t="s">
        <v>14</v>
      </c>
      <c r="X4" s="11" t="s">
        <v>15</v>
      </c>
      <c r="Y4" s="11" t="s">
        <v>523</v>
      </c>
      <c r="Z4" s="11" t="s">
        <v>140</v>
      </c>
      <c r="AA4" s="46" t="s">
        <v>635</v>
      </c>
      <c r="AB4" s="11" t="s">
        <v>16</v>
      </c>
      <c r="AC4" s="21"/>
      <c r="AD4" s="21"/>
    </row>
    <row r="5" spans="1:32" s="5" customFormat="1">
      <c r="A5" s="3"/>
      <c r="B5" s="3"/>
      <c r="C5" s="9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3"/>
      <c r="AA5" s="408"/>
      <c r="AB5" s="3"/>
      <c r="AC5" s="21"/>
      <c r="AD5" s="21"/>
    </row>
    <row r="6" spans="1:32" s="5" customFormat="1" ht="35.15" customHeight="1">
      <c r="A6" s="3">
        <f>A5+1</f>
        <v>1</v>
      </c>
      <c r="B6" s="3">
        <v>179</v>
      </c>
      <c r="C6" s="3" t="s">
        <v>36</v>
      </c>
      <c r="D6" s="4">
        <f>3200000-200000</f>
        <v>3000000</v>
      </c>
      <c r="E6" s="4">
        <v>3000000</v>
      </c>
      <c r="F6" s="4">
        <f t="shared" ref="F6:F65" si="0">D6-E6</f>
        <v>0</v>
      </c>
      <c r="G6" s="4">
        <v>2870250</v>
      </c>
      <c r="H6" s="4">
        <v>2782107</v>
      </c>
      <c r="I6" s="4"/>
      <c r="J6" s="4">
        <v>65735</v>
      </c>
      <c r="K6" s="4">
        <f t="shared" ref="K6:K34" si="1">SUM(I6:J6)</f>
        <v>65735</v>
      </c>
      <c r="L6" s="4">
        <f t="shared" ref="L6:L65" si="2">H6+K6</f>
        <v>2847842</v>
      </c>
      <c r="M6" s="4">
        <f>P6+S6</f>
        <v>22408</v>
      </c>
      <c r="N6" s="4">
        <f>150000-50000</f>
        <v>100000</v>
      </c>
      <c r="O6" s="4">
        <f t="shared" ref="O6:O65" si="3">D6-L6-M6-N6</f>
        <v>29750</v>
      </c>
      <c r="P6" s="4">
        <f t="shared" ref="P6:P65" si="4">G6-L6</f>
        <v>22408</v>
      </c>
      <c r="Q6" s="4"/>
      <c r="R6" s="4"/>
      <c r="S6" s="4">
        <f t="shared" ref="S6:S65" si="5">SUM(Q6:R6)</f>
        <v>0</v>
      </c>
      <c r="T6" s="4">
        <f t="shared" ref="T6:T65" si="6">P6-M6+S6</f>
        <v>0</v>
      </c>
      <c r="U6" s="4">
        <f t="shared" ref="U6:U65" si="7">N6-T6</f>
        <v>100000</v>
      </c>
      <c r="V6" s="4">
        <f t="shared" ref="V6:V65" si="8">U6-Z6-W6-Y6</f>
        <v>100000</v>
      </c>
      <c r="W6" s="4"/>
      <c r="X6" s="4"/>
      <c r="Y6" s="4"/>
      <c r="Z6" s="3"/>
      <c r="AA6" s="408" t="s">
        <v>636</v>
      </c>
      <c r="AB6" s="3">
        <v>732000</v>
      </c>
      <c r="AC6" s="21"/>
      <c r="AD6" s="60"/>
    </row>
    <row r="7" spans="1:32" s="5" customFormat="1" ht="35.15" customHeight="1">
      <c r="A7" s="3">
        <f>A6+1</f>
        <v>2</v>
      </c>
      <c r="B7" s="3">
        <v>304</v>
      </c>
      <c r="C7" s="3" t="s">
        <v>65</v>
      </c>
      <c r="D7" s="4">
        <f>54950000-20000</f>
        <v>54930000</v>
      </c>
      <c r="E7" s="4">
        <v>54950000</v>
      </c>
      <c r="F7" s="4">
        <f t="shared" si="0"/>
        <v>-20000</v>
      </c>
      <c r="G7" s="4">
        <v>54950000</v>
      </c>
      <c r="H7" s="4">
        <v>54780522.609999999</v>
      </c>
      <c r="I7" s="4">
        <v>149074.13</v>
      </c>
      <c r="J7" s="4"/>
      <c r="K7" s="4">
        <f t="shared" si="1"/>
        <v>149074.13</v>
      </c>
      <c r="L7" s="4">
        <f t="shared" si="2"/>
        <v>54929596.740000002</v>
      </c>
      <c r="M7" s="4">
        <f>P7+S7-20000</f>
        <v>403.25999999791384</v>
      </c>
      <c r="N7" s="4"/>
      <c r="O7" s="4">
        <f t="shared" si="3"/>
        <v>0</v>
      </c>
      <c r="P7" s="4">
        <f t="shared" si="4"/>
        <v>20403.259999997914</v>
      </c>
      <c r="Q7" s="4"/>
      <c r="R7" s="4"/>
      <c r="S7" s="4">
        <f t="shared" si="5"/>
        <v>0</v>
      </c>
      <c r="T7" s="4">
        <f t="shared" si="6"/>
        <v>20000</v>
      </c>
      <c r="U7" s="4">
        <f t="shared" si="7"/>
        <v>-20000</v>
      </c>
      <c r="V7" s="4">
        <f t="shared" si="8"/>
        <v>-20000</v>
      </c>
      <c r="W7" s="4"/>
      <c r="X7" s="4"/>
      <c r="Y7" s="4"/>
      <c r="Z7" s="3"/>
      <c r="AA7" s="408"/>
      <c r="AB7" s="3">
        <v>746000</v>
      </c>
      <c r="AC7" s="21"/>
      <c r="AD7" s="60"/>
    </row>
    <row r="8" spans="1:32" s="5" customFormat="1" ht="35.15" customHeight="1">
      <c r="A8" s="3">
        <f t="shared" ref="A8:A44" si="9">A7+1</f>
        <v>3</v>
      </c>
      <c r="B8" s="3">
        <v>507</v>
      </c>
      <c r="C8" s="3" t="s">
        <v>54</v>
      </c>
      <c r="D8" s="4">
        <v>2310000</v>
      </c>
      <c r="E8" s="4">
        <v>2310000</v>
      </c>
      <c r="F8" s="4">
        <f t="shared" si="0"/>
        <v>0</v>
      </c>
      <c r="G8" s="4">
        <v>1765000</v>
      </c>
      <c r="H8" s="4">
        <v>1653104.23</v>
      </c>
      <c r="I8" s="4"/>
      <c r="J8" s="4"/>
      <c r="K8" s="4">
        <f t="shared" si="1"/>
        <v>0</v>
      </c>
      <c r="L8" s="4">
        <f t="shared" si="2"/>
        <v>1653104.23</v>
      </c>
      <c r="M8" s="4">
        <f>P8+S8</f>
        <v>111895.77000000002</v>
      </c>
      <c r="N8" s="4">
        <f>100000-50000</f>
        <v>50000</v>
      </c>
      <c r="O8" s="4">
        <f t="shared" si="3"/>
        <v>495000</v>
      </c>
      <c r="P8" s="4">
        <f t="shared" si="4"/>
        <v>111895.77000000002</v>
      </c>
      <c r="Q8" s="4"/>
      <c r="R8" s="4"/>
      <c r="S8" s="4">
        <f t="shared" si="5"/>
        <v>0</v>
      </c>
      <c r="T8" s="4">
        <f t="shared" si="6"/>
        <v>0</v>
      </c>
      <c r="U8" s="4">
        <f t="shared" si="7"/>
        <v>50000</v>
      </c>
      <c r="V8" s="4">
        <f t="shared" si="8"/>
        <v>50000</v>
      </c>
      <c r="W8" s="4"/>
      <c r="X8" s="4"/>
      <c r="Y8" s="4"/>
      <c r="Z8" s="3"/>
      <c r="AA8" s="408" t="s">
        <v>637</v>
      </c>
      <c r="AB8" s="3">
        <v>742000</v>
      </c>
      <c r="AC8" s="21"/>
      <c r="AD8" s="60"/>
      <c r="AE8" s="6"/>
      <c r="AF8" s="6"/>
    </row>
    <row r="9" spans="1:32" s="5" customFormat="1" ht="35.15" customHeight="1">
      <c r="A9" s="3">
        <f t="shared" si="9"/>
        <v>4</v>
      </c>
      <c r="B9" s="3">
        <v>546</v>
      </c>
      <c r="C9" s="3" t="s">
        <v>55</v>
      </c>
      <c r="D9" s="4">
        <f>5850000-2930000</f>
        <v>2920000</v>
      </c>
      <c r="E9" s="4">
        <v>5850000</v>
      </c>
      <c r="F9" s="4">
        <f t="shared" si="0"/>
        <v>-2930000</v>
      </c>
      <c r="G9" s="4">
        <v>2950000</v>
      </c>
      <c r="H9" s="4">
        <v>2895703.4</v>
      </c>
      <c r="I9" s="4"/>
      <c r="J9" s="4">
        <v>18053</v>
      </c>
      <c r="K9" s="4">
        <f t="shared" si="1"/>
        <v>18053</v>
      </c>
      <c r="L9" s="4">
        <f t="shared" si="2"/>
        <v>2913756.4</v>
      </c>
      <c r="M9" s="4">
        <f>P9+S9-30000</f>
        <v>6243.6000000000931</v>
      </c>
      <c r="N9" s="4"/>
      <c r="O9" s="4">
        <f t="shared" si="3"/>
        <v>0</v>
      </c>
      <c r="P9" s="4">
        <f t="shared" si="4"/>
        <v>36243.600000000093</v>
      </c>
      <c r="Q9" s="4"/>
      <c r="R9" s="4"/>
      <c r="S9" s="4">
        <f t="shared" si="5"/>
        <v>0</v>
      </c>
      <c r="T9" s="4">
        <f t="shared" si="6"/>
        <v>30000</v>
      </c>
      <c r="U9" s="4">
        <f t="shared" si="7"/>
        <v>-30000</v>
      </c>
      <c r="V9" s="4">
        <f t="shared" si="8"/>
        <v>-30000</v>
      </c>
      <c r="W9" s="4"/>
      <c r="X9" s="4"/>
      <c r="Y9" s="4"/>
      <c r="Z9" s="3"/>
      <c r="AA9" s="408"/>
      <c r="AB9" s="3">
        <v>742000</v>
      </c>
      <c r="AC9" s="21"/>
      <c r="AD9" s="60"/>
    </row>
    <row r="10" spans="1:32" s="5" customFormat="1" ht="35.15" customHeight="1">
      <c r="A10" s="3">
        <f t="shared" si="9"/>
        <v>5</v>
      </c>
      <c r="B10" s="3">
        <v>592</v>
      </c>
      <c r="C10" s="3" t="s">
        <v>29</v>
      </c>
      <c r="D10" s="4">
        <v>54893000</v>
      </c>
      <c r="E10" s="4">
        <v>54893000</v>
      </c>
      <c r="F10" s="4">
        <f t="shared" si="0"/>
        <v>0</v>
      </c>
      <c r="G10" s="4">
        <f>18420000+300000</f>
        <v>18720000</v>
      </c>
      <c r="H10" s="4">
        <v>17302170.350000001</v>
      </c>
      <c r="I10" s="4">
        <v>149113.19</v>
      </c>
      <c r="J10" s="4">
        <v>14350</v>
      </c>
      <c r="K10" s="4">
        <f t="shared" si="1"/>
        <v>163463.19</v>
      </c>
      <c r="L10" s="4">
        <f t="shared" si="2"/>
        <v>17465633.540000003</v>
      </c>
      <c r="M10" s="4">
        <f>P10+S10</f>
        <v>1254366.4599999972</v>
      </c>
      <c r="N10" s="4">
        <f>3500000+400000</f>
        <v>3900000</v>
      </c>
      <c r="O10" s="4">
        <f t="shared" si="3"/>
        <v>32273000</v>
      </c>
      <c r="P10" s="4">
        <f t="shared" si="4"/>
        <v>1254366.4599999972</v>
      </c>
      <c r="Q10" s="4"/>
      <c r="R10" s="4"/>
      <c r="S10" s="4">
        <f t="shared" si="5"/>
        <v>0</v>
      </c>
      <c r="T10" s="4">
        <f t="shared" si="6"/>
        <v>0</v>
      </c>
      <c r="U10" s="4">
        <f t="shared" si="7"/>
        <v>3900000</v>
      </c>
      <c r="V10" s="4">
        <f t="shared" si="8"/>
        <v>3900000</v>
      </c>
      <c r="W10" s="4"/>
      <c r="X10" s="4"/>
      <c r="Y10" s="4"/>
      <c r="Z10" s="3"/>
      <c r="AA10" s="408" t="s">
        <v>1283</v>
      </c>
      <c r="AB10" s="3">
        <v>742000</v>
      </c>
      <c r="AC10" s="21"/>
      <c r="AD10" s="60"/>
      <c r="AE10" s="6"/>
      <c r="AF10" s="6"/>
    </row>
    <row r="11" spans="1:32" s="5" customFormat="1" ht="35.15" customHeight="1">
      <c r="A11" s="3">
        <f t="shared" si="9"/>
        <v>6</v>
      </c>
      <c r="B11" s="3">
        <v>608</v>
      </c>
      <c r="C11" s="3" t="s">
        <v>37</v>
      </c>
      <c r="D11" s="4">
        <v>8300000</v>
      </c>
      <c r="E11" s="4">
        <v>8300000</v>
      </c>
      <c r="F11" s="4">
        <f t="shared" si="0"/>
        <v>0</v>
      </c>
      <c r="G11" s="4">
        <v>6250000</v>
      </c>
      <c r="H11" s="4">
        <v>5146280</v>
      </c>
      <c r="I11" s="4"/>
      <c r="J11" s="4">
        <v>76278</v>
      </c>
      <c r="K11" s="4">
        <f t="shared" si="1"/>
        <v>76278</v>
      </c>
      <c r="L11" s="4">
        <f t="shared" si="2"/>
        <v>5222558</v>
      </c>
      <c r="M11" s="4">
        <f>P11+S11-650000</f>
        <v>377442</v>
      </c>
      <c r="N11" s="4">
        <v>600000</v>
      </c>
      <c r="O11" s="4">
        <f t="shared" si="3"/>
        <v>2100000</v>
      </c>
      <c r="P11" s="4">
        <f t="shared" si="4"/>
        <v>1027442</v>
      </c>
      <c r="Q11" s="4"/>
      <c r="R11" s="4"/>
      <c r="S11" s="4">
        <f t="shared" si="5"/>
        <v>0</v>
      </c>
      <c r="T11" s="4">
        <f t="shared" si="6"/>
        <v>650000</v>
      </c>
      <c r="U11" s="4">
        <f t="shared" si="7"/>
        <v>-50000</v>
      </c>
      <c r="V11" s="4">
        <f t="shared" si="8"/>
        <v>-50000</v>
      </c>
      <c r="W11" s="4"/>
      <c r="X11" s="4"/>
      <c r="Y11" s="4"/>
      <c r="Z11" s="3"/>
      <c r="AA11" s="408" t="s">
        <v>639</v>
      </c>
      <c r="AB11" s="3">
        <v>745000</v>
      </c>
      <c r="AC11" s="21"/>
      <c r="AD11" s="60"/>
    </row>
    <row r="12" spans="1:32" s="6" customFormat="1" ht="35.15" customHeight="1">
      <c r="A12" s="3">
        <f t="shared" si="9"/>
        <v>7</v>
      </c>
      <c r="B12" s="3">
        <v>626</v>
      </c>
      <c r="C12" s="3" t="s">
        <v>1284</v>
      </c>
      <c r="D12" s="4">
        <v>20025000</v>
      </c>
      <c r="E12" s="4">
        <v>20025000</v>
      </c>
      <c r="F12" s="4">
        <f t="shared" si="0"/>
        <v>0</v>
      </c>
      <c r="G12" s="4">
        <v>14525000</v>
      </c>
      <c r="H12" s="4">
        <v>13533711</v>
      </c>
      <c r="I12" s="4">
        <v>151233.85999999999</v>
      </c>
      <c r="J12" s="4">
        <v>45309</v>
      </c>
      <c r="K12" s="4">
        <f t="shared" si="1"/>
        <v>196542.86</v>
      </c>
      <c r="L12" s="4">
        <f t="shared" si="2"/>
        <v>13730253.859999999</v>
      </c>
      <c r="M12" s="4">
        <f>P12+S12-500000</f>
        <v>294746.1400000006</v>
      </c>
      <c r="N12" s="4">
        <f>3325000-1000000</f>
        <v>2325000</v>
      </c>
      <c r="O12" s="4">
        <f t="shared" si="3"/>
        <v>3675000</v>
      </c>
      <c r="P12" s="4">
        <f t="shared" si="4"/>
        <v>794746.1400000006</v>
      </c>
      <c r="Q12" s="4"/>
      <c r="R12" s="4"/>
      <c r="S12" s="4">
        <f t="shared" si="5"/>
        <v>0</v>
      </c>
      <c r="T12" s="4">
        <f t="shared" si="6"/>
        <v>500000</v>
      </c>
      <c r="U12" s="4">
        <f t="shared" si="7"/>
        <v>1825000</v>
      </c>
      <c r="V12" s="4">
        <f t="shared" si="8"/>
        <v>1475000</v>
      </c>
      <c r="W12" s="4"/>
      <c r="X12" s="4"/>
      <c r="Y12" s="4"/>
      <c r="Z12" s="4">
        <f>175000+175000</f>
        <v>350000</v>
      </c>
      <c r="AA12" s="408" t="s">
        <v>1246</v>
      </c>
      <c r="AB12" s="3">
        <v>732000</v>
      </c>
      <c r="AC12" s="21"/>
      <c r="AD12" s="60"/>
      <c r="AE12" s="5"/>
      <c r="AF12" s="5"/>
    </row>
    <row r="13" spans="1:32" s="5" customFormat="1" ht="35.15" customHeight="1">
      <c r="A13" s="3">
        <f t="shared" si="9"/>
        <v>8</v>
      </c>
      <c r="B13" s="3">
        <v>631</v>
      </c>
      <c r="C13" s="3" t="s">
        <v>66</v>
      </c>
      <c r="D13" s="4">
        <f>9005000-1946000</f>
        <v>7059000</v>
      </c>
      <c r="E13" s="4">
        <v>9005000</v>
      </c>
      <c r="F13" s="4">
        <f t="shared" si="0"/>
        <v>-1946000</v>
      </c>
      <c r="G13" s="4">
        <v>7305000</v>
      </c>
      <c r="H13" s="4">
        <v>7030689.3200000003</v>
      </c>
      <c r="I13" s="4"/>
      <c r="J13" s="4">
        <v>27554.53</v>
      </c>
      <c r="K13" s="4">
        <f t="shared" si="1"/>
        <v>27554.53</v>
      </c>
      <c r="L13" s="4">
        <f t="shared" si="2"/>
        <v>7058243.8500000006</v>
      </c>
      <c r="M13" s="4">
        <f>P13+S13-246000</f>
        <v>756.14999999944121</v>
      </c>
      <c r="N13" s="4"/>
      <c r="O13" s="4">
        <f t="shared" si="3"/>
        <v>0</v>
      </c>
      <c r="P13" s="4">
        <f t="shared" si="4"/>
        <v>246756.14999999944</v>
      </c>
      <c r="Q13" s="4"/>
      <c r="R13" s="4"/>
      <c r="S13" s="4">
        <f t="shared" si="5"/>
        <v>0</v>
      </c>
      <c r="T13" s="4">
        <f t="shared" si="6"/>
        <v>246000</v>
      </c>
      <c r="U13" s="4">
        <f t="shared" si="7"/>
        <v>-246000</v>
      </c>
      <c r="V13" s="4">
        <f t="shared" si="8"/>
        <v>-246000</v>
      </c>
      <c r="W13" s="4"/>
      <c r="X13" s="4"/>
      <c r="Y13" s="4"/>
      <c r="Z13" s="3"/>
      <c r="AA13" s="408"/>
      <c r="AB13" s="3">
        <v>742000</v>
      </c>
      <c r="AC13" s="21"/>
      <c r="AD13" s="60"/>
    </row>
    <row r="14" spans="1:32" s="5" customFormat="1" ht="35.15" customHeight="1">
      <c r="A14" s="3">
        <f>A13+1</f>
        <v>9</v>
      </c>
      <c r="B14" s="3">
        <v>638</v>
      </c>
      <c r="C14" s="3" t="s">
        <v>1485</v>
      </c>
      <c r="D14" s="4">
        <v>7000000</v>
      </c>
      <c r="E14" s="4">
        <v>7000000</v>
      </c>
      <c r="F14" s="4">
        <f t="shared" si="0"/>
        <v>0</v>
      </c>
      <c r="G14" s="4">
        <v>4600000</v>
      </c>
      <c r="H14" s="4">
        <v>3454838.96</v>
      </c>
      <c r="I14" s="4">
        <v>74548.7</v>
      </c>
      <c r="J14" s="4">
        <v>7765.64</v>
      </c>
      <c r="K14" s="4">
        <f t="shared" si="1"/>
        <v>82314.34</v>
      </c>
      <c r="L14" s="4">
        <f t="shared" si="2"/>
        <v>3537153.3</v>
      </c>
      <c r="M14" s="4">
        <f>P14+S14</f>
        <v>1062846.7000000002</v>
      </c>
      <c r="N14" s="4"/>
      <c r="O14" s="4">
        <f t="shared" si="3"/>
        <v>2400000</v>
      </c>
      <c r="P14" s="4">
        <f t="shared" si="4"/>
        <v>1062846.7000000002</v>
      </c>
      <c r="Q14" s="4"/>
      <c r="R14" s="4"/>
      <c r="S14" s="4">
        <f t="shared" si="5"/>
        <v>0</v>
      </c>
      <c r="T14" s="4">
        <f t="shared" si="6"/>
        <v>0</v>
      </c>
      <c r="U14" s="4">
        <f t="shared" si="7"/>
        <v>0</v>
      </c>
      <c r="V14" s="4">
        <f t="shared" si="8"/>
        <v>0</v>
      </c>
      <c r="W14" s="4"/>
      <c r="X14" s="4"/>
      <c r="Y14" s="4"/>
      <c r="Z14" s="3"/>
      <c r="AA14" s="408" t="s">
        <v>1175</v>
      </c>
      <c r="AB14" s="3">
        <v>742000</v>
      </c>
      <c r="AC14" s="21"/>
      <c r="AD14" s="60"/>
    </row>
    <row r="15" spans="1:32" s="5" customFormat="1" ht="35.15" customHeight="1">
      <c r="A15" s="3">
        <f t="shared" si="9"/>
        <v>10</v>
      </c>
      <c r="B15" s="3">
        <v>1018</v>
      </c>
      <c r="C15" s="3" t="s">
        <v>30</v>
      </c>
      <c r="D15" s="4">
        <v>31900000</v>
      </c>
      <c r="E15" s="4">
        <v>31900000</v>
      </c>
      <c r="F15" s="4">
        <f t="shared" si="0"/>
        <v>0</v>
      </c>
      <c r="G15" s="4">
        <v>5100000</v>
      </c>
      <c r="H15" s="4">
        <v>3059586.79</v>
      </c>
      <c r="I15" s="4">
        <v>84192.99</v>
      </c>
      <c r="J15" s="4">
        <v>4379.93</v>
      </c>
      <c r="K15" s="4">
        <f t="shared" si="1"/>
        <v>88572.920000000013</v>
      </c>
      <c r="L15" s="4">
        <f t="shared" si="2"/>
        <v>3148159.71</v>
      </c>
      <c r="M15" s="4">
        <f>P15+S15-1000000-750000</f>
        <v>201840.29000000004</v>
      </c>
      <c r="N15" s="4">
        <f>2000000-250000</f>
        <v>1750000</v>
      </c>
      <c r="O15" s="4">
        <f t="shared" si="3"/>
        <v>26800000</v>
      </c>
      <c r="P15" s="4">
        <f t="shared" si="4"/>
        <v>1951840.29</v>
      </c>
      <c r="Q15" s="4"/>
      <c r="R15" s="4"/>
      <c r="S15" s="4">
        <f t="shared" si="5"/>
        <v>0</v>
      </c>
      <c r="T15" s="4">
        <f t="shared" si="6"/>
        <v>1750000</v>
      </c>
      <c r="U15" s="4">
        <f t="shared" si="7"/>
        <v>0</v>
      </c>
      <c r="V15" s="4">
        <f t="shared" si="8"/>
        <v>0</v>
      </c>
      <c r="W15" s="4"/>
      <c r="X15" s="4"/>
      <c r="Y15" s="4"/>
      <c r="Z15" s="3"/>
      <c r="AA15" s="408" t="s">
        <v>640</v>
      </c>
      <c r="AB15" s="3">
        <v>742000</v>
      </c>
      <c r="AC15" s="21"/>
      <c r="AD15" s="60"/>
    </row>
    <row r="16" spans="1:32" s="5" customFormat="1" ht="35.15" customHeight="1">
      <c r="A16" s="3">
        <f t="shared" si="9"/>
        <v>11</v>
      </c>
      <c r="B16" s="3">
        <v>1100</v>
      </c>
      <c r="C16" s="3" t="s">
        <v>17</v>
      </c>
      <c r="D16" s="4">
        <v>7000000</v>
      </c>
      <c r="E16" s="4">
        <v>7000000</v>
      </c>
      <c r="F16" s="4">
        <f t="shared" si="0"/>
        <v>0</v>
      </c>
      <c r="G16" s="4">
        <v>5600000</v>
      </c>
      <c r="H16" s="4">
        <v>2706855.1</v>
      </c>
      <c r="I16" s="4">
        <v>2159838.63</v>
      </c>
      <c r="J16" s="4">
        <v>155452.21</v>
      </c>
      <c r="K16" s="4">
        <f t="shared" si="1"/>
        <v>2315290.84</v>
      </c>
      <c r="L16" s="4">
        <f t="shared" si="2"/>
        <v>5022145.9399999995</v>
      </c>
      <c r="M16" s="4">
        <f>P16+S16</f>
        <v>577854.06000000052</v>
      </c>
      <c r="N16" s="4">
        <v>300000</v>
      </c>
      <c r="O16" s="4">
        <f t="shared" si="3"/>
        <v>1100000</v>
      </c>
      <c r="P16" s="4">
        <f t="shared" si="4"/>
        <v>577854.06000000052</v>
      </c>
      <c r="Q16" s="4"/>
      <c r="R16" s="4"/>
      <c r="S16" s="4">
        <f t="shared" si="5"/>
        <v>0</v>
      </c>
      <c r="T16" s="4">
        <f t="shared" si="6"/>
        <v>0</v>
      </c>
      <c r="U16" s="4">
        <f t="shared" si="7"/>
        <v>300000</v>
      </c>
      <c r="V16" s="4">
        <f t="shared" si="8"/>
        <v>300000</v>
      </c>
      <c r="W16" s="4"/>
      <c r="X16" s="4"/>
      <c r="Y16" s="4"/>
      <c r="Z16" s="3"/>
      <c r="AA16" s="408" t="s">
        <v>641</v>
      </c>
      <c r="AB16" s="3">
        <v>732000</v>
      </c>
      <c r="AC16" s="21"/>
      <c r="AD16" s="60"/>
    </row>
    <row r="17" spans="1:32" s="6" customFormat="1" ht="35.15" customHeight="1">
      <c r="A17" s="3">
        <f t="shared" si="9"/>
        <v>12</v>
      </c>
      <c r="B17" s="3">
        <v>1129</v>
      </c>
      <c r="C17" s="3" t="s">
        <v>38</v>
      </c>
      <c r="D17" s="4">
        <v>7000000</v>
      </c>
      <c r="E17" s="4">
        <v>7000000</v>
      </c>
      <c r="F17" s="4">
        <f t="shared" si="0"/>
        <v>0</v>
      </c>
      <c r="G17" s="4">
        <v>5991771</v>
      </c>
      <c r="H17" s="4">
        <v>5044953.63</v>
      </c>
      <c r="I17" s="4"/>
      <c r="J17" s="4">
        <v>55293.760000000002</v>
      </c>
      <c r="K17" s="4">
        <f t="shared" si="1"/>
        <v>55293.760000000002</v>
      </c>
      <c r="L17" s="4">
        <f t="shared" si="2"/>
        <v>5100247.3899999997</v>
      </c>
      <c r="M17" s="4">
        <f>P17+S17-750000</f>
        <v>141523.61000000034</v>
      </c>
      <c r="N17" s="4">
        <v>750000</v>
      </c>
      <c r="O17" s="4">
        <f t="shared" si="3"/>
        <v>1008229</v>
      </c>
      <c r="P17" s="4">
        <f t="shared" si="4"/>
        <v>891523.61000000034</v>
      </c>
      <c r="Q17" s="4"/>
      <c r="R17" s="4"/>
      <c r="S17" s="4">
        <f t="shared" si="5"/>
        <v>0</v>
      </c>
      <c r="T17" s="4">
        <f t="shared" si="6"/>
        <v>750000</v>
      </c>
      <c r="U17" s="4">
        <f t="shared" si="7"/>
        <v>0</v>
      </c>
      <c r="V17" s="4">
        <f t="shared" si="8"/>
        <v>0</v>
      </c>
      <c r="W17" s="4"/>
      <c r="X17" s="4"/>
      <c r="Y17" s="4"/>
      <c r="Z17" s="3"/>
      <c r="AA17" s="408" t="s">
        <v>1176</v>
      </c>
      <c r="AB17" s="3">
        <v>742000</v>
      </c>
      <c r="AC17" s="21"/>
      <c r="AD17" s="60"/>
      <c r="AE17" s="5"/>
      <c r="AF17" s="5"/>
    </row>
    <row r="18" spans="1:32" s="5" customFormat="1" ht="35.15" customHeight="1">
      <c r="A18" s="3">
        <f>A17+1</f>
        <v>13</v>
      </c>
      <c r="B18" s="3">
        <v>1220</v>
      </c>
      <c r="C18" s="3" t="s">
        <v>40</v>
      </c>
      <c r="D18" s="4">
        <v>7000000</v>
      </c>
      <c r="E18" s="4">
        <v>7000000</v>
      </c>
      <c r="F18" s="4">
        <f t="shared" si="0"/>
        <v>0</v>
      </c>
      <c r="G18" s="4">
        <v>5600000</v>
      </c>
      <c r="H18" s="4">
        <v>4415045</v>
      </c>
      <c r="I18" s="4">
        <v>45396</v>
      </c>
      <c r="J18" s="4">
        <v>548104</v>
      </c>
      <c r="K18" s="4">
        <f t="shared" si="1"/>
        <v>593500</v>
      </c>
      <c r="L18" s="4">
        <f t="shared" si="2"/>
        <v>5008545</v>
      </c>
      <c r="M18" s="4">
        <f>P18+S18</f>
        <v>591455</v>
      </c>
      <c r="N18" s="4">
        <f>400000+300000</f>
        <v>700000</v>
      </c>
      <c r="O18" s="4">
        <f t="shared" si="3"/>
        <v>700000</v>
      </c>
      <c r="P18" s="4">
        <f t="shared" si="4"/>
        <v>591455</v>
      </c>
      <c r="Q18" s="4"/>
      <c r="R18" s="4"/>
      <c r="S18" s="4">
        <f t="shared" si="5"/>
        <v>0</v>
      </c>
      <c r="T18" s="4">
        <f t="shared" si="6"/>
        <v>0</v>
      </c>
      <c r="U18" s="4">
        <f t="shared" si="7"/>
        <v>700000</v>
      </c>
      <c r="V18" s="4">
        <f t="shared" si="8"/>
        <v>700000</v>
      </c>
      <c r="W18" s="4"/>
      <c r="X18" s="4"/>
      <c r="Y18" s="4"/>
      <c r="Z18" s="3"/>
      <c r="AA18" s="408" t="s">
        <v>1177</v>
      </c>
      <c r="AB18" s="3">
        <v>732000</v>
      </c>
      <c r="AC18" s="21"/>
      <c r="AD18" s="60"/>
    </row>
    <row r="19" spans="1:32" s="5" customFormat="1" ht="35.15" customHeight="1">
      <c r="A19" s="3">
        <f t="shared" si="9"/>
        <v>14</v>
      </c>
      <c r="B19" s="3">
        <v>1314</v>
      </c>
      <c r="C19" s="3" t="s">
        <v>57</v>
      </c>
      <c r="D19" s="4">
        <f>3500000-300000</f>
        <v>3200000</v>
      </c>
      <c r="E19" s="4">
        <v>3200000</v>
      </c>
      <c r="F19" s="4">
        <f t="shared" si="0"/>
        <v>0</v>
      </c>
      <c r="G19" s="4">
        <v>400000</v>
      </c>
      <c r="H19" s="4">
        <v>359314.49</v>
      </c>
      <c r="I19" s="4"/>
      <c r="J19" s="4"/>
      <c r="K19" s="4">
        <f t="shared" si="1"/>
        <v>0</v>
      </c>
      <c r="L19" s="4">
        <f t="shared" si="2"/>
        <v>359314.49</v>
      </c>
      <c r="M19" s="4">
        <f>P19+S19</f>
        <v>40685.510000000009</v>
      </c>
      <c r="N19" s="4">
        <f>100000+150000</f>
        <v>250000</v>
      </c>
      <c r="O19" s="4">
        <f t="shared" si="3"/>
        <v>2550000</v>
      </c>
      <c r="P19" s="4">
        <f t="shared" si="4"/>
        <v>40685.510000000009</v>
      </c>
      <c r="Q19" s="4"/>
      <c r="R19" s="4"/>
      <c r="S19" s="4">
        <f t="shared" si="5"/>
        <v>0</v>
      </c>
      <c r="T19" s="4">
        <f t="shared" si="6"/>
        <v>0</v>
      </c>
      <c r="U19" s="4">
        <f t="shared" si="7"/>
        <v>250000</v>
      </c>
      <c r="V19" s="4">
        <f t="shared" si="8"/>
        <v>250000</v>
      </c>
      <c r="W19" s="4"/>
      <c r="X19" s="4"/>
      <c r="Y19" s="4"/>
      <c r="Z19" s="3"/>
      <c r="AA19" s="408" t="s">
        <v>1244</v>
      </c>
      <c r="AB19" s="3">
        <v>742000</v>
      </c>
      <c r="AC19" s="21"/>
      <c r="AD19" s="60"/>
    </row>
    <row r="20" spans="1:32" s="6" customFormat="1" ht="35.15" customHeight="1">
      <c r="A20" s="3">
        <f t="shared" si="9"/>
        <v>15</v>
      </c>
      <c r="B20" s="3">
        <v>1320</v>
      </c>
      <c r="C20" s="3" t="s">
        <v>58</v>
      </c>
      <c r="D20" s="4">
        <v>23500000</v>
      </c>
      <c r="E20" s="4">
        <v>23500000</v>
      </c>
      <c r="F20" s="4">
        <f t="shared" si="0"/>
        <v>0</v>
      </c>
      <c r="G20" s="4">
        <v>21550000</v>
      </c>
      <c r="H20" s="4">
        <v>21339439.079999998</v>
      </c>
      <c r="I20" s="4">
        <v>204226.2</v>
      </c>
      <c r="J20" s="4"/>
      <c r="K20" s="4">
        <f t="shared" si="1"/>
        <v>204226.2</v>
      </c>
      <c r="L20" s="4">
        <f t="shared" si="2"/>
        <v>21543665.279999997</v>
      </c>
      <c r="M20" s="4">
        <f>P20+S20</f>
        <v>6334.7200000025332</v>
      </c>
      <c r="N20" s="4">
        <f>1800000-1800000</f>
        <v>0</v>
      </c>
      <c r="O20" s="4">
        <f t="shared" si="3"/>
        <v>1950000</v>
      </c>
      <c r="P20" s="4">
        <f t="shared" si="4"/>
        <v>6334.7200000025332</v>
      </c>
      <c r="Q20" s="4"/>
      <c r="R20" s="4"/>
      <c r="S20" s="4">
        <f t="shared" si="5"/>
        <v>0</v>
      </c>
      <c r="T20" s="4">
        <f t="shared" si="6"/>
        <v>0</v>
      </c>
      <c r="U20" s="4">
        <f t="shared" si="7"/>
        <v>0</v>
      </c>
      <c r="V20" s="4">
        <f t="shared" si="8"/>
        <v>0</v>
      </c>
      <c r="W20" s="4"/>
      <c r="X20" s="4"/>
      <c r="Y20" s="4"/>
      <c r="Z20" s="3"/>
      <c r="AA20" s="408"/>
      <c r="AB20" s="3">
        <v>746000</v>
      </c>
      <c r="AC20" s="21"/>
      <c r="AD20" s="60"/>
    </row>
    <row r="21" spans="1:32" s="5" customFormat="1" ht="35.15" customHeight="1">
      <c r="A21" s="3">
        <f t="shared" si="9"/>
        <v>16</v>
      </c>
      <c r="B21" s="3">
        <v>1322</v>
      </c>
      <c r="C21" s="3" t="s">
        <v>42</v>
      </c>
      <c r="D21" s="4">
        <v>18500000</v>
      </c>
      <c r="E21" s="4">
        <v>18500000</v>
      </c>
      <c r="F21" s="4">
        <f t="shared" si="0"/>
        <v>0</v>
      </c>
      <c r="G21" s="4">
        <f>11400000-350000</f>
        <v>11050000</v>
      </c>
      <c r="H21" s="4">
        <v>9625168.5899999999</v>
      </c>
      <c r="I21" s="4">
        <v>92414.99</v>
      </c>
      <c r="J21" s="4"/>
      <c r="K21" s="4">
        <f t="shared" si="1"/>
        <v>92414.99</v>
      </c>
      <c r="L21" s="4">
        <f t="shared" si="2"/>
        <v>9717583.5800000001</v>
      </c>
      <c r="M21" s="4">
        <f>P21+S21-1200000</f>
        <v>132416.41999999993</v>
      </c>
      <c r="N21" s="4">
        <f>4000000-3000000</f>
        <v>1000000</v>
      </c>
      <c r="O21" s="4">
        <f t="shared" si="3"/>
        <v>7650000</v>
      </c>
      <c r="P21" s="4">
        <f t="shared" si="4"/>
        <v>1332416.42</v>
      </c>
      <c r="Q21" s="4"/>
      <c r="R21" s="4"/>
      <c r="S21" s="4">
        <f t="shared" si="5"/>
        <v>0</v>
      </c>
      <c r="T21" s="4">
        <f t="shared" si="6"/>
        <v>1200000</v>
      </c>
      <c r="U21" s="4">
        <f t="shared" si="7"/>
        <v>-200000</v>
      </c>
      <c r="V21" s="4">
        <f t="shared" si="8"/>
        <v>-200000</v>
      </c>
      <c r="W21" s="4"/>
      <c r="X21" s="4"/>
      <c r="Y21" s="4"/>
      <c r="Z21" s="3"/>
      <c r="AA21" s="408" t="s">
        <v>642</v>
      </c>
      <c r="AB21" s="3">
        <v>742000</v>
      </c>
      <c r="AC21" s="21"/>
      <c r="AD21" s="60"/>
    </row>
    <row r="22" spans="1:32" s="5" customFormat="1" ht="35.15" customHeight="1">
      <c r="A22" s="3">
        <f t="shared" si="9"/>
        <v>17</v>
      </c>
      <c r="B22" s="3">
        <v>1324</v>
      </c>
      <c r="C22" s="3" t="s">
        <v>59</v>
      </c>
      <c r="D22" s="4">
        <v>180000</v>
      </c>
      <c r="E22" s="4">
        <v>180000</v>
      </c>
      <c r="F22" s="4">
        <f t="shared" si="0"/>
        <v>0</v>
      </c>
      <c r="G22" s="4">
        <v>180000</v>
      </c>
      <c r="H22" s="4">
        <v>120629.48</v>
      </c>
      <c r="I22" s="4"/>
      <c r="J22" s="4">
        <v>56544</v>
      </c>
      <c r="K22" s="4">
        <f t="shared" si="1"/>
        <v>56544</v>
      </c>
      <c r="L22" s="4">
        <f t="shared" si="2"/>
        <v>177173.47999999998</v>
      </c>
      <c r="M22" s="4">
        <f>P22+S22</f>
        <v>2826.5200000000186</v>
      </c>
      <c r="N22" s="4"/>
      <c r="O22" s="4">
        <f t="shared" si="3"/>
        <v>0</v>
      </c>
      <c r="P22" s="4">
        <f t="shared" si="4"/>
        <v>2826.5200000000186</v>
      </c>
      <c r="Q22" s="4"/>
      <c r="R22" s="4"/>
      <c r="S22" s="4">
        <f t="shared" si="5"/>
        <v>0</v>
      </c>
      <c r="T22" s="4">
        <f t="shared" si="6"/>
        <v>0</v>
      </c>
      <c r="U22" s="4">
        <f t="shared" si="7"/>
        <v>0</v>
      </c>
      <c r="V22" s="4">
        <f t="shared" si="8"/>
        <v>0</v>
      </c>
      <c r="W22" s="4"/>
      <c r="X22" s="4"/>
      <c r="Y22" s="4"/>
      <c r="Z22" s="3"/>
      <c r="AA22" s="408"/>
      <c r="AB22" s="3">
        <v>742000</v>
      </c>
      <c r="AC22" s="21"/>
      <c r="AD22" s="60"/>
      <c r="AE22" s="6"/>
      <c r="AF22" s="6"/>
    </row>
    <row r="23" spans="1:32" s="5" customFormat="1" ht="35.15" customHeight="1">
      <c r="A23" s="3">
        <f>A22+1</f>
        <v>18</v>
      </c>
      <c r="B23" s="3">
        <v>1357</v>
      </c>
      <c r="C23" s="3" t="s">
        <v>60</v>
      </c>
      <c r="D23" s="4">
        <v>25000000</v>
      </c>
      <c r="E23" s="4">
        <v>25000000</v>
      </c>
      <c r="F23" s="4">
        <f t="shared" si="0"/>
        <v>0</v>
      </c>
      <c r="G23" s="4">
        <v>12612000</v>
      </c>
      <c r="H23" s="4">
        <v>12420746.140000001</v>
      </c>
      <c r="I23" s="4">
        <v>118498.13</v>
      </c>
      <c r="J23" s="4"/>
      <c r="K23" s="4">
        <f t="shared" si="1"/>
        <v>118498.13</v>
      </c>
      <c r="L23" s="4">
        <f t="shared" si="2"/>
        <v>12539244.270000001</v>
      </c>
      <c r="M23" s="4">
        <f>P23+S23</f>
        <v>72755.729999998584</v>
      </c>
      <c r="N23" s="4">
        <f>6500000-6500000</f>
        <v>0</v>
      </c>
      <c r="O23" s="4">
        <f t="shared" si="3"/>
        <v>12388000</v>
      </c>
      <c r="P23" s="4">
        <f t="shared" si="4"/>
        <v>72755.729999998584</v>
      </c>
      <c r="Q23" s="4"/>
      <c r="R23" s="4"/>
      <c r="S23" s="4">
        <f t="shared" si="5"/>
        <v>0</v>
      </c>
      <c r="T23" s="4">
        <f t="shared" si="6"/>
        <v>0</v>
      </c>
      <c r="U23" s="4">
        <f t="shared" si="7"/>
        <v>0</v>
      </c>
      <c r="V23" s="4">
        <f t="shared" si="8"/>
        <v>0</v>
      </c>
      <c r="W23" s="4"/>
      <c r="X23" s="4"/>
      <c r="Y23" s="4"/>
      <c r="Z23" s="3"/>
      <c r="AA23" s="408"/>
      <c r="AB23" s="3">
        <v>829000</v>
      </c>
      <c r="AC23" s="21"/>
      <c r="AD23" s="60"/>
      <c r="AE23" s="6"/>
      <c r="AF23" s="6"/>
    </row>
    <row r="24" spans="1:32" s="5" customFormat="1" ht="35.15" customHeight="1">
      <c r="A24" s="3">
        <f t="shared" si="9"/>
        <v>19</v>
      </c>
      <c r="B24" s="3">
        <v>1363</v>
      </c>
      <c r="C24" s="3" t="s">
        <v>43</v>
      </c>
      <c r="D24" s="4">
        <v>15500000</v>
      </c>
      <c r="E24" s="4">
        <v>15500000</v>
      </c>
      <c r="F24" s="4">
        <f t="shared" si="0"/>
        <v>0</v>
      </c>
      <c r="G24" s="4">
        <v>6050000</v>
      </c>
      <c r="H24" s="4">
        <v>898457</v>
      </c>
      <c r="I24" s="4">
        <v>91890.9</v>
      </c>
      <c r="J24" s="4">
        <v>402974</v>
      </c>
      <c r="K24" s="4">
        <f t="shared" si="1"/>
        <v>494864.9</v>
      </c>
      <c r="L24" s="4">
        <f t="shared" si="2"/>
        <v>1393321.9</v>
      </c>
      <c r="M24" s="4">
        <f>P24+S24-4000000</f>
        <v>656678.09999999963</v>
      </c>
      <c r="N24" s="4">
        <v>6000000</v>
      </c>
      <c r="O24" s="4">
        <f t="shared" si="3"/>
        <v>7450000</v>
      </c>
      <c r="P24" s="4">
        <f t="shared" si="4"/>
        <v>4656678.0999999996</v>
      </c>
      <c r="Q24" s="4"/>
      <c r="R24" s="4"/>
      <c r="S24" s="4">
        <f t="shared" si="5"/>
        <v>0</v>
      </c>
      <c r="T24" s="4">
        <f t="shared" si="6"/>
        <v>4000000</v>
      </c>
      <c r="U24" s="4">
        <f t="shared" si="7"/>
        <v>2000000</v>
      </c>
      <c r="V24" s="4">
        <f t="shared" si="8"/>
        <v>2000000</v>
      </c>
      <c r="W24" s="4"/>
      <c r="X24" s="4"/>
      <c r="Y24" s="4"/>
      <c r="Z24" s="3"/>
      <c r="AA24" s="408" t="s">
        <v>1247</v>
      </c>
      <c r="AB24" s="3">
        <v>742000</v>
      </c>
      <c r="AC24" s="21"/>
      <c r="AD24" s="60"/>
      <c r="AE24" s="6"/>
      <c r="AF24" s="6"/>
    </row>
    <row r="25" spans="1:32" s="6" customFormat="1" ht="35.15" customHeight="1">
      <c r="A25" s="3">
        <f t="shared" si="9"/>
        <v>20</v>
      </c>
      <c r="B25" s="3">
        <v>1366</v>
      </c>
      <c r="C25" s="3" t="s">
        <v>44</v>
      </c>
      <c r="D25" s="4">
        <v>1500000</v>
      </c>
      <c r="E25" s="4">
        <v>1500000</v>
      </c>
      <c r="F25" s="4">
        <f t="shared" si="0"/>
        <v>0</v>
      </c>
      <c r="G25" s="4">
        <v>916000</v>
      </c>
      <c r="H25" s="4">
        <v>738983</v>
      </c>
      <c r="I25" s="4"/>
      <c r="J25" s="4">
        <v>7821</v>
      </c>
      <c r="K25" s="4">
        <f t="shared" si="1"/>
        <v>7821</v>
      </c>
      <c r="L25" s="4">
        <f t="shared" si="2"/>
        <v>746804</v>
      </c>
      <c r="M25" s="4">
        <f>P25+S25-70000</f>
        <v>99196</v>
      </c>
      <c r="N25" s="4"/>
      <c r="O25" s="4">
        <f t="shared" si="3"/>
        <v>654000</v>
      </c>
      <c r="P25" s="4">
        <f t="shared" si="4"/>
        <v>169196</v>
      </c>
      <c r="Q25" s="4"/>
      <c r="R25" s="4"/>
      <c r="S25" s="4">
        <f t="shared" si="5"/>
        <v>0</v>
      </c>
      <c r="T25" s="4">
        <f t="shared" si="6"/>
        <v>70000</v>
      </c>
      <c r="U25" s="4">
        <f t="shared" si="7"/>
        <v>-70000</v>
      </c>
      <c r="V25" s="4">
        <f t="shared" si="8"/>
        <v>-70000</v>
      </c>
      <c r="W25" s="4"/>
      <c r="X25" s="4"/>
      <c r="Y25" s="4"/>
      <c r="Z25" s="3"/>
      <c r="AA25" s="408" t="s">
        <v>1248</v>
      </c>
      <c r="AB25" s="3">
        <v>742000</v>
      </c>
      <c r="AC25" s="21"/>
      <c r="AD25" s="60"/>
      <c r="AE25" s="5"/>
      <c r="AF25" s="5"/>
    </row>
    <row r="26" spans="1:32" s="6" customFormat="1" ht="35.15" customHeight="1">
      <c r="A26" s="3">
        <f t="shared" si="9"/>
        <v>21</v>
      </c>
      <c r="B26" s="3">
        <v>1406</v>
      </c>
      <c r="C26" s="3" t="s">
        <v>201</v>
      </c>
      <c r="D26" s="4">
        <f>1400000+250000-350000</f>
        <v>1300000</v>
      </c>
      <c r="E26" s="4">
        <v>1300000</v>
      </c>
      <c r="F26" s="4">
        <f t="shared" si="0"/>
        <v>0</v>
      </c>
      <c r="G26" s="4">
        <f>1000000+300000</f>
        <v>1300000</v>
      </c>
      <c r="H26" s="4">
        <v>694328</v>
      </c>
      <c r="I26" s="4">
        <v>126373</v>
      </c>
      <c r="J26" s="4">
        <v>12432.48</v>
      </c>
      <c r="K26" s="4">
        <f t="shared" si="1"/>
        <v>138805.48000000001</v>
      </c>
      <c r="L26" s="4">
        <f t="shared" si="2"/>
        <v>833133.48</v>
      </c>
      <c r="M26" s="4">
        <f>P26+S26</f>
        <v>466866.52</v>
      </c>
      <c r="N26" s="4"/>
      <c r="O26" s="4">
        <f t="shared" si="3"/>
        <v>0</v>
      </c>
      <c r="P26" s="4">
        <f t="shared" si="4"/>
        <v>466866.52</v>
      </c>
      <c r="Q26" s="4"/>
      <c r="R26" s="4"/>
      <c r="S26" s="4">
        <f t="shared" si="5"/>
        <v>0</v>
      </c>
      <c r="T26" s="4">
        <f t="shared" si="6"/>
        <v>0</v>
      </c>
      <c r="U26" s="4">
        <f t="shared" si="7"/>
        <v>0</v>
      </c>
      <c r="V26" s="4">
        <f t="shared" si="8"/>
        <v>0</v>
      </c>
      <c r="W26" s="4"/>
      <c r="X26" s="4"/>
      <c r="Y26" s="4"/>
      <c r="Z26" s="3"/>
      <c r="AA26" s="408" t="s">
        <v>1178</v>
      </c>
      <c r="AB26" s="3">
        <v>732000</v>
      </c>
      <c r="AC26" s="21"/>
      <c r="AD26" s="60"/>
      <c r="AE26" s="5"/>
      <c r="AF26" s="5"/>
    </row>
    <row r="27" spans="1:32" s="6" customFormat="1" ht="35.15" customHeight="1">
      <c r="A27" s="3">
        <f t="shared" si="9"/>
        <v>22</v>
      </c>
      <c r="B27" s="3">
        <v>1407</v>
      </c>
      <c r="C27" s="3" t="s">
        <v>18</v>
      </c>
      <c r="D27" s="4">
        <f>6395000-1500000</f>
        <v>4895000</v>
      </c>
      <c r="E27" s="4">
        <v>4895000</v>
      </c>
      <c r="F27" s="4">
        <f t="shared" si="0"/>
        <v>0</v>
      </c>
      <c r="G27" s="4">
        <v>3495000</v>
      </c>
      <c r="H27" s="4">
        <v>2371902</v>
      </c>
      <c r="I27" s="4">
        <v>111224.98</v>
      </c>
      <c r="J27" s="4">
        <v>773210</v>
      </c>
      <c r="K27" s="4">
        <f t="shared" si="1"/>
        <v>884434.98</v>
      </c>
      <c r="L27" s="4">
        <f t="shared" si="2"/>
        <v>3256336.98</v>
      </c>
      <c r="M27" s="4">
        <f>P27+S27</f>
        <v>438663.02</v>
      </c>
      <c r="N27" s="4">
        <f>1000000-500000</f>
        <v>500000</v>
      </c>
      <c r="O27" s="4">
        <f t="shared" si="3"/>
        <v>700000</v>
      </c>
      <c r="P27" s="4">
        <f t="shared" si="4"/>
        <v>238663.02000000002</v>
      </c>
      <c r="Q27" s="4">
        <v>200000</v>
      </c>
      <c r="R27" s="4"/>
      <c r="S27" s="4">
        <f t="shared" si="5"/>
        <v>200000</v>
      </c>
      <c r="T27" s="4">
        <f t="shared" si="6"/>
        <v>0</v>
      </c>
      <c r="U27" s="4">
        <f t="shared" si="7"/>
        <v>500000</v>
      </c>
      <c r="V27" s="4">
        <f t="shared" si="8"/>
        <v>500000</v>
      </c>
      <c r="W27" s="4"/>
      <c r="X27" s="4"/>
      <c r="Y27" s="4"/>
      <c r="Z27" s="3"/>
      <c r="AA27" s="408" t="s">
        <v>1179</v>
      </c>
      <c r="AB27" s="3">
        <v>732000</v>
      </c>
      <c r="AC27" s="21"/>
      <c r="AD27" s="60"/>
    </row>
    <row r="28" spans="1:32" s="6" customFormat="1" ht="35.15" customHeight="1">
      <c r="A28" s="3">
        <f t="shared" si="9"/>
        <v>23</v>
      </c>
      <c r="B28" s="3">
        <v>1408</v>
      </c>
      <c r="C28" s="42" t="s">
        <v>1103</v>
      </c>
      <c r="D28" s="4">
        <v>1000000</v>
      </c>
      <c r="E28" s="4">
        <v>1000000</v>
      </c>
      <c r="F28" s="4">
        <f t="shared" si="0"/>
        <v>0</v>
      </c>
      <c r="G28" s="4">
        <v>100000</v>
      </c>
      <c r="H28" s="4">
        <v>0</v>
      </c>
      <c r="I28" s="4"/>
      <c r="J28" s="4"/>
      <c r="K28" s="4">
        <f t="shared" si="1"/>
        <v>0</v>
      </c>
      <c r="L28" s="4">
        <f t="shared" si="2"/>
        <v>0</v>
      </c>
      <c r="M28" s="4">
        <f>P28+S28</f>
        <v>200000</v>
      </c>
      <c r="N28" s="4">
        <f>300000-300000</f>
        <v>0</v>
      </c>
      <c r="O28" s="4">
        <f t="shared" si="3"/>
        <v>800000</v>
      </c>
      <c r="P28" s="4">
        <f t="shared" si="4"/>
        <v>100000</v>
      </c>
      <c r="Q28" s="4">
        <v>100000</v>
      </c>
      <c r="R28" s="4"/>
      <c r="S28" s="4">
        <f t="shared" si="5"/>
        <v>100000</v>
      </c>
      <c r="T28" s="4">
        <f t="shared" si="6"/>
        <v>0</v>
      </c>
      <c r="U28" s="4">
        <f t="shared" si="7"/>
        <v>0</v>
      </c>
      <c r="V28" s="4">
        <f t="shared" si="8"/>
        <v>0</v>
      </c>
      <c r="W28" s="4"/>
      <c r="X28" s="4"/>
      <c r="Y28" s="4"/>
      <c r="Z28" s="3"/>
      <c r="AA28" s="408" t="s">
        <v>643</v>
      </c>
      <c r="AB28" s="3">
        <v>732000</v>
      </c>
      <c r="AC28" s="21"/>
      <c r="AD28" s="60"/>
      <c r="AE28" s="5"/>
      <c r="AF28" s="5"/>
    </row>
    <row r="29" spans="1:32" s="5" customFormat="1" ht="35.15" customHeight="1">
      <c r="A29" s="3">
        <f>A28+1</f>
        <v>24</v>
      </c>
      <c r="B29" s="3">
        <v>1409</v>
      </c>
      <c r="C29" s="42" t="s">
        <v>1268</v>
      </c>
      <c r="D29" s="4">
        <v>7680000</v>
      </c>
      <c r="E29" s="4">
        <v>7300000</v>
      </c>
      <c r="F29" s="4">
        <f t="shared" si="0"/>
        <v>380000</v>
      </c>
      <c r="G29" s="4">
        <f>4000000+1000000</f>
        <v>5000000</v>
      </c>
      <c r="H29" s="4">
        <v>2980349</v>
      </c>
      <c r="I29" s="4">
        <v>558899.5</v>
      </c>
      <c r="J29" s="4">
        <v>324383</v>
      </c>
      <c r="K29" s="4">
        <f t="shared" si="1"/>
        <v>883282.5</v>
      </c>
      <c r="L29" s="4">
        <f t="shared" si="2"/>
        <v>3863631.5</v>
      </c>
      <c r="M29" s="4">
        <f>P29+S29-1000000</f>
        <v>136368.5</v>
      </c>
      <c r="N29" s="4">
        <f>3300000+380000</f>
        <v>3680000</v>
      </c>
      <c r="O29" s="4">
        <f t="shared" si="3"/>
        <v>0</v>
      </c>
      <c r="P29" s="4">
        <f t="shared" si="4"/>
        <v>1136368.5</v>
      </c>
      <c r="Q29" s="4"/>
      <c r="R29" s="4"/>
      <c r="S29" s="4">
        <f t="shared" si="5"/>
        <v>0</v>
      </c>
      <c r="T29" s="4">
        <f t="shared" si="6"/>
        <v>1000000</v>
      </c>
      <c r="U29" s="4">
        <f t="shared" si="7"/>
        <v>2680000</v>
      </c>
      <c r="V29" s="4">
        <f t="shared" si="8"/>
        <v>2680000</v>
      </c>
      <c r="W29" s="4"/>
      <c r="X29" s="4"/>
      <c r="Y29" s="4"/>
      <c r="Z29" s="3"/>
      <c r="AA29" s="408" t="s">
        <v>645</v>
      </c>
      <c r="AB29" s="3">
        <v>732000</v>
      </c>
      <c r="AC29" s="21"/>
      <c r="AD29" s="60"/>
      <c r="AE29" s="6"/>
      <c r="AF29" s="6"/>
    </row>
    <row r="30" spans="1:32" s="5" customFormat="1" ht="35.15" customHeight="1">
      <c r="A30" s="3">
        <f t="shared" si="9"/>
        <v>25</v>
      </c>
      <c r="B30" s="3">
        <v>1457</v>
      </c>
      <c r="C30" s="3" t="s">
        <v>317</v>
      </c>
      <c r="D30" s="4">
        <v>1100000</v>
      </c>
      <c r="E30" s="4">
        <v>1100000</v>
      </c>
      <c r="F30" s="4">
        <f t="shared" si="0"/>
        <v>0</v>
      </c>
      <c r="G30" s="4">
        <v>430000</v>
      </c>
      <c r="H30" s="4">
        <v>157316</v>
      </c>
      <c r="I30" s="4"/>
      <c r="J30" s="4">
        <v>44257</v>
      </c>
      <c r="K30" s="4">
        <f t="shared" si="1"/>
        <v>44257</v>
      </c>
      <c r="L30" s="4">
        <f t="shared" si="2"/>
        <v>201573</v>
      </c>
      <c r="M30" s="4">
        <f>P30+S30</f>
        <v>228427</v>
      </c>
      <c r="N30" s="4">
        <f>670000-170000-500000</f>
        <v>0</v>
      </c>
      <c r="O30" s="4">
        <f t="shared" si="3"/>
        <v>670000</v>
      </c>
      <c r="P30" s="4">
        <f t="shared" si="4"/>
        <v>228427</v>
      </c>
      <c r="Q30" s="4"/>
      <c r="R30" s="4"/>
      <c r="S30" s="4">
        <f t="shared" si="5"/>
        <v>0</v>
      </c>
      <c r="T30" s="4">
        <f t="shared" si="6"/>
        <v>0</v>
      </c>
      <c r="U30" s="4">
        <f t="shared" si="7"/>
        <v>0</v>
      </c>
      <c r="V30" s="4">
        <f t="shared" si="8"/>
        <v>0</v>
      </c>
      <c r="W30" s="4"/>
      <c r="X30" s="4"/>
      <c r="Y30" s="4"/>
      <c r="Z30" s="3"/>
      <c r="AA30" s="408" t="s">
        <v>646</v>
      </c>
      <c r="AB30" s="3">
        <v>742000</v>
      </c>
      <c r="AC30" s="21"/>
      <c r="AD30" s="60"/>
    </row>
    <row r="31" spans="1:32" s="5" customFormat="1" ht="35.15" customHeight="1">
      <c r="A31" s="3">
        <f t="shared" si="9"/>
        <v>26</v>
      </c>
      <c r="B31" s="3">
        <v>1466</v>
      </c>
      <c r="C31" s="3" t="s">
        <v>20</v>
      </c>
      <c r="D31" s="4">
        <v>2200000</v>
      </c>
      <c r="E31" s="4">
        <v>2200000</v>
      </c>
      <c r="F31" s="4">
        <f t="shared" si="0"/>
        <v>0</v>
      </c>
      <c r="G31" s="4">
        <v>1500000</v>
      </c>
      <c r="H31" s="4">
        <v>1161644</v>
      </c>
      <c r="I31" s="4"/>
      <c r="J31" s="4">
        <v>110168</v>
      </c>
      <c r="K31" s="4">
        <f t="shared" si="1"/>
        <v>110168</v>
      </c>
      <c r="L31" s="4">
        <f t="shared" si="2"/>
        <v>1271812</v>
      </c>
      <c r="M31" s="4">
        <f>P31+S31-100000</f>
        <v>128188</v>
      </c>
      <c r="N31" s="4">
        <f>200000+50000</f>
        <v>250000</v>
      </c>
      <c r="O31" s="4">
        <f t="shared" si="3"/>
        <v>550000</v>
      </c>
      <c r="P31" s="4">
        <f t="shared" si="4"/>
        <v>228188</v>
      </c>
      <c r="Q31" s="4"/>
      <c r="R31" s="4"/>
      <c r="S31" s="4">
        <f t="shared" si="5"/>
        <v>0</v>
      </c>
      <c r="T31" s="4">
        <f t="shared" si="6"/>
        <v>100000</v>
      </c>
      <c r="U31" s="4">
        <f t="shared" si="7"/>
        <v>150000</v>
      </c>
      <c r="V31" s="4">
        <f t="shared" si="8"/>
        <v>150000</v>
      </c>
      <c r="W31" s="4"/>
      <c r="X31" s="4"/>
      <c r="Y31" s="4"/>
      <c r="Z31" s="3"/>
      <c r="AA31" s="408" t="s">
        <v>647</v>
      </c>
      <c r="AB31" s="3">
        <v>732000</v>
      </c>
      <c r="AC31" s="21"/>
      <c r="AD31" s="60"/>
      <c r="AE31" s="6"/>
      <c r="AF31" s="6"/>
    </row>
    <row r="32" spans="1:32" s="5" customFormat="1" ht="35.15" customHeight="1">
      <c r="A32" s="3">
        <f t="shared" si="9"/>
        <v>27</v>
      </c>
      <c r="B32" s="3">
        <v>1511</v>
      </c>
      <c r="C32" s="337" t="s">
        <v>46</v>
      </c>
      <c r="D32" s="4">
        <v>960000</v>
      </c>
      <c r="E32" s="4">
        <v>960000</v>
      </c>
      <c r="F32" s="4">
        <f t="shared" si="0"/>
        <v>0</v>
      </c>
      <c r="G32" s="4">
        <v>100000</v>
      </c>
      <c r="H32" s="4">
        <v>17284</v>
      </c>
      <c r="I32" s="4"/>
      <c r="J32" s="4"/>
      <c r="K32" s="4">
        <f t="shared" si="1"/>
        <v>0</v>
      </c>
      <c r="L32" s="4">
        <f t="shared" si="2"/>
        <v>17284</v>
      </c>
      <c r="M32" s="4">
        <f>P32+S32</f>
        <v>82716</v>
      </c>
      <c r="N32" s="4"/>
      <c r="O32" s="4">
        <f t="shared" si="3"/>
        <v>860000</v>
      </c>
      <c r="P32" s="4">
        <f t="shared" si="4"/>
        <v>82716</v>
      </c>
      <c r="Q32" s="4"/>
      <c r="R32" s="4"/>
      <c r="S32" s="4">
        <f t="shared" si="5"/>
        <v>0</v>
      </c>
      <c r="T32" s="4">
        <f t="shared" si="6"/>
        <v>0</v>
      </c>
      <c r="U32" s="4">
        <f t="shared" si="7"/>
        <v>0</v>
      </c>
      <c r="V32" s="4">
        <f t="shared" si="8"/>
        <v>0</v>
      </c>
      <c r="W32" s="4"/>
      <c r="X32" s="4"/>
      <c r="Y32" s="4"/>
      <c r="Z32" s="3"/>
      <c r="AA32" s="408" t="s">
        <v>648</v>
      </c>
      <c r="AB32" s="3">
        <v>742000</v>
      </c>
      <c r="AC32" s="21"/>
      <c r="AD32" s="60"/>
    </row>
    <row r="33" spans="1:32" s="5" customFormat="1" ht="35.15" customHeight="1">
      <c r="A33" s="3">
        <f t="shared" si="9"/>
        <v>28</v>
      </c>
      <c r="B33" s="3">
        <v>1527</v>
      </c>
      <c r="C33" s="42" t="s">
        <v>1269</v>
      </c>
      <c r="D33" s="4">
        <v>3000000</v>
      </c>
      <c r="E33" s="4">
        <v>3000000</v>
      </c>
      <c r="F33" s="4">
        <f t="shared" si="0"/>
        <v>0</v>
      </c>
      <c r="G33" s="4">
        <v>1500000</v>
      </c>
      <c r="H33" s="4">
        <v>821144.02</v>
      </c>
      <c r="I33" s="4"/>
      <c r="J33" s="4">
        <v>1431</v>
      </c>
      <c r="K33" s="4">
        <f t="shared" si="1"/>
        <v>1431</v>
      </c>
      <c r="L33" s="4">
        <f t="shared" si="2"/>
        <v>822575.02</v>
      </c>
      <c r="M33" s="4">
        <f>P33+S33-650000</f>
        <v>27424.979999999981</v>
      </c>
      <c r="N33" s="4">
        <f>1000000-1000000</f>
        <v>0</v>
      </c>
      <c r="O33" s="4">
        <f t="shared" si="3"/>
        <v>2150000</v>
      </c>
      <c r="P33" s="4">
        <f t="shared" si="4"/>
        <v>677424.98</v>
      </c>
      <c r="Q33" s="4"/>
      <c r="R33" s="4"/>
      <c r="S33" s="4">
        <f t="shared" si="5"/>
        <v>0</v>
      </c>
      <c r="T33" s="4">
        <f t="shared" si="6"/>
        <v>650000</v>
      </c>
      <c r="U33" s="4">
        <f t="shared" si="7"/>
        <v>-650000</v>
      </c>
      <c r="V33" s="4">
        <f t="shared" si="8"/>
        <v>-650000</v>
      </c>
      <c r="W33" s="4"/>
      <c r="X33" s="4"/>
      <c r="Y33" s="4"/>
      <c r="Z33" s="3"/>
      <c r="AA33" s="408" t="s">
        <v>1180</v>
      </c>
      <c r="AB33" s="3">
        <v>732000</v>
      </c>
      <c r="AC33" s="21"/>
      <c r="AD33" s="60"/>
    </row>
    <row r="34" spans="1:32" s="5" customFormat="1" ht="35.15" customHeight="1">
      <c r="A34" s="3">
        <f t="shared" si="9"/>
        <v>29</v>
      </c>
      <c r="B34" s="3">
        <v>1529</v>
      </c>
      <c r="C34" s="3" t="s">
        <v>61</v>
      </c>
      <c r="D34" s="4">
        <f>350000+50000</f>
        <v>400000</v>
      </c>
      <c r="E34" s="4">
        <v>350000</v>
      </c>
      <c r="F34" s="4">
        <f t="shared" si="0"/>
        <v>50000</v>
      </c>
      <c r="G34" s="4">
        <f>200000+100000+50000</f>
        <v>350000</v>
      </c>
      <c r="H34" s="4">
        <v>183866.55</v>
      </c>
      <c r="I34" s="4"/>
      <c r="J34" s="4"/>
      <c r="K34" s="4">
        <f t="shared" si="1"/>
        <v>0</v>
      </c>
      <c r="L34" s="4">
        <f t="shared" si="2"/>
        <v>183866.55</v>
      </c>
      <c r="M34" s="4">
        <f>P34+S34</f>
        <v>166133.45000000001</v>
      </c>
      <c r="N34" s="4">
        <v>50000</v>
      </c>
      <c r="O34" s="4">
        <f t="shared" si="3"/>
        <v>0</v>
      </c>
      <c r="P34" s="4">
        <f t="shared" si="4"/>
        <v>166133.45000000001</v>
      </c>
      <c r="Q34" s="4"/>
      <c r="R34" s="4"/>
      <c r="S34" s="4">
        <f t="shared" si="5"/>
        <v>0</v>
      </c>
      <c r="T34" s="4">
        <f t="shared" si="6"/>
        <v>0</v>
      </c>
      <c r="U34" s="4">
        <f t="shared" si="7"/>
        <v>50000</v>
      </c>
      <c r="V34" s="4">
        <f t="shared" si="8"/>
        <v>50000</v>
      </c>
      <c r="W34" s="4"/>
      <c r="X34" s="4"/>
      <c r="Y34" s="4"/>
      <c r="Z34" s="3"/>
      <c r="AA34" s="408" t="s">
        <v>1104</v>
      </c>
      <c r="AB34" s="3">
        <v>760000</v>
      </c>
      <c r="AC34" s="21"/>
      <c r="AD34" s="60"/>
    </row>
    <row r="35" spans="1:32" s="5" customFormat="1" ht="35.15" customHeight="1">
      <c r="A35" s="3">
        <f t="shared" si="9"/>
        <v>30</v>
      </c>
      <c r="B35" s="3">
        <v>1551</v>
      </c>
      <c r="C35" s="3" t="s">
        <v>166</v>
      </c>
      <c r="D35" s="4">
        <f>1225240-700000</f>
        <v>525240</v>
      </c>
      <c r="E35" s="4">
        <v>225240</v>
      </c>
      <c r="F35" s="4">
        <f t="shared" si="0"/>
        <v>300000</v>
      </c>
      <c r="G35" s="4">
        <v>225240</v>
      </c>
      <c r="H35" s="4">
        <v>204671</v>
      </c>
      <c r="I35" s="4"/>
      <c r="J35" s="4">
        <v>19855</v>
      </c>
      <c r="K35" s="4">
        <f t="shared" ref="K35:K65" si="10">SUM(I35:J35)</f>
        <v>19855</v>
      </c>
      <c r="L35" s="4">
        <f t="shared" si="2"/>
        <v>224526</v>
      </c>
      <c r="M35" s="4">
        <f>P35+S35</f>
        <v>714</v>
      </c>
      <c r="N35" s="4">
        <f>800000-500000</f>
        <v>300000</v>
      </c>
      <c r="O35" s="4">
        <f t="shared" si="3"/>
        <v>0</v>
      </c>
      <c r="P35" s="4">
        <f t="shared" si="4"/>
        <v>714</v>
      </c>
      <c r="Q35" s="4"/>
      <c r="R35" s="4"/>
      <c r="S35" s="4">
        <f t="shared" si="5"/>
        <v>0</v>
      </c>
      <c r="T35" s="4">
        <f t="shared" si="6"/>
        <v>0</v>
      </c>
      <c r="U35" s="4">
        <f t="shared" si="7"/>
        <v>300000</v>
      </c>
      <c r="V35" s="4">
        <f t="shared" si="8"/>
        <v>300000</v>
      </c>
      <c r="W35" s="4"/>
      <c r="X35" s="4"/>
      <c r="Y35" s="4"/>
      <c r="Z35" s="3"/>
      <c r="AA35" s="408" t="s">
        <v>1181</v>
      </c>
      <c r="AB35" s="3">
        <v>732000</v>
      </c>
      <c r="AC35" s="21"/>
      <c r="AD35" s="60"/>
    </row>
    <row r="36" spans="1:32" s="6" customFormat="1" ht="35.15" customHeight="1">
      <c r="A36" s="3">
        <f>A35+1</f>
        <v>31</v>
      </c>
      <c r="B36" s="3">
        <v>1568</v>
      </c>
      <c r="C36" s="3" t="s">
        <v>62</v>
      </c>
      <c r="D36" s="4">
        <v>46375301</v>
      </c>
      <c r="E36" s="4">
        <v>46375301</v>
      </c>
      <c r="F36" s="4">
        <f t="shared" si="0"/>
        <v>0</v>
      </c>
      <c r="G36" s="4">
        <v>28875301</v>
      </c>
      <c r="H36" s="4">
        <v>27763823.309999999</v>
      </c>
      <c r="I36" s="4">
        <v>822126.24</v>
      </c>
      <c r="J36" s="4">
        <v>55294</v>
      </c>
      <c r="K36" s="4">
        <f t="shared" si="10"/>
        <v>877420.24</v>
      </c>
      <c r="L36" s="4">
        <f t="shared" si="2"/>
        <v>28641243.549999997</v>
      </c>
      <c r="M36" s="4">
        <f>P36+S36</f>
        <v>234057.45000000298</v>
      </c>
      <c r="N36" s="4">
        <f>17500000-17500000</f>
        <v>0</v>
      </c>
      <c r="O36" s="4">
        <f t="shared" si="3"/>
        <v>17500000</v>
      </c>
      <c r="P36" s="4">
        <f t="shared" si="4"/>
        <v>234057.45000000298</v>
      </c>
      <c r="Q36" s="4"/>
      <c r="R36" s="4"/>
      <c r="S36" s="4">
        <f t="shared" si="5"/>
        <v>0</v>
      </c>
      <c r="T36" s="4">
        <f t="shared" si="6"/>
        <v>0</v>
      </c>
      <c r="U36" s="4">
        <f t="shared" si="7"/>
        <v>0</v>
      </c>
      <c r="V36" s="4">
        <f t="shared" si="8"/>
        <v>0</v>
      </c>
      <c r="W36" s="4"/>
      <c r="X36" s="4"/>
      <c r="Y36" s="4"/>
      <c r="Z36" s="3"/>
      <c r="AA36" s="408"/>
      <c r="AB36" s="3">
        <v>746000</v>
      </c>
      <c r="AC36" s="21"/>
      <c r="AD36" s="60"/>
      <c r="AE36" s="5"/>
      <c r="AF36" s="5"/>
    </row>
    <row r="37" spans="1:32" s="6" customFormat="1" ht="35.15" customHeight="1">
      <c r="A37" s="3">
        <f t="shared" si="9"/>
        <v>32</v>
      </c>
      <c r="B37" s="3">
        <v>1576</v>
      </c>
      <c r="C37" s="3" t="s">
        <v>63</v>
      </c>
      <c r="D37" s="4">
        <v>1000000</v>
      </c>
      <c r="E37" s="4">
        <v>1000000</v>
      </c>
      <c r="F37" s="4">
        <f t="shared" si="0"/>
        <v>0</v>
      </c>
      <c r="G37" s="4">
        <v>450000</v>
      </c>
      <c r="H37" s="4">
        <v>356478.17</v>
      </c>
      <c r="I37" s="4">
        <v>42295</v>
      </c>
      <c r="J37" s="4"/>
      <c r="K37" s="4">
        <f t="shared" si="10"/>
        <v>42295</v>
      </c>
      <c r="L37" s="4">
        <f t="shared" si="2"/>
        <v>398773.17</v>
      </c>
      <c r="M37" s="4">
        <f>P37+S37-30000</f>
        <v>21226.830000000016</v>
      </c>
      <c r="N37" s="4"/>
      <c r="O37" s="4">
        <f t="shared" si="3"/>
        <v>580000</v>
      </c>
      <c r="P37" s="4">
        <f t="shared" si="4"/>
        <v>51226.830000000016</v>
      </c>
      <c r="Q37" s="4"/>
      <c r="R37" s="4"/>
      <c r="S37" s="4">
        <f t="shared" si="5"/>
        <v>0</v>
      </c>
      <c r="T37" s="4">
        <f t="shared" si="6"/>
        <v>30000</v>
      </c>
      <c r="U37" s="4">
        <f t="shared" si="7"/>
        <v>-30000</v>
      </c>
      <c r="V37" s="4">
        <f t="shared" si="8"/>
        <v>-30000</v>
      </c>
      <c r="W37" s="4"/>
      <c r="X37" s="4"/>
      <c r="Y37" s="4"/>
      <c r="Z37" s="3"/>
      <c r="AA37" s="408" t="s">
        <v>1182</v>
      </c>
      <c r="AB37" s="3">
        <v>732000</v>
      </c>
      <c r="AC37" s="21"/>
      <c r="AD37" s="60"/>
      <c r="AE37" s="5"/>
      <c r="AF37" s="5"/>
    </row>
    <row r="38" spans="1:32" s="5" customFormat="1" ht="35.15" customHeight="1">
      <c r="A38" s="3">
        <f t="shared" si="9"/>
        <v>33</v>
      </c>
      <c r="B38" s="3">
        <v>1587</v>
      </c>
      <c r="C38" s="3" t="s">
        <v>169</v>
      </c>
      <c r="D38" s="4">
        <v>34200000</v>
      </c>
      <c r="E38" s="4">
        <v>34200000</v>
      </c>
      <c r="F38" s="4">
        <f t="shared" si="0"/>
        <v>0</v>
      </c>
      <c r="G38" s="4">
        <v>10800000</v>
      </c>
      <c r="H38" s="4">
        <v>7946383.1699999999</v>
      </c>
      <c r="I38" s="4">
        <v>512415.18</v>
      </c>
      <c r="J38" s="4">
        <v>182023</v>
      </c>
      <c r="K38" s="4">
        <f t="shared" si="10"/>
        <v>694438.17999999993</v>
      </c>
      <c r="L38" s="4">
        <f t="shared" si="2"/>
        <v>8640821.3499999996</v>
      </c>
      <c r="M38" s="4">
        <f>P38+S38</f>
        <v>2159178.6500000004</v>
      </c>
      <c r="N38" s="4">
        <f>12500000-6500000</f>
        <v>6000000</v>
      </c>
      <c r="O38" s="4">
        <f t="shared" si="3"/>
        <v>17400000</v>
      </c>
      <c r="P38" s="4">
        <f t="shared" si="4"/>
        <v>2159178.6500000004</v>
      </c>
      <c r="Q38" s="4"/>
      <c r="R38" s="4"/>
      <c r="S38" s="4">
        <f t="shared" si="5"/>
        <v>0</v>
      </c>
      <c r="T38" s="4">
        <f t="shared" si="6"/>
        <v>0</v>
      </c>
      <c r="U38" s="4">
        <f t="shared" si="7"/>
        <v>6000000</v>
      </c>
      <c r="V38" s="4">
        <f t="shared" si="8"/>
        <v>6000000</v>
      </c>
      <c r="W38" s="4"/>
      <c r="X38" s="4"/>
      <c r="Y38" s="4"/>
      <c r="Z38" s="3"/>
      <c r="AA38" s="408" t="s">
        <v>1100</v>
      </c>
      <c r="AB38" s="3">
        <v>742000</v>
      </c>
      <c r="AC38" s="21"/>
      <c r="AD38" s="60"/>
    </row>
    <row r="39" spans="1:32" s="6" customFormat="1" ht="35.15" customHeight="1">
      <c r="A39" s="3">
        <f t="shared" si="9"/>
        <v>34</v>
      </c>
      <c r="B39" s="3">
        <v>1601</v>
      </c>
      <c r="C39" s="3" t="s">
        <v>48</v>
      </c>
      <c r="D39" s="4">
        <v>700000</v>
      </c>
      <c r="E39" s="4">
        <v>700000</v>
      </c>
      <c r="F39" s="4">
        <f t="shared" si="0"/>
        <v>0</v>
      </c>
      <c r="G39" s="4">
        <v>650000</v>
      </c>
      <c r="H39" s="4">
        <v>484363</v>
      </c>
      <c r="I39" s="4"/>
      <c r="J39" s="4">
        <v>36804</v>
      </c>
      <c r="K39" s="4">
        <f t="shared" si="10"/>
        <v>36804</v>
      </c>
      <c r="L39" s="4">
        <f t="shared" si="2"/>
        <v>521167</v>
      </c>
      <c r="M39" s="4">
        <f>P39+S39</f>
        <v>128833</v>
      </c>
      <c r="N39" s="4"/>
      <c r="O39" s="4">
        <f t="shared" si="3"/>
        <v>50000</v>
      </c>
      <c r="P39" s="4">
        <f t="shared" si="4"/>
        <v>128833</v>
      </c>
      <c r="Q39" s="4"/>
      <c r="R39" s="4"/>
      <c r="S39" s="4">
        <f t="shared" si="5"/>
        <v>0</v>
      </c>
      <c r="T39" s="4">
        <f t="shared" si="6"/>
        <v>0</v>
      </c>
      <c r="U39" s="4">
        <f t="shared" si="7"/>
        <v>0</v>
      </c>
      <c r="V39" s="4">
        <f t="shared" si="8"/>
        <v>0</v>
      </c>
      <c r="W39" s="4"/>
      <c r="X39" s="4"/>
      <c r="Y39" s="4"/>
      <c r="Z39" s="3"/>
      <c r="AA39" s="408"/>
      <c r="AB39" s="3">
        <v>742000</v>
      </c>
      <c r="AC39" s="21"/>
      <c r="AD39" s="60"/>
      <c r="AE39" s="5"/>
      <c r="AF39" s="5"/>
    </row>
    <row r="40" spans="1:32" s="5" customFormat="1" ht="35.15" customHeight="1">
      <c r="A40" s="3">
        <f>A39+1</f>
        <v>35</v>
      </c>
      <c r="B40" s="3">
        <v>1602</v>
      </c>
      <c r="C40" s="3" t="s">
        <v>32</v>
      </c>
      <c r="D40" s="4">
        <f>34500000-5000000</f>
        <v>29500000</v>
      </c>
      <c r="E40" s="4">
        <v>34500000</v>
      </c>
      <c r="F40" s="4">
        <f t="shared" si="0"/>
        <v>-5000000</v>
      </c>
      <c r="G40" s="4">
        <v>34500000</v>
      </c>
      <c r="H40" s="4">
        <v>12660980.98</v>
      </c>
      <c r="I40" s="4">
        <v>15501950.34</v>
      </c>
      <c r="J40" s="4">
        <v>185508.12</v>
      </c>
      <c r="K40" s="4">
        <f t="shared" si="10"/>
        <v>15687458.459999999</v>
      </c>
      <c r="L40" s="4">
        <f t="shared" si="2"/>
        <v>28348439.439999998</v>
      </c>
      <c r="M40" s="4">
        <f>P40+S40-5000000</f>
        <v>1151560.5600000024</v>
      </c>
      <c r="N40" s="4"/>
      <c r="O40" s="4">
        <f t="shared" si="3"/>
        <v>0</v>
      </c>
      <c r="P40" s="4">
        <f t="shared" si="4"/>
        <v>6151560.5600000024</v>
      </c>
      <c r="Q40" s="4"/>
      <c r="R40" s="4"/>
      <c r="S40" s="4">
        <f t="shared" si="5"/>
        <v>0</v>
      </c>
      <c r="T40" s="4">
        <f t="shared" si="6"/>
        <v>5000000</v>
      </c>
      <c r="U40" s="4">
        <f t="shared" si="7"/>
        <v>-5000000</v>
      </c>
      <c r="V40" s="4">
        <f t="shared" si="8"/>
        <v>-5000000</v>
      </c>
      <c r="W40" s="4"/>
      <c r="X40" s="4"/>
      <c r="Y40" s="4"/>
      <c r="Z40" s="3"/>
      <c r="AA40" s="408" t="s">
        <v>1183</v>
      </c>
      <c r="AB40" s="3">
        <v>742000</v>
      </c>
      <c r="AC40" s="21"/>
      <c r="AD40" s="60"/>
    </row>
    <row r="41" spans="1:32" s="5" customFormat="1" ht="35.15" customHeight="1">
      <c r="A41" s="3">
        <f t="shared" si="9"/>
        <v>36</v>
      </c>
      <c r="B41" s="3">
        <v>1619</v>
      </c>
      <c r="C41" s="3" t="s">
        <v>167</v>
      </c>
      <c r="D41" s="4">
        <f>350000-100000</f>
        <v>250000</v>
      </c>
      <c r="E41" s="4">
        <v>200000</v>
      </c>
      <c r="F41" s="4">
        <f t="shared" si="0"/>
        <v>50000</v>
      </c>
      <c r="G41" s="4">
        <v>200000</v>
      </c>
      <c r="H41" s="4">
        <v>75387</v>
      </c>
      <c r="I41" s="4"/>
      <c r="J41" s="4">
        <v>25400.9</v>
      </c>
      <c r="K41" s="4">
        <f t="shared" si="10"/>
        <v>25400.9</v>
      </c>
      <c r="L41" s="4">
        <f t="shared" si="2"/>
        <v>100787.9</v>
      </c>
      <c r="M41" s="4">
        <f>P41+S41</f>
        <v>99212.1</v>
      </c>
      <c r="N41" s="4">
        <f>100000-50000</f>
        <v>50000</v>
      </c>
      <c r="O41" s="4">
        <f t="shared" si="3"/>
        <v>0</v>
      </c>
      <c r="P41" s="4">
        <f t="shared" si="4"/>
        <v>99212.1</v>
      </c>
      <c r="Q41" s="4"/>
      <c r="R41" s="4"/>
      <c r="S41" s="4">
        <f t="shared" si="5"/>
        <v>0</v>
      </c>
      <c r="T41" s="4">
        <f t="shared" si="6"/>
        <v>0</v>
      </c>
      <c r="U41" s="4">
        <f t="shared" si="7"/>
        <v>50000</v>
      </c>
      <c r="V41" s="4">
        <f t="shared" si="8"/>
        <v>50000</v>
      </c>
      <c r="W41" s="4"/>
      <c r="X41" s="4"/>
      <c r="Y41" s="4"/>
      <c r="Z41" s="3"/>
      <c r="AA41" s="408" t="s">
        <v>1184</v>
      </c>
      <c r="AB41" s="3">
        <v>732000</v>
      </c>
      <c r="AC41" s="21"/>
      <c r="AD41" s="60"/>
    </row>
    <row r="42" spans="1:32" s="5" customFormat="1" ht="35.15" customHeight="1">
      <c r="A42" s="3">
        <f t="shared" si="9"/>
        <v>37</v>
      </c>
      <c r="B42" s="3">
        <v>1620</v>
      </c>
      <c r="C42" s="42" t="s">
        <v>1270</v>
      </c>
      <c r="D42" s="4">
        <v>1000000</v>
      </c>
      <c r="E42" s="4">
        <v>1000000</v>
      </c>
      <c r="F42" s="4">
        <f t="shared" si="0"/>
        <v>0</v>
      </c>
      <c r="G42" s="4">
        <v>100000</v>
      </c>
      <c r="H42" s="4">
        <v>0</v>
      </c>
      <c r="I42" s="4"/>
      <c r="J42" s="4"/>
      <c r="K42" s="4">
        <f t="shared" si="10"/>
        <v>0</v>
      </c>
      <c r="L42" s="4">
        <f t="shared" si="2"/>
        <v>0</v>
      </c>
      <c r="M42" s="4">
        <f>P42+S42</f>
        <v>100000</v>
      </c>
      <c r="N42" s="4">
        <f>300000-100000</f>
        <v>200000</v>
      </c>
      <c r="O42" s="4">
        <f t="shared" si="3"/>
        <v>700000</v>
      </c>
      <c r="P42" s="4">
        <f t="shared" si="4"/>
        <v>100000</v>
      </c>
      <c r="Q42" s="4"/>
      <c r="R42" s="4"/>
      <c r="S42" s="4">
        <f t="shared" si="5"/>
        <v>0</v>
      </c>
      <c r="T42" s="4">
        <f t="shared" si="6"/>
        <v>0</v>
      </c>
      <c r="U42" s="4">
        <f t="shared" si="7"/>
        <v>200000</v>
      </c>
      <c r="V42" s="4">
        <f t="shared" si="8"/>
        <v>200000</v>
      </c>
      <c r="W42" s="4"/>
      <c r="X42" s="4"/>
      <c r="Y42" s="4"/>
      <c r="Z42" s="3"/>
      <c r="AA42" s="408" t="s">
        <v>1489</v>
      </c>
      <c r="AB42" s="3">
        <v>732000</v>
      </c>
      <c r="AC42" s="21"/>
      <c r="AD42" s="60"/>
    </row>
    <row r="43" spans="1:32" s="5" customFormat="1" ht="35.15" customHeight="1">
      <c r="A43" s="3">
        <f t="shared" si="9"/>
        <v>38</v>
      </c>
      <c r="B43" s="3">
        <v>1660</v>
      </c>
      <c r="C43" s="3" t="s">
        <v>22</v>
      </c>
      <c r="D43" s="4">
        <v>2000000</v>
      </c>
      <c r="E43" s="4">
        <v>2000000</v>
      </c>
      <c r="F43" s="4">
        <f t="shared" si="0"/>
        <v>0</v>
      </c>
      <c r="G43" s="4">
        <v>350000</v>
      </c>
      <c r="H43" s="4">
        <v>91264</v>
      </c>
      <c r="I43" s="4"/>
      <c r="J43" s="4">
        <v>16666.650000000001</v>
      </c>
      <c r="K43" s="4">
        <f t="shared" si="10"/>
        <v>16666.650000000001</v>
      </c>
      <c r="L43" s="4">
        <f t="shared" si="2"/>
        <v>107930.65</v>
      </c>
      <c r="M43" s="4">
        <f>P43+S43-150000</f>
        <v>92069.35</v>
      </c>
      <c r="N43" s="4">
        <f>500000-100000</f>
        <v>400000</v>
      </c>
      <c r="O43" s="4">
        <f t="shared" si="3"/>
        <v>1400000</v>
      </c>
      <c r="P43" s="4">
        <f t="shared" si="4"/>
        <v>242069.35</v>
      </c>
      <c r="Q43" s="4"/>
      <c r="R43" s="4"/>
      <c r="S43" s="4">
        <f t="shared" si="5"/>
        <v>0</v>
      </c>
      <c r="T43" s="4">
        <f t="shared" si="6"/>
        <v>150000</v>
      </c>
      <c r="U43" s="4">
        <f t="shared" si="7"/>
        <v>250000</v>
      </c>
      <c r="V43" s="4">
        <f t="shared" si="8"/>
        <v>250000</v>
      </c>
      <c r="W43" s="4"/>
      <c r="X43" s="4"/>
      <c r="Y43" s="4"/>
      <c r="Z43" s="3"/>
      <c r="AA43" s="408" t="s">
        <v>652</v>
      </c>
      <c r="AB43" s="3">
        <v>732000</v>
      </c>
      <c r="AC43" s="21"/>
      <c r="AD43" s="60"/>
    </row>
    <row r="44" spans="1:32" s="6" customFormat="1" ht="35.15" customHeight="1">
      <c r="A44" s="3">
        <f t="shared" si="9"/>
        <v>39</v>
      </c>
      <c r="B44" s="3">
        <v>1670</v>
      </c>
      <c r="C44" s="3" t="s">
        <v>170</v>
      </c>
      <c r="D44" s="4">
        <v>12500000</v>
      </c>
      <c r="E44" s="4">
        <v>12500000</v>
      </c>
      <c r="F44" s="4">
        <f t="shared" si="0"/>
        <v>0</v>
      </c>
      <c r="G44" s="4">
        <v>3800000</v>
      </c>
      <c r="H44" s="4">
        <v>168571</v>
      </c>
      <c r="I44" s="4">
        <v>195569.65</v>
      </c>
      <c r="J44" s="4">
        <f>968112-918635</f>
        <v>49477</v>
      </c>
      <c r="K44" s="4">
        <f t="shared" si="10"/>
        <v>245046.65</v>
      </c>
      <c r="L44" s="4">
        <f t="shared" si="2"/>
        <v>413617.65</v>
      </c>
      <c r="M44" s="4">
        <f>P44+S44-2450000-900000</f>
        <v>36382.350000000093</v>
      </c>
      <c r="N44" s="4">
        <f>2450000-2050000</f>
        <v>400000</v>
      </c>
      <c r="O44" s="4">
        <f t="shared" si="3"/>
        <v>11650000</v>
      </c>
      <c r="P44" s="4">
        <f t="shared" si="4"/>
        <v>3386382.35</v>
      </c>
      <c r="Q44" s="4"/>
      <c r="R44" s="4"/>
      <c r="S44" s="4">
        <f t="shared" si="5"/>
        <v>0</v>
      </c>
      <c r="T44" s="4">
        <f t="shared" si="6"/>
        <v>3350000</v>
      </c>
      <c r="U44" s="4">
        <f t="shared" si="7"/>
        <v>-2950000</v>
      </c>
      <c r="V44" s="4">
        <f t="shared" si="8"/>
        <v>-2950000</v>
      </c>
      <c r="W44" s="4"/>
      <c r="X44" s="4"/>
      <c r="Y44" s="4"/>
      <c r="Z44" s="3"/>
      <c r="AA44" s="408" t="s">
        <v>1249</v>
      </c>
      <c r="AB44" s="3">
        <v>742000</v>
      </c>
      <c r="AC44" s="21"/>
      <c r="AD44" s="60"/>
      <c r="AE44" s="5"/>
      <c r="AF44" s="5"/>
    </row>
    <row r="45" spans="1:32" s="5" customFormat="1" ht="35.15" customHeight="1">
      <c r="A45" s="3">
        <f>A44+1</f>
        <v>40</v>
      </c>
      <c r="B45" s="3">
        <v>1674</v>
      </c>
      <c r="C45" s="3" t="s">
        <v>23</v>
      </c>
      <c r="D45" s="4">
        <v>2300000</v>
      </c>
      <c r="E45" s="4">
        <v>2100000</v>
      </c>
      <c r="F45" s="4">
        <f t="shared" si="0"/>
        <v>200000</v>
      </c>
      <c r="G45" s="4">
        <v>1800000</v>
      </c>
      <c r="H45" s="4">
        <v>1346844</v>
      </c>
      <c r="I45" s="4">
        <v>106408</v>
      </c>
      <c r="J45" s="4">
        <v>225895</v>
      </c>
      <c r="K45" s="4">
        <f t="shared" si="10"/>
        <v>332303</v>
      </c>
      <c r="L45" s="4">
        <f t="shared" si="2"/>
        <v>1679147</v>
      </c>
      <c r="M45" s="4">
        <f>P45+S45</f>
        <v>120853</v>
      </c>
      <c r="N45" s="4">
        <v>500000</v>
      </c>
      <c r="O45" s="4">
        <f t="shared" si="3"/>
        <v>0</v>
      </c>
      <c r="P45" s="4">
        <f t="shared" si="4"/>
        <v>120853</v>
      </c>
      <c r="Q45" s="4"/>
      <c r="R45" s="4"/>
      <c r="S45" s="4">
        <f t="shared" si="5"/>
        <v>0</v>
      </c>
      <c r="T45" s="4">
        <f t="shared" si="6"/>
        <v>0</v>
      </c>
      <c r="U45" s="4">
        <f t="shared" si="7"/>
        <v>500000</v>
      </c>
      <c r="V45" s="4">
        <f t="shared" si="8"/>
        <v>500000</v>
      </c>
      <c r="W45" s="4"/>
      <c r="X45" s="4"/>
      <c r="Y45" s="4"/>
      <c r="Z45" s="4"/>
      <c r="AA45" s="408" t="s">
        <v>653</v>
      </c>
      <c r="AB45" s="3">
        <v>732000</v>
      </c>
      <c r="AC45" s="21"/>
      <c r="AD45" s="60"/>
      <c r="AE45" s="7"/>
      <c r="AF45" s="7"/>
    </row>
    <row r="46" spans="1:32" s="6" customFormat="1" ht="35.15" customHeight="1">
      <c r="A46" s="3">
        <f>A45+1</f>
        <v>41</v>
      </c>
      <c r="B46" s="3">
        <v>1692</v>
      </c>
      <c r="C46" s="3" t="s">
        <v>24</v>
      </c>
      <c r="D46" s="4">
        <v>2450000</v>
      </c>
      <c r="E46" s="4">
        <v>2450000</v>
      </c>
      <c r="F46" s="4">
        <f t="shared" si="0"/>
        <v>0</v>
      </c>
      <c r="G46" s="4">
        <v>1439186</v>
      </c>
      <c r="H46" s="4">
        <v>552319</v>
      </c>
      <c r="I46" s="4">
        <v>128716</v>
      </c>
      <c r="J46" s="4">
        <v>186</v>
      </c>
      <c r="K46" s="4">
        <f t="shared" si="10"/>
        <v>128902</v>
      </c>
      <c r="L46" s="4">
        <f t="shared" si="2"/>
        <v>681221</v>
      </c>
      <c r="M46" s="4">
        <f>P46+S46</f>
        <v>757965</v>
      </c>
      <c r="N46" s="4">
        <f>332242+370000</f>
        <v>702242</v>
      </c>
      <c r="O46" s="4">
        <f t="shared" si="3"/>
        <v>308572</v>
      </c>
      <c r="P46" s="4">
        <f t="shared" si="4"/>
        <v>757965</v>
      </c>
      <c r="Q46" s="4"/>
      <c r="R46" s="4"/>
      <c r="S46" s="4">
        <f t="shared" si="5"/>
        <v>0</v>
      </c>
      <c r="T46" s="4">
        <f t="shared" si="6"/>
        <v>0</v>
      </c>
      <c r="U46" s="4">
        <f t="shared" si="7"/>
        <v>702242</v>
      </c>
      <c r="V46" s="4">
        <f t="shared" si="8"/>
        <v>394919</v>
      </c>
      <c r="W46" s="4"/>
      <c r="X46" s="4"/>
      <c r="Y46" s="4"/>
      <c r="Z46" s="4">
        <f>307323</f>
        <v>307323</v>
      </c>
      <c r="AA46" s="408" t="s">
        <v>1185</v>
      </c>
      <c r="AB46" s="3">
        <v>732000</v>
      </c>
      <c r="AC46" s="21"/>
      <c r="AD46" s="60"/>
      <c r="AE46" s="5"/>
      <c r="AF46" s="5"/>
    </row>
    <row r="47" spans="1:32" s="5" customFormat="1" ht="35.15" customHeight="1">
      <c r="A47" s="3">
        <f t="shared" ref="A47:A103" si="11">A46+1</f>
        <v>42</v>
      </c>
      <c r="B47" s="3">
        <v>1693</v>
      </c>
      <c r="C47" s="3" t="s">
        <v>202</v>
      </c>
      <c r="D47" s="4">
        <v>4500000</v>
      </c>
      <c r="E47" s="4">
        <v>4500000</v>
      </c>
      <c r="F47" s="4">
        <f t="shared" si="0"/>
        <v>0</v>
      </c>
      <c r="G47" s="4">
        <f>362478+1873003</f>
        <v>2235481</v>
      </c>
      <c r="H47" s="4">
        <v>312538.53000000003</v>
      </c>
      <c r="I47" s="4">
        <v>48062.98</v>
      </c>
      <c r="J47" s="4"/>
      <c r="K47" s="4">
        <f t="shared" si="10"/>
        <v>48062.98</v>
      </c>
      <c r="L47" s="4">
        <f t="shared" si="2"/>
        <v>360601.51</v>
      </c>
      <c r="M47" s="4">
        <f>P47+S47</f>
        <v>1874879.49</v>
      </c>
      <c r="N47" s="4">
        <f>1100000-1100000</f>
        <v>0</v>
      </c>
      <c r="O47" s="4">
        <f t="shared" si="3"/>
        <v>2264519</v>
      </c>
      <c r="P47" s="4">
        <f t="shared" si="4"/>
        <v>1874879.49</v>
      </c>
      <c r="Q47" s="4"/>
      <c r="R47" s="4"/>
      <c r="S47" s="4">
        <f t="shared" si="5"/>
        <v>0</v>
      </c>
      <c r="T47" s="4">
        <f t="shared" si="6"/>
        <v>0</v>
      </c>
      <c r="U47" s="4">
        <f t="shared" si="7"/>
        <v>0</v>
      </c>
      <c r="V47" s="4">
        <f t="shared" si="8"/>
        <v>-17810</v>
      </c>
      <c r="W47" s="4"/>
      <c r="X47" s="4"/>
      <c r="Y47" s="4"/>
      <c r="Z47" s="4">
        <v>17810</v>
      </c>
      <c r="AA47" s="408" t="s">
        <v>1286</v>
      </c>
      <c r="AB47" s="3">
        <v>732000</v>
      </c>
      <c r="AC47" s="21"/>
      <c r="AD47" s="60"/>
    </row>
    <row r="48" spans="1:32" s="5" customFormat="1" ht="35.15" customHeight="1">
      <c r="A48" s="3">
        <f t="shared" si="11"/>
        <v>43</v>
      </c>
      <c r="B48" s="3">
        <v>1701</v>
      </c>
      <c r="C48" s="3" t="s">
        <v>654</v>
      </c>
      <c r="D48" s="4">
        <v>1250000</v>
      </c>
      <c r="E48" s="4">
        <v>1250000</v>
      </c>
      <c r="F48" s="4">
        <f t="shared" si="0"/>
        <v>0</v>
      </c>
      <c r="G48" s="4">
        <v>850000</v>
      </c>
      <c r="H48" s="4">
        <v>108257</v>
      </c>
      <c r="I48" s="4">
        <v>104008.32000000001</v>
      </c>
      <c r="J48" s="4">
        <v>169952</v>
      </c>
      <c r="K48" s="4">
        <f t="shared" si="10"/>
        <v>273960.32000000001</v>
      </c>
      <c r="L48" s="4">
        <f t="shared" si="2"/>
        <v>382217.32</v>
      </c>
      <c r="M48" s="4">
        <f>P48+S48-270000</f>
        <v>197782.68</v>
      </c>
      <c r="N48" s="4">
        <v>270000</v>
      </c>
      <c r="O48" s="4">
        <f t="shared" si="3"/>
        <v>400000</v>
      </c>
      <c r="P48" s="4">
        <f t="shared" si="4"/>
        <v>467782.68</v>
      </c>
      <c r="Q48" s="4"/>
      <c r="R48" s="4"/>
      <c r="S48" s="4">
        <f t="shared" si="5"/>
        <v>0</v>
      </c>
      <c r="T48" s="4">
        <f t="shared" si="6"/>
        <v>270000</v>
      </c>
      <c r="U48" s="4">
        <f t="shared" si="7"/>
        <v>0</v>
      </c>
      <c r="V48" s="4">
        <f t="shared" si="8"/>
        <v>0</v>
      </c>
      <c r="W48" s="4"/>
      <c r="X48" s="4"/>
      <c r="Y48" s="4"/>
      <c r="Z48" s="3"/>
      <c r="AA48" s="408" t="s">
        <v>1287</v>
      </c>
      <c r="AB48" s="3">
        <v>732000</v>
      </c>
      <c r="AC48" s="21"/>
      <c r="AD48" s="60"/>
    </row>
    <row r="49" spans="1:32" s="5" customFormat="1" ht="35.15" customHeight="1">
      <c r="A49" s="3">
        <f t="shared" si="11"/>
        <v>44</v>
      </c>
      <c r="B49" s="3">
        <v>1722</v>
      </c>
      <c r="C49" s="3" t="s">
        <v>50</v>
      </c>
      <c r="D49" s="4">
        <v>2400000</v>
      </c>
      <c r="E49" s="4">
        <v>2400000</v>
      </c>
      <c r="F49" s="4">
        <f t="shared" si="0"/>
        <v>0</v>
      </c>
      <c r="G49" s="4">
        <v>400000</v>
      </c>
      <c r="H49" s="4">
        <v>98067.4</v>
      </c>
      <c r="I49" s="4">
        <v>67052.7</v>
      </c>
      <c r="J49" s="4">
        <v>47158.73</v>
      </c>
      <c r="K49" s="4">
        <f t="shared" si="10"/>
        <v>114211.43</v>
      </c>
      <c r="L49" s="4">
        <f t="shared" si="2"/>
        <v>212278.83</v>
      </c>
      <c r="M49" s="4">
        <f>P49+S49-100000</f>
        <v>87721.170000000013</v>
      </c>
      <c r="N49" s="4"/>
      <c r="O49" s="4">
        <f t="shared" si="3"/>
        <v>2100000</v>
      </c>
      <c r="P49" s="4">
        <f t="shared" si="4"/>
        <v>187721.17</v>
      </c>
      <c r="Q49" s="4"/>
      <c r="R49" s="4"/>
      <c r="S49" s="4">
        <f t="shared" si="5"/>
        <v>0</v>
      </c>
      <c r="T49" s="4">
        <f t="shared" si="6"/>
        <v>100000</v>
      </c>
      <c r="U49" s="4">
        <f t="shared" si="7"/>
        <v>-100000</v>
      </c>
      <c r="V49" s="4">
        <f t="shared" si="8"/>
        <v>-100000</v>
      </c>
      <c r="W49" s="4"/>
      <c r="X49" s="4"/>
      <c r="Y49" s="4"/>
      <c r="Z49" s="3"/>
      <c r="AA49" s="408" t="s">
        <v>656</v>
      </c>
      <c r="AB49" s="3">
        <v>742000</v>
      </c>
      <c r="AC49" s="21"/>
      <c r="AD49" s="60"/>
    </row>
    <row r="50" spans="1:32" s="5" customFormat="1" ht="35.15" customHeight="1">
      <c r="A50" s="3">
        <f t="shared" si="11"/>
        <v>45</v>
      </c>
      <c r="B50" s="3">
        <v>1725</v>
      </c>
      <c r="C50" s="3" t="s">
        <v>657</v>
      </c>
      <c r="D50" s="4">
        <v>13520000</v>
      </c>
      <c r="E50" s="4">
        <v>13520000</v>
      </c>
      <c r="F50" s="4">
        <f t="shared" si="0"/>
        <v>0</v>
      </c>
      <c r="G50" s="4">
        <v>13520000</v>
      </c>
      <c r="H50" s="4">
        <v>13343609.32</v>
      </c>
      <c r="I50" s="4">
        <v>48702.71</v>
      </c>
      <c r="J50" s="4">
        <v>26687.57</v>
      </c>
      <c r="K50" s="4">
        <f t="shared" si="10"/>
        <v>75390.28</v>
      </c>
      <c r="L50" s="4">
        <f t="shared" si="2"/>
        <v>13418999.6</v>
      </c>
      <c r="M50" s="4">
        <f>P50+S50-100000</f>
        <v>1000.4000000003725</v>
      </c>
      <c r="N50" s="4"/>
      <c r="O50" s="4">
        <f t="shared" si="3"/>
        <v>100000</v>
      </c>
      <c r="P50" s="4">
        <f t="shared" si="4"/>
        <v>101000.40000000037</v>
      </c>
      <c r="Q50" s="4"/>
      <c r="R50" s="4"/>
      <c r="S50" s="4">
        <f t="shared" si="5"/>
        <v>0</v>
      </c>
      <c r="T50" s="4">
        <f t="shared" si="6"/>
        <v>100000</v>
      </c>
      <c r="U50" s="4">
        <f t="shared" si="7"/>
        <v>-100000</v>
      </c>
      <c r="V50" s="4">
        <f t="shared" si="8"/>
        <v>-100000</v>
      </c>
      <c r="W50" s="4"/>
      <c r="X50" s="4"/>
      <c r="Y50" s="4"/>
      <c r="Z50" s="3"/>
      <c r="AA50" s="408"/>
      <c r="AB50" s="3">
        <v>742000</v>
      </c>
      <c r="AC50" s="21"/>
      <c r="AD50" s="60"/>
    </row>
    <row r="51" spans="1:32" s="5" customFormat="1" ht="35.15" customHeight="1">
      <c r="A51" s="3">
        <f t="shared" si="11"/>
        <v>46</v>
      </c>
      <c r="B51" s="3">
        <v>1744</v>
      </c>
      <c r="C51" s="3" t="s">
        <v>53</v>
      </c>
      <c r="D51" s="4">
        <v>13000000</v>
      </c>
      <c r="E51" s="4">
        <v>13000000</v>
      </c>
      <c r="F51" s="4">
        <f t="shared" si="0"/>
        <v>0</v>
      </c>
      <c r="G51" s="4">
        <v>8200000</v>
      </c>
      <c r="H51" s="4">
        <v>3125812</v>
      </c>
      <c r="I51" s="4"/>
      <c r="J51" s="4">
        <v>3820125</v>
      </c>
      <c r="K51" s="4">
        <f t="shared" si="10"/>
        <v>3820125</v>
      </c>
      <c r="L51" s="4">
        <f t="shared" si="2"/>
        <v>6945937</v>
      </c>
      <c r="M51" s="4">
        <f>P51+S51-700000</f>
        <v>554063</v>
      </c>
      <c r="N51" s="4">
        <f>4800000+700000</f>
        <v>5500000</v>
      </c>
      <c r="O51" s="4">
        <f t="shared" si="3"/>
        <v>0</v>
      </c>
      <c r="P51" s="4">
        <f t="shared" si="4"/>
        <v>1254063</v>
      </c>
      <c r="Q51" s="4"/>
      <c r="R51" s="4"/>
      <c r="S51" s="4">
        <f t="shared" si="5"/>
        <v>0</v>
      </c>
      <c r="T51" s="4">
        <f t="shared" si="6"/>
        <v>700000</v>
      </c>
      <c r="U51" s="4">
        <f t="shared" si="7"/>
        <v>4800000</v>
      </c>
      <c r="V51" s="4">
        <f t="shared" si="8"/>
        <v>4800000</v>
      </c>
      <c r="W51" s="4"/>
      <c r="X51" s="4"/>
      <c r="Y51" s="4"/>
      <c r="Z51" s="3"/>
      <c r="AA51" s="408" t="s">
        <v>1288</v>
      </c>
      <c r="AB51" s="3">
        <v>742000</v>
      </c>
      <c r="AC51" s="21"/>
      <c r="AD51" s="60"/>
    </row>
    <row r="52" spans="1:32" s="5" customFormat="1" ht="35.15" customHeight="1">
      <c r="A52" s="3">
        <f t="shared" si="11"/>
        <v>47</v>
      </c>
      <c r="B52" s="3">
        <v>1746</v>
      </c>
      <c r="C52" s="3" t="s">
        <v>35</v>
      </c>
      <c r="D52" s="4">
        <v>55000000</v>
      </c>
      <c r="E52" s="4">
        <v>55000000</v>
      </c>
      <c r="F52" s="4">
        <f t="shared" si="0"/>
        <v>0</v>
      </c>
      <c r="G52" s="4">
        <v>0</v>
      </c>
      <c r="H52" s="4">
        <v>0</v>
      </c>
      <c r="I52" s="4"/>
      <c r="J52" s="4"/>
      <c r="K52" s="4">
        <f t="shared" si="10"/>
        <v>0</v>
      </c>
      <c r="L52" s="4">
        <f t="shared" si="2"/>
        <v>0</v>
      </c>
      <c r="M52" s="4">
        <f>P52+S52</f>
        <v>0</v>
      </c>
      <c r="N52" s="4"/>
      <c r="O52" s="4">
        <f t="shared" si="3"/>
        <v>55000000</v>
      </c>
      <c r="P52" s="4">
        <f t="shared" si="4"/>
        <v>0</v>
      </c>
      <c r="Q52" s="4"/>
      <c r="R52" s="4"/>
      <c r="S52" s="4">
        <f t="shared" si="5"/>
        <v>0</v>
      </c>
      <c r="T52" s="4">
        <f t="shared" si="6"/>
        <v>0</v>
      </c>
      <c r="U52" s="4">
        <f t="shared" si="7"/>
        <v>0</v>
      </c>
      <c r="V52" s="4">
        <f t="shared" si="8"/>
        <v>0</v>
      </c>
      <c r="W52" s="4"/>
      <c r="X52" s="4"/>
      <c r="Y52" s="4"/>
      <c r="Z52" s="3"/>
      <c r="AA52" s="408"/>
      <c r="AB52" s="3">
        <v>742000</v>
      </c>
      <c r="AC52" s="21"/>
      <c r="AD52" s="60"/>
    </row>
    <row r="53" spans="1:32" s="6" customFormat="1" ht="35.15" customHeight="1">
      <c r="A53" s="3">
        <f>A52+1</f>
        <v>48</v>
      </c>
      <c r="B53" s="3">
        <v>1748</v>
      </c>
      <c r="C53" s="3" t="s">
        <v>659</v>
      </c>
      <c r="D53" s="4">
        <f>1120000-1000000</f>
        <v>120000</v>
      </c>
      <c r="E53" s="4">
        <v>120000</v>
      </c>
      <c r="F53" s="4">
        <f t="shared" si="0"/>
        <v>0</v>
      </c>
      <c r="G53" s="4">
        <v>120000</v>
      </c>
      <c r="H53" s="4">
        <v>89830.86</v>
      </c>
      <c r="I53" s="4">
        <v>29280.55</v>
      </c>
      <c r="J53" s="4"/>
      <c r="K53" s="4">
        <f t="shared" si="10"/>
        <v>29280.55</v>
      </c>
      <c r="L53" s="4">
        <f t="shared" si="2"/>
        <v>119111.41</v>
      </c>
      <c r="M53" s="4">
        <f>P53+S53</f>
        <v>888.58999999999651</v>
      </c>
      <c r="N53" s="4">
        <f>1000000-1000000</f>
        <v>0</v>
      </c>
      <c r="O53" s="4">
        <f t="shared" si="3"/>
        <v>0</v>
      </c>
      <c r="P53" s="4">
        <f t="shared" si="4"/>
        <v>888.58999999999651</v>
      </c>
      <c r="Q53" s="4"/>
      <c r="R53" s="4"/>
      <c r="S53" s="4">
        <f t="shared" si="5"/>
        <v>0</v>
      </c>
      <c r="T53" s="4">
        <f t="shared" si="6"/>
        <v>0</v>
      </c>
      <c r="U53" s="4">
        <f t="shared" si="7"/>
        <v>0</v>
      </c>
      <c r="V53" s="4">
        <f t="shared" si="8"/>
        <v>0</v>
      </c>
      <c r="W53" s="4"/>
      <c r="X53" s="4"/>
      <c r="Y53" s="4"/>
      <c r="Z53" s="3"/>
      <c r="AA53" s="408"/>
      <c r="AB53" s="3">
        <v>732000</v>
      </c>
      <c r="AC53" s="21"/>
      <c r="AD53" s="60"/>
      <c r="AE53" s="5"/>
      <c r="AF53" s="5"/>
    </row>
    <row r="54" spans="1:32" s="6" customFormat="1" ht="35.15" customHeight="1">
      <c r="A54" s="3">
        <f t="shared" si="11"/>
        <v>49</v>
      </c>
      <c r="B54" s="3">
        <v>1755</v>
      </c>
      <c r="C54" s="3" t="s">
        <v>27</v>
      </c>
      <c r="D54" s="4">
        <v>200000</v>
      </c>
      <c r="E54" s="4">
        <v>200000</v>
      </c>
      <c r="F54" s="4">
        <f t="shared" si="0"/>
        <v>0</v>
      </c>
      <c r="G54" s="4">
        <v>200000</v>
      </c>
      <c r="H54" s="4">
        <v>69371.839999999997</v>
      </c>
      <c r="I54" s="4"/>
      <c r="J54" s="4">
        <v>21992.97</v>
      </c>
      <c r="K54" s="4">
        <f t="shared" si="10"/>
        <v>21992.97</v>
      </c>
      <c r="L54" s="4">
        <f t="shared" si="2"/>
        <v>91364.81</v>
      </c>
      <c r="M54" s="4">
        <f>P54+S54-100000</f>
        <v>8635.1900000000023</v>
      </c>
      <c r="N54" s="4"/>
      <c r="O54" s="4">
        <f t="shared" si="3"/>
        <v>100000</v>
      </c>
      <c r="P54" s="4">
        <f t="shared" si="4"/>
        <v>108635.19</v>
      </c>
      <c r="Q54" s="4"/>
      <c r="R54" s="4"/>
      <c r="S54" s="4">
        <f t="shared" si="5"/>
        <v>0</v>
      </c>
      <c r="T54" s="4">
        <f t="shared" si="6"/>
        <v>100000</v>
      </c>
      <c r="U54" s="4">
        <f t="shared" si="7"/>
        <v>-100000</v>
      </c>
      <c r="V54" s="4">
        <f t="shared" si="8"/>
        <v>-100000</v>
      </c>
      <c r="W54" s="4"/>
      <c r="X54" s="4"/>
      <c r="Y54" s="4"/>
      <c r="Z54" s="3"/>
      <c r="AA54" s="408" t="s">
        <v>1187</v>
      </c>
      <c r="AB54" s="3">
        <v>732000</v>
      </c>
      <c r="AC54" s="21"/>
      <c r="AD54" s="60"/>
      <c r="AE54" s="5"/>
      <c r="AF54" s="5"/>
    </row>
    <row r="55" spans="1:32" s="6" customFormat="1" ht="35.15" customHeight="1">
      <c r="A55" s="3">
        <f t="shared" si="11"/>
        <v>50</v>
      </c>
      <c r="B55" s="3">
        <v>1756</v>
      </c>
      <c r="C55" s="3" t="s">
        <v>25</v>
      </c>
      <c r="D55" s="4">
        <v>800000</v>
      </c>
      <c r="E55" s="4">
        <v>800000</v>
      </c>
      <c r="F55" s="4">
        <f t="shared" si="0"/>
        <v>0</v>
      </c>
      <c r="G55" s="4">
        <v>400000</v>
      </c>
      <c r="H55" s="4">
        <v>239672</v>
      </c>
      <c r="I55" s="4"/>
      <c r="J55" s="4">
        <v>44604</v>
      </c>
      <c r="K55" s="4">
        <f t="shared" si="10"/>
        <v>44604</v>
      </c>
      <c r="L55" s="4">
        <f t="shared" si="2"/>
        <v>284276</v>
      </c>
      <c r="M55" s="4">
        <f>P55+S55-100000</f>
        <v>15724</v>
      </c>
      <c r="N55" s="4">
        <v>100000</v>
      </c>
      <c r="O55" s="4">
        <f t="shared" si="3"/>
        <v>400000</v>
      </c>
      <c r="P55" s="4">
        <f t="shared" si="4"/>
        <v>115724</v>
      </c>
      <c r="Q55" s="4"/>
      <c r="R55" s="4"/>
      <c r="S55" s="4">
        <f t="shared" si="5"/>
        <v>0</v>
      </c>
      <c r="T55" s="4">
        <f t="shared" si="6"/>
        <v>100000</v>
      </c>
      <c r="U55" s="4">
        <f t="shared" si="7"/>
        <v>0</v>
      </c>
      <c r="V55" s="4">
        <f t="shared" si="8"/>
        <v>0</v>
      </c>
      <c r="W55" s="4"/>
      <c r="X55" s="4"/>
      <c r="Y55" s="4"/>
      <c r="Z55" s="4"/>
      <c r="AA55" s="408" t="s">
        <v>1105</v>
      </c>
      <c r="AB55" s="3">
        <v>732000</v>
      </c>
      <c r="AC55" s="21"/>
      <c r="AD55" s="60"/>
      <c r="AE55" s="5"/>
      <c r="AF55" s="5"/>
    </row>
    <row r="56" spans="1:32" s="5" customFormat="1" ht="35.15" customHeight="1">
      <c r="A56" s="3">
        <f t="shared" si="11"/>
        <v>51</v>
      </c>
      <c r="B56" s="3">
        <v>1757</v>
      </c>
      <c r="C56" s="3" t="s">
        <v>26</v>
      </c>
      <c r="D56" s="4">
        <v>300000</v>
      </c>
      <c r="E56" s="4">
        <v>300000</v>
      </c>
      <c r="F56" s="4">
        <f t="shared" si="0"/>
        <v>0</v>
      </c>
      <c r="G56" s="4">
        <v>110000</v>
      </c>
      <c r="H56" s="4">
        <v>10908.07</v>
      </c>
      <c r="I56" s="4">
        <v>908.93</v>
      </c>
      <c r="J56" s="4"/>
      <c r="K56" s="4">
        <f t="shared" si="10"/>
        <v>908.93</v>
      </c>
      <c r="L56" s="4">
        <f t="shared" si="2"/>
        <v>11817</v>
      </c>
      <c r="M56" s="4">
        <f>P56+S56</f>
        <v>98183</v>
      </c>
      <c r="N56" s="4"/>
      <c r="O56" s="4">
        <f t="shared" si="3"/>
        <v>190000</v>
      </c>
      <c r="P56" s="4">
        <f t="shared" si="4"/>
        <v>98183</v>
      </c>
      <c r="Q56" s="4"/>
      <c r="R56" s="4"/>
      <c r="S56" s="4">
        <f t="shared" si="5"/>
        <v>0</v>
      </c>
      <c r="T56" s="4">
        <f t="shared" si="6"/>
        <v>0</v>
      </c>
      <c r="U56" s="4">
        <f t="shared" si="7"/>
        <v>0</v>
      </c>
      <c r="V56" s="4">
        <f t="shared" si="8"/>
        <v>0</v>
      </c>
      <c r="W56" s="4"/>
      <c r="X56" s="4"/>
      <c r="Y56" s="4"/>
      <c r="Z56" s="4"/>
      <c r="AA56" s="408"/>
      <c r="AB56" s="3">
        <v>732000</v>
      </c>
      <c r="AC56" s="21"/>
      <c r="AD56" s="60"/>
    </row>
    <row r="57" spans="1:32" s="6" customFormat="1" ht="35.15" customHeight="1">
      <c r="A57" s="3">
        <f t="shared" si="11"/>
        <v>52</v>
      </c>
      <c r="B57" s="3">
        <v>1758</v>
      </c>
      <c r="C57" s="3" t="s">
        <v>165</v>
      </c>
      <c r="D57" s="4">
        <v>300000</v>
      </c>
      <c r="E57" s="4">
        <v>300000</v>
      </c>
      <c r="F57" s="4">
        <f t="shared" si="0"/>
        <v>0</v>
      </c>
      <c r="G57" s="4">
        <v>120000</v>
      </c>
      <c r="H57" s="4">
        <v>10908.07</v>
      </c>
      <c r="I57" s="4">
        <v>4828.43</v>
      </c>
      <c r="J57" s="4"/>
      <c r="K57" s="4">
        <f t="shared" si="10"/>
        <v>4828.43</v>
      </c>
      <c r="L57" s="4">
        <f t="shared" si="2"/>
        <v>15736.5</v>
      </c>
      <c r="M57" s="4">
        <f>P57+S57-104000</f>
        <v>263.5</v>
      </c>
      <c r="N57" s="4"/>
      <c r="O57" s="4">
        <f t="shared" si="3"/>
        <v>284000</v>
      </c>
      <c r="P57" s="4">
        <f t="shared" si="4"/>
        <v>104263.5</v>
      </c>
      <c r="Q57" s="4"/>
      <c r="R57" s="4"/>
      <c r="S57" s="4">
        <f t="shared" si="5"/>
        <v>0</v>
      </c>
      <c r="T57" s="4">
        <f t="shared" si="6"/>
        <v>104000</v>
      </c>
      <c r="U57" s="4">
        <f t="shared" si="7"/>
        <v>-104000</v>
      </c>
      <c r="V57" s="4">
        <f t="shared" si="8"/>
        <v>-104000</v>
      </c>
      <c r="W57" s="4"/>
      <c r="X57" s="4"/>
      <c r="Y57" s="4"/>
      <c r="Z57" s="3"/>
      <c r="AA57" s="408"/>
      <c r="AB57" s="3">
        <v>732000</v>
      </c>
      <c r="AC57" s="21"/>
      <c r="AD57" s="60"/>
      <c r="AE57" s="5"/>
      <c r="AF57" s="5"/>
    </row>
    <row r="58" spans="1:32" s="5" customFormat="1" ht="42">
      <c r="A58" s="3">
        <f t="shared" si="11"/>
        <v>53</v>
      </c>
      <c r="B58" s="3">
        <v>1759</v>
      </c>
      <c r="C58" s="3" t="s">
        <v>1280</v>
      </c>
      <c r="D58" s="4">
        <v>940000</v>
      </c>
      <c r="E58" s="4">
        <v>600000</v>
      </c>
      <c r="F58" s="4">
        <f t="shared" si="0"/>
        <v>340000</v>
      </c>
      <c r="G58" s="4">
        <v>500000</v>
      </c>
      <c r="H58" s="4">
        <v>478660</v>
      </c>
      <c r="I58" s="4">
        <v>600</v>
      </c>
      <c r="J58" s="4">
        <v>17151.75</v>
      </c>
      <c r="K58" s="4">
        <f t="shared" si="10"/>
        <v>17751.75</v>
      </c>
      <c r="L58" s="4">
        <f t="shared" si="2"/>
        <v>496411.75</v>
      </c>
      <c r="M58" s="4">
        <f>P58+S58</f>
        <v>3588.25</v>
      </c>
      <c r="N58" s="4">
        <v>440000</v>
      </c>
      <c r="O58" s="4">
        <f t="shared" si="3"/>
        <v>0</v>
      </c>
      <c r="P58" s="4">
        <f t="shared" si="4"/>
        <v>3588.25</v>
      </c>
      <c r="Q58" s="4"/>
      <c r="R58" s="4"/>
      <c r="S58" s="4">
        <f t="shared" si="5"/>
        <v>0</v>
      </c>
      <c r="T58" s="4">
        <f t="shared" si="6"/>
        <v>0</v>
      </c>
      <c r="U58" s="4">
        <f t="shared" si="7"/>
        <v>440000</v>
      </c>
      <c r="V58" s="4">
        <f t="shared" si="8"/>
        <v>440000</v>
      </c>
      <c r="W58" s="4"/>
      <c r="X58" s="4"/>
      <c r="Y58" s="4"/>
      <c r="Z58" s="3"/>
      <c r="AA58" s="408" t="s">
        <v>1497</v>
      </c>
      <c r="AB58" s="3">
        <v>732000</v>
      </c>
      <c r="AC58" s="21"/>
      <c r="AD58" s="60"/>
    </row>
    <row r="59" spans="1:32" s="5" customFormat="1" ht="35.15" customHeight="1">
      <c r="A59" s="3">
        <f t="shared" si="11"/>
        <v>54</v>
      </c>
      <c r="B59" s="3">
        <v>1760</v>
      </c>
      <c r="C59" s="3" t="s">
        <v>1271</v>
      </c>
      <c r="D59" s="4">
        <f>1100000-200000</f>
        <v>900000</v>
      </c>
      <c r="E59" s="4">
        <v>900000</v>
      </c>
      <c r="F59" s="4">
        <f t="shared" si="0"/>
        <v>0</v>
      </c>
      <c r="G59" s="4">
        <v>300000</v>
      </c>
      <c r="H59" s="4">
        <v>38898</v>
      </c>
      <c r="I59" s="4"/>
      <c r="J59" s="4">
        <v>1228</v>
      </c>
      <c r="K59" s="4">
        <f t="shared" si="10"/>
        <v>1228</v>
      </c>
      <c r="L59" s="4">
        <f t="shared" si="2"/>
        <v>40126</v>
      </c>
      <c r="M59" s="4">
        <f>P59+S59</f>
        <v>259874</v>
      </c>
      <c r="N59" s="4"/>
      <c r="O59" s="4">
        <f t="shared" si="3"/>
        <v>600000</v>
      </c>
      <c r="P59" s="4">
        <f t="shared" si="4"/>
        <v>259874</v>
      </c>
      <c r="Q59" s="4">
        <f>100000-100000</f>
        <v>0</v>
      </c>
      <c r="R59" s="4"/>
      <c r="S59" s="4">
        <f t="shared" si="5"/>
        <v>0</v>
      </c>
      <c r="T59" s="4">
        <f t="shared" si="6"/>
        <v>0</v>
      </c>
      <c r="U59" s="4">
        <f t="shared" si="7"/>
        <v>0</v>
      </c>
      <c r="V59" s="4">
        <f t="shared" si="8"/>
        <v>0</v>
      </c>
      <c r="W59" s="4"/>
      <c r="X59" s="4"/>
      <c r="Y59" s="4"/>
      <c r="Z59" s="3"/>
      <c r="AA59" s="408" t="s">
        <v>1498</v>
      </c>
      <c r="AB59" s="3">
        <v>732000</v>
      </c>
      <c r="AC59" s="21"/>
      <c r="AD59" s="60"/>
    </row>
    <row r="60" spans="1:32" s="6" customFormat="1" ht="35.15" customHeight="1">
      <c r="A60" s="3">
        <f t="shared" si="11"/>
        <v>55</v>
      </c>
      <c r="B60" s="3">
        <v>1762</v>
      </c>
      <c r="C60" s="3" t="s">
        <v>28</v>
      </c>
      <c r="D60" s="4">
        <v>500000</v>
      </c>
      <c r="E60" s="4">
        <v>500000</v>
      </c>
      <c r="F60" s="4">
        <f t="shared" si="0"/>
        <v>0</v>
      </c>
      <c r="G60" s="4">
        <v>100000</v>
      </c>
      <c r="H60" s="4">
        <v>11442</v>
      </c>
      <c r="I60" s="4"/>
      <c r="J60" s="4"/>
      <c r="K60" s="4">
        <f t="shared" si="10"/>
        <v>0</v>
      </c>
      <c r="L60" s="4">
        <f t="shared" si="2"/>
        <v>11442</v>
      </c>
      <c r="M60" s="4">
        <f>P60+S60-30000</f>
        <v>58558</v>
      </c>
      <c r="N60" s="4"/>
      <c r="O60" s="4">
        <f t="shared" si="3"/>
        <v>430000</v>
      </c>
      <c r="P60" s="4">
        <f t="shared" si="4"/>
        <v>88558</v>
      </c>
      <c r="Q60" s="4"/>
      <c r="R60" s="4"/>
      <c r="S60" s="4">
        <f t="shared" si="5"/>
        <v>0</v>
      </c>
      <c r="T60" s="4">
        <f t="shared" si="6"/>
        <v>30000</v>
      </c>
      <c r="U60" s="4">
        <f t="shared" si="7"/>
        <v>-30000</v>
      </c>
      <c r="V60" s="4">
        <f t="shared" si="8"/>
        <v>-30000</v>
      </c>
      <c r="W60" s="4"/>
      <c r="X60" s="4"/>
      <c r="Y60" s="4"/>
      <c r="Z60" s="3"/>
      <c r="AA60" s="408" t="s">
        <v>661</v>
      </c>
      <c r="AB60" s="3">
        <v>732000</v>
      </c>
      <c r="AC60" s="21"/>
      <c r="AD60" s="60"/>
      <c r="AE60" s="5"/>
      <c r="AF60" s="5"/>
    </row>
    <row r="61" spans="1:32" s="5" customFormat="1" ht="35.15" customHeight="1">
      <c r="A61" s="3">
        <f t="shared" si="11"/>
        <v>56</v>
      </c>
      <c r="B61" s="3">
        <v>1799</v>
      </c>
      <c r="C61" s="3" t="s">
        <v>181</v>
      </c>
      <c r="D61" s="4">
        <v>1000000</v>
      </c>
      <c r="E61" s="4">
        <v>1000000</v>
      </c>
      <c r="F61" s="4">
        <f t="shared" si="0"/>
        <v>0</v>
      </c>
      <c r="G61" s="4">
        <v>350000</v>
      </c>
      <c r="H61" s="4">
        <v>24106</v>
      </c>
      <c r="I61" s="4"/>
      <c r="J61" s="4">
        <v>20567.86</v>
      </c>
      <c r="K61" s="4">
        <f t="shared" si="10"/>
        <v>20567.86</v>
      </c>
      <c r="L61" s="4">
        <f t="shared" si="2"/>
        <v>44673.86</v>
      </c>
      <c r="M61" s="4">
        <f>P61+S61-200000</f>
        <v>105326.14000000001</v>
      </c>
      <c r="N61" s="4">
        <f>100000+200000-100000</f>
        <v>200000</v>
      </c>
      <c r="O61" s="4">
        <f t="shared" si="3"/>
        <v>650000</v>
      </c>
      <c r="P61" s="4">
        <f t="shared" si="4"/>
        <v>305326.14</v>
      </c>
      <c r="Q61" s="4"/>
      <c r="R61" s="4"/>
      <c r="S61" s="4">
        <f t="shared" si="5"/>
        <v>0</v>
      </c>
      <c r="T61" s="4">
        <f t="shared" si="6"/>
        <v>200000</v>
      </c>
      <c r="U61" s="4">
        <f t="shared" si="7"/>
        <v>0</v>
      </c>
      <c r="V61" s="4">
        <f t="shared" si="8"/>
        <v>0</v>
      </c>
      <c r="W61" s="4"/>
      <c r="X61" s="4"/>
      <c r="Y61" s="4"/>
      <c r="Z61" s="3"/>
      <c r="AA61" s="408" t="s">
        <v>1289</v>
      </c>
      <c r="AB61" s="3">
        <v>732000</v>
      </c>
      <c r="AC61" s="21"/>
      <c r="AD61" s="60"/>
    </row>
    <row r="62" spans="1:32" s="5" customFormat="1" ht="35.15" customHeight="1">
      <c r="A62" s="3">
        <f t="shared" si="11"/>
        <v>57</v>
      </c>
      <c r="B62" s="3">
        <v>1804</v>
      </c>
      <c r="C62" s="3" t="s">
        <v>182</v>
      </c>
      <c r="D62" s="4">
        <f>50000+150000</f>
        <v>200000</v>
      </c>
      <c r="E62" s="4">
        <v>200000</v>
      </c>
      <c r="F62" s="4">
        <f t="shared" si="0"/>
        <v>0</v>
      </c>
      <c r="G62" s="4">
        <v>200000</v>
      </c>
      <c r="H62" s="4">
        <v>0</v>
      </c>
      <c r="I62" s="4"/>
      <c r="J62" s="4">
        <v>47073.2</v>
      </c>
      <c r="K62" s="4">
        <f t="shared" si="10"/>
        <v>47073.2</v>
      </c>
      <c r="L62" s="4">
        <f t="shared" si="2"/>
        <v>47073.2</v>
      </c>
      <c r="M62" s="4">
        <f>P62+S62</f>
        <v>152926.79999999999</v>
      </c>
      <c r="N62" s="4"/>
      <c r="O62" s="4">
        <f t="shared" si="3"/>
        <v>0</v>
      </c>
      <c r="P62" s="4">
        <f t="shared" si="4"/>
        <v>152926.79999999999</v>
      </c>
      <c r="Q62" s="4"/>
      <c r="R62" s="4"/>
      <c r="S62" s="4">
        <f t="shared" si="5"/>
        <v>0</v>
      </c>
      <c r="T62" s="4">
        <f t="shared" si="6"/>
        <v>0</v>
      </c>
      <c r="U62" s="4">
        <f t="shared" si="7"/>
        <v>0</v>
      </c>
      <c r="V62" s="4">
        <f t="shared" si="8"/>
        <v>0</v>
      </c>
      <c r="W62" s="4"/>
      <c r="X62" s="4"/>
      <c r="Y62" s="4"/>
      <c r="Z62" s="3"/>
      <c r="AA62" s="408"/>
      <c r="AB62" s="3">
        <v>742000</v>
      </c>
      <c r="AC62" s="21"/>
      <c r="AD62" s="60"/>
    </row>
    <row r="63" spans="1:32" s="5" customFormat="1" ht="35.15" customHeight="1">
      <c r="A63" s="3">
        <f t="shared" si="11"/>
        <v>58</v>
      </c>
      <c r="B63" s="3">
        <v>1805</v>
      </c>
      <c r="C63" s="3" t="s">
        <v>183</v>
      </c>
      <c r="D63" s="4">
        <v>1000000</v>
      </c>
      <c r="E63" s="4">
        <v>1000000</v>
      </c>
      <c r="F63" s="4">
        <f t="shared" si="0"/>
        <v>0</v>
      </c>
      <c r="G63" s="4">
        <v>110000</v>
      </c>
      <c r="H63" s="4">
        <v>2677</v>
      </c>
      <c r="I63" s="4"/>
      <c r="J63" s="4"/>
      <c r="K63" s="4">
        <f t="shared" si="10"/>
        <v>0</v>
      </c>
      <c r="L63" s="4">
        <f t="shared" si="2"/>
        <v>2677</v>
      </c>
      <c r="M63" s="4">
        <f>P63+S63-50000</f>
        <v>57323</v>
      </c>
      <c r="N63" s="4"/>
      <c r="O63" s="4">
        <f t="shared" si="3"/>
        <v>940000</v>
      </c>
      <c r="P63" s="4">
        <f t="shared" si="4"/>
        <v>107323</v>
      </c>
      <c r="Q63" s="4"/>
      <c r="R63" s="4"/>
      <c r="S63" s="4">
        <f t="shared" si="5"/>
        <v>0</v>
      </c>
      <c r="T63" s="4">
        <f t="shared" si="6"/>
        <v>50000</v>
      </c>
      <c r="U63" s="4">
        <f t="shared" si="7"/>
        <v>-50000</v>
      </c>
      <c r="V63" s="4">
        <f t="shared" si="8"/>
        <v>-50000</v>
      </c>
      <c r="W63" s="4"/>
      <c r="X63" s="4"/>
      <c r="Y63" s="4"/>
      <c r="Z63" s="3"/>
      <c r="AA63" s="408" t="s">
        <v>1189</v>
      </c>
      <c r="AB63" s="3">
        <v>742000</v>
      </c>
      <c r="AC63" s="21"/>
      <c r="AD63" s="60"/>
    </row>
    <row r="64" spans="1:32" s="5" customFormat="1" ht="35.15" customHeight="1">
      <c r="A64" s="3">
        <f t="shared" si="11"/>
        <v>59</v>
      </c>
      <c r="B64" s="3">
        <v>1811</v>
      </c>
      <c r="C64" s="3" t="s">
        <v>184</v>
      </c>
      <c r="D64" s="4">
        <v>250000</v>
      </c>
      <c r="E64" s="4">
        <v>250000</v>
      </c>
      <c r="F64" s="4">
        <f t="shared" si="0"/>
        <v>0</v>
      </c>
      <c r="G64" s="4">
        <v>250000</v>
      </c>
      <c r="H64" s="4">
        <v>0</v>
      </c>
      <c r="I64" s="4"/>
      <c r="J64" s="4"/>
      <c r="K64" s="4">
        <f t="shared" si="10"/>
        <v>0</v>
      </c>
      <c r="L64" s="4">
        <f t="shared" si="2"/>
        <v>0</v>
      </c>
      <c r="M64" s="4">
        <f>P64+S64</f>
        <v>250000</v>
      </c>
      <c r="N64" s="4"/>
      <c r="O64" s="4">
        <f t="shared" si="3"/>
        <v>0</v>
      </c>
      <c r="P64" s="4">
        <f t="shared" si="4"/>
        <v>250000</v>
      </c>
      <c r="Q64" s="4"/>
      <c r="R64" s="4"/>
      <c r="S64" s="4">
        <f t="shared" si="5"/>
        <v>0</v>
      </c>
      <c r="T64" s="4">
        <f t="shared" si="6"/>
        <v>0</v>
      </c>
      <c r="U64" s="4">
        <f t="shared" si="7"/>
        <v>0</v>
      </c>
      <c r="V64" s="4">
        <f t="shared" si="8"/>
        <v>0</v>
      </c>
      <c r="W64" s="4"/>
      <c r="X64" s="4"/>
      <c r="Y64" s="4"/>
      <c r="Z64" s="3"/>
      <c r="AA64" s="408" t="s">
        <v>1290</v>
      </c>
      <c r="AB64" s="3">
        <v>732000</v>
      </c>
      <c r="AC64" s="21"/>
      <c r="AD64" s="60"/>
    </row>
    <row r="65" spans="1:32" s="5" customFormat="1" ht="35.15" customHeight="1">
      <c r="A65" s="3">
        <f t="shared" si="11"/>
        <v>60</v>
      </c>
      <c r="B65" s="3">
        <v>1826</v>
      </c>
      <c r="C65" s="3" t="s">
        <v>191</v>
      </c>
      <c r="D65" s="4">
        <v>1500000</v>
      </c>
      <c r="E65" s="4">
        <v>1500000</v>
      </c>
      <c r="F65" s="4">
        <f t="shared" si="0"/>
        <v>0</v>
      </c>
      <c r="G65" s="4">
        <v>400000</v>
      </c>
      <c r="H65" s="4">
        <v>14227</v>
      </c>
      <c r="I65" s="4"/>
      <c r="J65" s="4">
        <v>11756.75</v>
      </c>
      <c r="K65" s="4">
        <f t="shared" si="10"/>
        <v>11756.75</v>
      </c>
      <c r="L65" s="4">
        <f t="shared" si="2"/>
        <v>25983.75</v>
      </c>
      <c r="M65" s="4">
        <f>P65+S65</f>
        <v>374016.25</v>
      </c>
      <c r="N65" s="4">
        <v>1100000</v>
      </c>
      <c r="O65" s="4">
        <f t="shared" si="3"/>
        <v>0</v>
      </c>
      <c r="P65" s="4">
        <f t="shared" si="4"/>
        <v>374016.25</v>
      </c>
      <c r="Q65" s="4"/>
      <c r="R65" s="4"/>
      <c r="S65" s="4">
        <f t="shared" si="5"/>
        <v>0</v>
      </c>
      <c r="T65" s="4">
        <f t="shared" si="6"/>
        <v>0</v>
      </c>
      <c r="U65" s="4">
        <f t="shared" si="7"/>
        <v>1100000</v>
      </c>
      <c r="V65" s="4">
        <f t="shared" si="8"/>
        <v>1100000</v>
      </c>
      <c r="W65" s="4"/>
      <c r="X65" s="4"/>
      <c r="Y65" s="4"/>
      <c r="Z65" s="3"/>
      <c r="AA65" s="408" t="s">
        <v>1190</v>
      </c>
      <c r="AB65" s="3">
        <v>742000</v>
      </c>
      <c r="AC65" s="21"/>
      <c r="AD65" s="60"/>
      <c r="AE65" s="6"/>
      <c r="AF65" s="6"/>
    </row>
    <row r="66" spans="1:32" s="6" customFormat="1" ht="35.15" customHeight="1">
      <c r="A66" s="3">
        <f t="shared" si="11"/>
        <v>61</v>
      </c>
      <c r="B66" s="3">
        <v>1842</v>
      </c>
      <c r="C66" s="3" t="s">
        <v>195</v>
      </c>
      <c r="D66" s="4">
        <v>800000</v>
      </c>
      <c r="E66" s="4">
        <v>800000</v>
      </c>
      <c r="F66" s="4">
        <f t="shared" ref="F66:F82" si="12">D66-E66</f>
        <v>0</v>
      </c>
      <c r="G66" s="4">
        <v>200000</v>
      </c>
      <c r="H66" s="4">
        <v>0</v>
      </c>
      <c r="I66" s="4"/>
      <c r="J66" s="4"/>
      <c r="K66" s="4">
        <f t="shared" ref="K66:K82" si="13">SUM(I66:J66)</f>
        <v>0</v>
      </c>
      <c r="L66" s="4">
        <f t="shared" ref="L66:L82" si="14">H66+K66</f>
        <v>0</v>
      </c>
      <c r="M66" s="4">
        <f>P66+S66</f>
        <v>200000</v>
      </c>
      <c r="N66" s="4"/>
      <c r="O66" s="4">
        <f t="shared" ref="O66:O82" si="15">D66-L66-M66-N66</f>
        <v>600000</v>
      </c>
      <c r="P66" s="4">
        <f t="shared" ref="P66:P82" si="16">G66-L66</f>
        <v>200000</v>
      </c>
      <c r="Q66" s="4"/>
      <c r="R66" s="4"/>
      <c r="S66" s="4">
        <f t="shared" ref="S66:S82" si="17">SUM(Q66:R66)</f>
        <v>0</v>
      </c>
      <c r="T66" s="4">
        <f t="shared" ref="T66:T82" si="18">P66-M66+S66</f>
        <v>0</v>
      </c>
      <c r="U66" s="4">
        <f t="shared" ref="U66:U82" si="19">N66-T66</f>
        <v>0</v>
      </c>
      <c r="V66" s="4">
        <f t="shared" ref="V66:V82" si="20">U66-Z66-W66-Y66</f>
        <v>0</v>
      </c>
      <c r="W66" s="4"/>
      <c r="X66" s="4"/>
      <c r="Y66" s="4"/>
      <c r="Z66" s="3"/>
      <c r="AA66" s="408" t="s">
        <v>1191</v>
      </c>
      <c r="AB66" s="3">
        <v>732000</v>
      </c>
      <c r="AC66" s="21"/>
      <c r="AD66" s="60"/>
      <c r="AE66" s="5"/>
      <c r="AF66" s="5"/>
    </row>
    <row r="67" spans="1:32" s="5" customFormat="1" ht="35.15" customHeight="1">
      <c r="A67" s="3">
        <f t="shared" si="11"/>
        <v>62</v>
      </c>
      <c r="B67" s="3">
        <v>1843</v>
      </c>
      <c r="C67" s="3" t="s">
        <v>196</v>
      </c>
      <c r="D67" s="4">
        <v>380000</v>
      </c>
      <c r="E67" s="4">
        <v>380000</v>
      </c>
      <c r="F67" s="4">
        <f t="shared" si="12"/>
        <v>0</v>
      </c>
      <c r="G67" s="4">
        <v>70000</v>
      </c>
      <c r="H67" s="4">
        <v>0</v>
      </c>
      <c r="I67" s="4">
        <v>1.17</v>
      </c>
      <c r="J67" s="4"/>
      <c r="K67" s="4">
        <f t="shared" si="13"/>
        <v>1.17</v>
      </c>
      <c r="L67" s="4">
        <f t="shared" si="14"/>
        <v>1.17</v>
      </c>
      <c r="M67" s="4">
        <f>P67+S67-69000</f>
        <v>998.83000000000175</v>
      </c>
      <c r="N67" s="4">
        <f>350000-100000</f>
        <v>250000</v>
      </c>
      <c r="O67" s="4">
        <f t="shared" si="15"/>
        <v>129000</v>
      </c>
      <c r="P67" s="4">
        <f t="shared" si="16"/>
        <v>69998.83</v>
      </c>
      <c r="Q67" s="4"/>
      <c r="R67" s="4"/>
      <c r="S67" s="4">
        <f t="shared" si="17"/>
        <v>0</v>
      </c>
      <c r="T67" s="4">
        <f t="shared" si="18"/>
        <v>69000</v>
      </c>
      <c r="U67" s="4">
        <f t="shared" si="19"/>
        <v>181000</v>
      </c>
      <c r="V67" s="4">
        <f t="shared" si="20"/>
        <v>181000</v>
      </c>
      <c r="W67" s="4"/>
      <c r="X67" s="4"/>
      <c r="Y67" s="4"/>
      <c r="Z67" s="3"/>
      <c r="AA67" s="408" t="s">
        <v>662</v>
      </c>
      <c r="AB67" s="3">
        <v>732000</v>
      </c>
      <c r="AC67" s="21"/>
      <c r="AD67" s="60"/>
    </row>
    <row r="68" spans="1:32" s="5" customFormat="1" ht="35.15" customHeight="1">
      <c r="A68" s="3">
        <f t="shared" si="11"/>
        <v>63</v>
      </c>
      <c r="B68" s="3">
        <v>1844</v>
      </c>
      <c r="C68" s="3" t="s">
        <v>1281</v>
      </c>
      <c r="D68" s="4">
        <v>2078338</v>
      </c>
      <c r="E68" s="4">
        <v>732000</v>
      </c>
      <c r="F68" s="4">
        <f t="shared" si="12"/>
        <v>1346338</v>
      </c>
      <c r="G68" s="4">
        <v>70000</v>
      </c>
      <c r="H68" s="4">
        <v>62477.48</v>
      </c>
      <c r="I68" s="4"/>
      <c r="J68" s="4"/>
      <c r="K68" s="4">
        <f t="shared" si="13"/>
        <v>0</v>
      </c>
      <c r="L68" s="4">
        <f t="shared" si="14"/>
        <v>62477.48</v>
      </c>
      <c r="M68" s="4">
        <f>P68+S68</f>
        <v>7522.5199999999968</v>
      </c>
      <c r="N68" s="4">
        <f>1338338+670000</f>
        <v>2008338</v>
      </c>
      <c r="O68" s="4">
        <f t="shared" si="15"/>
        <v>0</v>
      </c>
      <c r="P68" s="4">
        <f t="shared" si="16"/>
        <v>7522.5199999999968</v>
      </c>
      <c r="Q68" s="4"/>
      <c r="R68" s="4"/>
      <c r="S68" s="4">
        <f t="shared" si="17"/>
        <v>0</v>
      </c>
      <c r="T68" s="4">
        <f t="shared" si="18"/>
        <v>0</v>
      </c>
      <c r="U68" s="4">
        <f t="shared" si="19"/>
        <v>2008338</v>
      </c>
      <c r="V68" s="4">
        <f t="shared" si="20"/>
        <v>753894</v>
      </c>
      <c r="W68" s="4"/>
      <c r="X68" s="4"/>
      <c r="Y68" s="4"/>
      <c r="Z68" s="4">
        <v>1254444</v>
      </c>
      <c r="AA68" s="408" t="s">
        <v>1291</v>
      </c>
      <c r="AB68" s="3">
        <v>732000</v>
      </c>
      <c r="AC68" s="21"/>
      <c r="AD68" s="60"/>
    </row>
    <row r="69" spans="1:32" s="5" customFormat="1" ht="35.15" customHeight="1">
      <c r="A69" s="3">
        <f t="shared" si="11"/>
        <v>64</v>
      </c>
      <c r="B69" s="3">
        <v>1882</v>
      </c>
      <c r="C69" s="3" t="s">
        <v>198</v>
      </c>
      <c r="D69" s="4">
        <v>14300000</v>
      </c>
      <c r="E69" s="4">
        <v>14300000</v>
      </c>
      <c r="F69" s="4">
        <f t="shared" si="12"/>
        <v>0</v>
      </c>
      <c r="G69" s="4">
        <v>200000</v>
      </c>
      <c r="H69" s="4">
        <v>0</v>
      </c>
      <c r="I69" s="4"/>
      <c r="J69" s="4"/>
      <c r="K69" s="4">
        <f t="shared" si="13"/>
        <v>0</v>
      </c>
      <c r="L69" s="4">
        <f t="shared" si="14"/>
        <v>0</v>
      </c>
      <c r="M69" s="4">
        <f>P69+S69-200000</f>
        <v>0</v>
      </c>
      <c r="N69" s="4">
        <f>200000+250000</f>
        <v>450000</v>
      </c>
      <c r="O69" s="4">
        <f t="shared" si="15"/>
        <v>13850000</v>
      </c>
      <c r="P69" s="4">
        <f t="shared" si="16"/>
        <v>200000</v>
      </c>
      <c r="Q69" s="4"/>
      <c r="R69" s="4"/>
      <c r="S69" s="4">
        <f t="shared" si="17"/>
        <v>0</v>
      </c>
      <c r="T69" s="4">
        <f t="shared" si="18"/>
        <v>200000</v>
      </c>
      <c r="U69" s="4">
        <f t="shared" si="19"/>
        <v>250000</v>
      </c>
      <c r="V69" s="4">
        <f t="shared" si="20"/>
        <v>250000</v>
      </c>
      <c r="W69" s="4"/>
      <c r="X69" s="4"/>
      <c r="Y69" s="4"/>
      <c r="Z69" s="3"/>
      <c r="AA69" s="408" t="s">
        <v>1292</v>
      </c>
      <c r="AB69" s="3">
        <v>742000</v>
      </c>
      <c r="AC69" s="21"/>
      <c r="AD69" s="60"/>
    </row>
    <row r="70" spans="1:32" s="5" customFormat="1" ht="35.15" customHeight="1">
      <c r="A70" s="3">
        <f t="shared" si="11"/>
        <v>65</v>
      </c>
      <c r="B70" s="3">
        <v>1937</v>
      </c>
      <c r="C70" s="3" t="s">
        <v>1282</v>
      </c>
      <c r="D70" s="4">
        <f>1000000+50000-300000</f>
        <v>750000</v>
      </c>
      <c r="E70" s="4">
        <v>700000</v>
      </c>
      <c r="F70" s="4">
        <f t="shared" si="12"/>
        <v>50000</v>
      </c>
      <c r="G70" s="4">
        <v>450000</v>
      </c>
      <c r="H70" s="4">
        <v>39885</v>
      </c>
      <c r="I70" s="4">
        <v>261133</v>
      </c>
      <c r="J70" s="4">
        <v>40357.54</v>
      </c>
      <c r="K70" s="4">
        <f t="shared" si="13"/>
        <v>301490.53999999998</v>
      </c>
      <c r="L70" s="4">
        <f t="shared" si="14"/>
        <v>341375.54</v>
      </c>
      <c r="M70" s="4">
        <f t="shared" ref="M70:M76" si="21">P70+S70</f>
        <v>108624.46000000002</v>
      </c>
      <c r="N70" s="4">
        <f>400000-100000</f>
        <v>300000</v>
      </c>
      <c r="O70" s="4">
        <f t="shared" si="15"/>
        <v>0</v>
      </c>
      <c r="P70" s="4">
        <f t="shared" si="16"/>
        <v>108624.46000000002</v>
      </c>
      <c r="Q70" s="4"/>
      <c r="R70" s="4"/>
      <c r="S70" s="4">
        <f t="shared" si="17"/>
        <v>0</v>
      </c>
      <c r="T70" s="4">
        <f t="shared" si="18"/>
        <v>0</v>
      </c>
      <c r="U70" s="4">
        <f t="shared" si="19"/>
        <v>300000</v>
      </c>
      <c r="V70" s="4">
        <f t="shared" si="20"/>
        <v>300000</v>
      </c>
      <c r="W70" s="4"/>
      <c r="X70" s="4"/>
      <c r="Y70" s="4"/>
      <c r="Z70" s="3"/>
      <c r="AA70" s="408" t="s">
        <v>1293</v>
      </c>
      <c r="AB70" s="3">
        <v>732000</v>
      </c>
      <c r="AC70" s="21"/>
      <c r="AD70" s="60"/>
    </row>
    <row r="71" spans="1:32" s="6" customFormat="1" ht="35.15" customHeight="1">
      <c r="A71" s="3">
        <f t="shared" si="11"/>
        <v>66</v>
      </c>
      <c r="B71" s="3">
        <v>1943</v>
      </c>
      <c r="C71" s="3" t="s">
        <v>304</v>
      </c>
      <c r="D71" s="4">
        <v>6750000</v>
      </c>
      <c r="E71" s="4">
        <v>6500000</v>
      </c>
      <c r="F71" s="4">
        <f t="shared" si="12"/>
        <v>250000</v>
      </c>
      <c r="G71" s="4">
        <v>6500000</v>
      </c>
      <c r="H71" s="4">
        <v>3839511</v>
      </c>
      <c r="I71" s="4">
        <v>208106</v>
      </c>
      <c r="J71" s="4">
        <v>2351722</v>
      </c>
      <c r="K71" s="4">
        <f t="shared" si="13"/>
        <v>2559828</v>
      </c>
      <c r="L71" s="4">
        <f t="shared" si="14"/>
        <v>6399339</v>
      </c>
      <c r="M71" s="4">
        <f t="shared" si="21"/>
        <v>100661</v>
      </c>
      <c r="N71" s="4">
        <v>250000</v>
      </c>
      <c r="O71" s="4">
        <f t="shared" si="15"/>
        <v>0</v>
      </c>
      <c r="P71" s="4">
        <f t="shared" si="16"/>
        <v>100661</v>
      </c>
      <c r="Q71" s="4"/>
      <c r="R71" s="4"/>
      <c r="S71" s="4">
        <f t="shared" si="17"/>
        <v>0</v>
      </c>
      <c r="T71" s="4">
        <f t="shared" si="18"/>
        <v>0</v>
      </c>
      <c r="U71" s="4">
        <f t="shared" si="19"/>
        <v>250000</v>
      </c>
      <c r="V71" s="4">
        <f t="shared" si="20"/>
        <v>250000</v>
      </c>
      <c r="W71" s="4"/>
      <c r="X71" s="4"/>
      <c r="Y71" s="4"/>
      <c r="Z71" s="3"/>
      <c r="AA71" s="408" t="s">
        <v>1294</v>
      </c>
      <c r="AB71" s="3">
        <v>744000</v>
      </c>
      <c r="AC71" s="21"/>
      <c r="AD71" s="60"/>
      <c r="AE71" s="5"/>
      <c r="AF71" s="5"/>
    </row>
    <row r="72" spans="1:32" s="5" customFormat="1" ht="35.15" customHeight="1">
      <c r="A72" s="3">
        <f t="shared" si="11"/>
        <v>67</v>
      </c>
      <c r="B72" s="3">
        <v>1950</v>
      </c>
      <c r="C72" s="42" t="s">
        <v>666</v>
      </c>
      <c r="D72" s="4">
        <v>500000</v>
      </c>
      <c r="E72" s="4">
        <v>500000</v>
      </c>
      <c r="F72" s="4">
        <f t="shared" si="12"/>
        <v>0</v>
      </c>
      <c r="G72" s="4">
        <v>100000</v>
      </c>
      <c r="H72" s="4">
        <v>0</v>
      </c>
      <c r="I72" s="4"/>
      <c r="J72" s="4"/>
      <c r="K72" s="4">
        <f t="shared" si="13"/>
        <v>0</v>
      </c>
      <c r="L72" s="4">
        <f t="shared" si="14"/>
        <v>0</v>
      </c>
      <c r="M72" s="4">
        <f t="shared" si="21"/>
        <v>100000</v>
      </c>
      <c r="N72" s="4">
        <v>100000</v>
      </c>
      <c r="O72" s="4">
        <f t="shared" si="15"/>
        <v>300000</v>
      </c>
      <c r="P72" s="4">
        <f t="shared" si="16"/>
        <v>100000</v>
      </c>
      <c r="Q72" s="4"/>
      <c r="R72" s="4"/>
      <c r="S72" s="4">
        <f t="shared" si="17"/>
        <v>0</v>
      </c>
      <c r="T72" s="4">
        <f t="shared" si="18"/>
        <v>0</v>
      </c>
      <c r="U72" s="4">
        <f t="shared" si="19"/>
        <v>100000</v>
      </c>
      <c r="V72" s="4">
        <f t="shared" si="20"/>
        <v>100000</v>
      </c>
      <c r="W72" s="4"/>
      <c r="X72" s="4"/>
      <c r="Y72" s="4"/>
      <c r="Z72" s="3"/>
      <c r="AA72" s="408" t="s">
        <v>667</v>
      </c>
      <c r="AB72" s="3">
        <v>732000</v>
      </c>
      <c r="AC72" s="21"/>
      <c r="AD72" s="60"/>
      <c r="AE72" s="6"/>
      <c r="AF72" s="6"/>
    </row>
    <row r="73" spans="1:32" s="5" customFormat="1" ht="35.15" customHeight="1">
      <c r="A73" s="3">
        <f t="shared" si="11"/>
        <v>68</v>
      </c>
      <c r="B73" s="3">
        <v>1951</v>
      </c>
      <c r="C73" s="3" t="s">
        <v>256</v>
      </c>
      <c r="D73" s="4">
        <v>300000</v>
      </c>
      <c r="E73" s="4">
        <v>300000</v>
      </c>
      <c r="F73" s="4">
        <f t="shared" si="12"/>
        <v>0</v>
      </c>
      <c r="G73" s="4">
        <v>160000</v>
      </c>
      <c r="H73" s="4">
        <v>123575</v>
      </c>
      <c r="I73" s="4">
        <v>35100</v>
      </c>
      <c r="J73" s="4"/>
      <c r="K73" s="4">
        <f t="shared" si="13"/>
        <v>35100</v>
      </c>
      <c r="L73" s="4">
        <f t="shared" si="14"/>
        <v>158675</v>
      </c>
      <c r="M73" s="4">
        <f t="shared" si="21"/>
        <v>1325</v>
      </c>
      <c r="N73" s="4"/>
      <c r="O73" s="4">
        <f t="shared" si="15"/>
        <v>140000</v>
      </c>
      <c r="P73" s="4">
        <f t="shared" si="16"/>
        <v>1325</v>
      </c>
      <c r="Q73" s="4"/>
      <c r="R73" s="4"/>
      <c r="S73" s="4">
        <f t="shared" si="17"/>
        <v>0</v>
      </c>
      <c r="T73" s="4">
        <f t="shared" si="18"/>
        <v>0</v>
      </c>
      <c r="U73" s="4">
        <f t="shared" si="19"/>
        <v>0</v>
      </c>
      <c r="V73" s="4">
        <f t="shared" si="20"/>
        <v>0</v>
      </c>
      <c r="W73" s="4"/>
      <c r="X73" s="4"/>
      <c r="Y73" s="4"/>
      <c r="Z73" s="3"/>
      <c r="AA73" s="408"/>
      <c r="AB73" s="3">
        <v>732000</v>
      </c>
      <c r="AC73" s="21"/>
      <c r="AD73" s="60"/>
    </row>
    <row r="74" spans="1:32" s="5" customFormat="1" ht="35.15" customHeight="1">
      <c r="A74" s="3">
        <f t="shared" si="11"/>
        <v>69</v>
      </c>
      <c r="B74" s="3">
        <v>1952</v>
      </c>
      <c r="C74" s="42" t="s">
        <v>1272</v>
      </c>
      <c r="D74" s="4">
        <v>200000</v>
      </c>
      <c r="E74" s="4">
        <v>200000</v>
      </c>
      <c r="F74" s="4">
        <f t="shared" si="12"/>
        <v>0</v>
      </c>
      <c r="G74" s="4">
        <v>100000</v>
      </c>
      <c r="H74" s="4">
        <v>0</v>
      </c>
      <c r="I74" s="4"/>
      <c r="J74" s="4"/>
      <c r="K74" s="4">
        <f t="shared" si="13"/>
        <v>0</v>
      </c>
      <c r="L74" s="4">
        <f t="shared" si="14"/>
        <v>0</v>
      </c>
      <c r="M74" s="4">
        <f t="shared" si="21"/>
        <v>100000</v>
      </c>
      <c r="N74" s="4">
        <f>100000-100000</f>
        <v>0</v>
      </c>
      <c r="O74" s="4">
        <f t="shared" si="15"/>
        <v>100000</v>
      </c>
      <c r="P74" s="4">
        <f t="shared" si="16"/>
        <v>100000</v>
      </c>
      <c r="Q74" s="4"/>
      <c r="R74" s="4"/>
      <c r="S74" s="4">
        <f t="shared" si="17"/>
        <v>0</v>
      </c>
      <c r="T74" s="4">
        <f t="shared" si="18"/>
        <v>0</v>
      </c>
      <c r="U74" s="4">
        <f t="shared" si="19"/>
        <v>0</v>
      </c>
      <c r="V74" s="4">
        <f t="shared" si="20"/>
        <v>0</v>
      </c>
      <c r="W74" s="4"/>
      <c r="X74" s="4"/>
      <c r="Y74" s="4"/>
      <c r="Z74" s="3"/>
      <c r="AA74" s="408" t="s">
        <v>669</v>
      </c>
      <c r="AB74" s="3">
        <v>829000</v>
      </c>
      <c r="AC74" s="21"/>
      <c r="AD74" s="60"/>
    </row>
    <row r="75" spans="1:32" s="5" customFormat="1" ht="35.15" customHeight="1">
      <c r="A75" s="3">
        <f t="shared" si="11"/>
        <v>70</v>
      </c>
      <c r="B75" s="3">
        <v>2007</v>
      </c>
      <c r="C75" s="3" t="s">
        <v>670</v>
      </c>
      <c r="D75" s="4">
        <f>3000000-1900000</f>
        <v>1100000</v>
      </c>
      <c r="E75" s="4">
        <v>3000000</v>
      </c>
      <c r="F75" s="4">
        <f t="shared" si="12"/>
        <v>-1900000</v>
      </c>
      <c r="G75" s="4">
        <f>500000+600000</f>
        <v>1100000</v>
      </c>
      <c r="H75" s="4">
        <v>0</v>
      </c>
      <c r="I75" s="4"/>
      <c r="J75" s="4">
        <f>64313+918635</f>
        <v>982948</v>
      </c>
      <c r="K75" s="4">
        <f t="shared" si="13"/>
        <v>982948</v>
      </c>
      <c r="L75" s="4">
        <f t="shared" si="14"/>
        <v>982948</v>
      </c>
      <c r="M75" s="4">
        <f t="shared" si="21"/>
        <v>117052</v>
      </c>
      <c r="N75" s="4"/>
      <c r="O75" s="4">
        <f t="shared" si="15"/>
        <v>0</v>
      </c>
      <c r="P75" s="4">
        <f t="shared" si="16"/>
        <v>117052</v>
      </c>
      <c r="Q75" s="4"/>
      <c r="R75" s="4"/>
      <c r="S75" s="4">
        <f t="shared" si="17"/>
        <v>0</v>
      </c>
      <c r="T75" s="4">
        <f t="shared" si="18"/>
        <v>0</v>
      </c>
      <c r="U75" s="4">
        <f t="shared" si="19"/>
        <v>0</v>
      </c>
      <c r="V75" s="4">
        <f t="shared" si="20"/>
        <v>0</v>
      </c>
      <c r="W75" s="4"/>
      <c r="X75" s="4"/>
      <c r="Y75" s="4"/>
      <c r="Z75" s="3"/>
      <c r="AA75" s="408" t="s">
        <v>671</v>
      </c>
      <c r="AB75" s="3">
        <v>742000</v>
      </c>
      <c r="AC75" s="21"/>
      <c r="AD75" s="60"/>
    </row>
    <row r="76" spans="1:32" s="5" customFormat="1" ht="35.15" customHeight="1">
      <c r="A76" s="3">
        <f t="shared" si="11"/>
        <v>71</v>
      </c>
      <c r="B76" s="3">
        <v>2009</v>
      </c>
      <c r="C76" s="3" t="s">
        <v>527</v>
      </c>
      <c r="D76" s="4">
        <v>9000000</v>
      </c>
      <c r="E76" s="4">
        <v>9000000</v>
      </c>
      <c r="F76" s="4">
        <f t="shared" si="12"/>
        <v>0</v>
      </c>
      <c r="G76" s="4">
        <v>0</v>
      </c>
      <c r="H76" s="4">
        <v>0</v>
      </c>
      <c r="I76" s="4"/>
      <c r="J76" s="4"/>
      <c r="K76" s="4">
        <f t="shared" si="13"/>
        <v>0</v>
      </c>
      <c r="L76" s="4">
        <f t="shared" si="14"/>
        <v>0</v>
      </c>
      <c r="M76" s="4">
        <f t="shared" si="21"/>
        <v>0</v>
      </c>
      <c r="N76" s="4">
        <f>500000+500000</f>
        <v>1000000</v>
      </c>
      <c r="O76" s="4">
        <f t="shared" si="15"/>
        <v>8000000</v>
      </c>
      <c r="P76" s="4">
        <f t="shared" si="16"/>
        <v>0</v>
      </c>
      <c r="Q76" s="4"/>
      <c r="R76" s="4"/>
      <c r="S76" s="4">
        <f t="shared" si="17"/>
        <v>0</v>
      </c>
      <c r="T76" s="4">
        <f t="shared" si="18"/>
        <v>0</v>
      </c>
      <c r="U76" s="4">
        <f t="shared" si="19"/>
        <v>1000000</v>
      </c>
      <c r="V76" s="4">
        <f t="shared" si="20"/>
        <v>1000000</v>
      </c>
      <c r="W76" s="4"/>
      <c r="X76" s="4"/>
      <c r="Y76" s="4"/>
      <c r="Z76" s="3"/>
      <c r="AA76" s="408" t="s">
        <v>1110</v>
      </c>
      <c r="AB76" s="3">
        <v>742000</v>
      </c>
      <c r="AC76" s="21"/>
      <c r="AD76" s="60"/>
    </row>
    <row r="77" spans="1:32" s="5" customFormat="1" ht="35.15" customHeight="1">
      <c r="A77" s="3">
        <f t="shared" si="11"/>
        <v>72</v>
      </c>
      <c r="B77" s="3">
        <v>2010</v>
      </c>
      <c r="C77" s="3" t="s">
        <v>673</v>
      </c>
      <c r="D77" s="4">
        <v>8000000</v>
      </c>
      <c r="E77" s="4">
        <v>8000000</v>
      </c>
      <c r="F77" s="4">
        <f t="shared" si="12"/>
        <v>0</v>
      </c>
      <c r="G77" s="4">
        <v>500000</v>
      </c>
      <c r="H77" s="4">
        <v>0</v>
      </c>
      <c r="I77" s="4"/>
      <c r="J77" s="4"/>
      <c r="K77" s="4">
        <f t="shared" si="13"/>
        <v>0</v>
      </c>
      <c r="L77" s="4">
        <f t="shared" si="14"/>
        <v>0</v>
      </c>
      <c r="M77" s="4">
        <f>P77+S77-500000</f>
        <v>0</v>
      </c>
      <c r="N77" s="4">
        <v>960000</v>
      </c>
      <c r="O77" s="4">
        <f t="shared" si="15"/>
        <v>7040000</v>
      </c>
      <c r="P77" s="4">
        <f t="shared" si="16"/>
        <v>500000</v>
      </c>
      <c r="Q77" s="4"/>
      <c r="R77" s="4"/>
      <c r="S77" s="4">
        <f t="shared" si="17"/>
        <v>0</v>
      </c>
      <c r="T77" s="4">
        <f t="shared" si="18"/>
        <v>500000</v>
      </c>
      <c r="U77" s="4">
        <f t="shared" si="19"/>
        <v>460000</v>
      </c>
      <c r="V77" s="4">
        <f t="shared" si="20"/>
        <v>460000</v>
      </c>
      <c r="W77" s="4"/>
      <c r="X77" s="4"/>
      <c r="Y77" s="4"/>
      <c r="Z77" s="3"/>
      <c r="AA77" s="408" t="s">
        <v>1295</v>
      </c>
      <c r="AB77" s="3">
        <v>742000</v>
      </c>
      <c r="AC77" s="21"/>
      <c r="AD77" s="60"/>
      <c r="AE77" s="6"/>
      <c r="AF77" s="6"/>
    </row>
    <row r="78" spans="1:32" s="5" customFormat="1" ht="35.15" customHeight="1">
      <c r="A78" s="3">
        <f t="shared" si="11"/>
        <v>73</v>
      </c>
      <c r="B78" s="3">
        <v>2011</v>
      </c>
      <c r="C78" s="3" t="s">
        <v>529</v>
      </c>
      <c r="D78" s="4">
        <v>80000000</v>
      </c>
      <c r="E78" s="4">
        <v>80000000</v>
      </c>
      <c r="F78" s="4">
        <f t="shared" si="12"/>
        <v>0</v>
      </c>
      <c r="G78" s="4">
        <v>0</v>
      </c>
      <c r="H78" s="4">
        <v>0</v>
      </c>
      <c r="I78" s="4"/>
      <c r="J78" s="4"/>
      <c r="K78" s="4">
        <f t="shared" si="13"/>
        <v>0</v>
      </c>
      <c r="L78" s="4">
        <f t="shared" si="14"/>
        <v>0</v>
      </c>
      <c r="M78" s="4">
        <f>P78+S78</f>
        <v>0</v>
      </c>
      <c r="N78" s="4">
        <v>2000000</v>
      </c>
      <c r="O78" s="4">
        <f t="shared" si="15"/>
        <v>78000000</v>
      </c>
      <c r="P78" s="4">
        <f t="shared" si="16"/>
        <v>0</v>
      </c>
      <c r="Q78" s="4"/>
      <c r="R78" s="4"/>
      <c r="S78" s="4">
        <f t="shared" si="17"/>
        <v>0</v>
      </c>
      <c r="T78" s="4">
        <f t="shared" si="18"/>
        <v>0</v>
      </c>
      <c r="U78" s="4">
        <f t="shared" si="19"/>
        <v>2000000</v>
      </c>
      <c r="V78" s="4">
        <f t="shared" si="20"/>
        <v>2000000</v>
      </c>
      <c r="W78" s="4"/>
      <c r="X78" s="4"/>
      <c r="Y78" s="4"/>
      <c r="Z78" s="3"/>
      <c r="AA78" s="408" t="s">
        <v>1499</v>
      </c>
      <c r="AB78" s="3">
        <v>742000</v>
      </c>
      <c r="AC78" s="21"/>
      <c r="AD78" s="60"/>
    </row>
    <row r="79" spans="1:32" s="5" customFormat="1" ht="35.15" customHeight="1">
      <c r="A79" s="3">
        <f t="shared" si="11"/>
        <v>74</v>
      </c>
      <c r="B79" s="3">
        <v>2012</v>
      </c>
      <c r="C79" s="3" t="s">
        <v>530</v>
      </c>
      <c r="D79" s="4">
        <v>5000000</v>
      </c>
      <c r="E79" s="4">
        <v>5000000</v>
      </c>
      <c r="F79" s="4">
        <f t="shared" si="12"/>
        <v>0</v>
      </c>
      <c r="G79" s="4">
        <v>0</v>
      </c>
      <c r="H79" s="4">
        <v>0</v>
      </c>
      <c r="I79" s="4"/>
      <c r="J79" s="4"/>
      <c r="K79" s="4">
        <f t="shared" si="13"/>
        <v>0</v>
      </c>
      <c r="L79" s="4">
        <f t="shared" si="14"/>
        <v>0</v>
      </c>
      <c r="M79" s="4">
        <f>P79+S79-200000</f>
        <v>0</v>
      </c>
      <c r="N79" s="4">
        <f>1000000-800000</f>
        <v>200000</v>
      </c>
      <c r="O79" s="4">
        <f t="shared" si="15"/>
        <v>4800000</v>
      </c>
      <c r="P79" s="4">
        <f t="shared" si="16"/>
        <v>0</v>
      </c>
      <c r="Q79" s="4">
        <v>200000</v>
      </c>
      <c r="R79" s="4"/>
      <c r="S79" s="4">
        <f t="shared" si="17"/>
        <v>200000</v>
      </c>
      <c r="T79" s="4">
        <f t="shared" si="18"/>
        <v>200000</v>
      </c>
      <c r="U79" s="4">
        <f t="shared" si="19"/>
        <v>0</v>
      </c>
      <c r="V79" s="4">
        <f t="shared" si="20"/>
        <v>0</v>
      </c>
      <c r="W79" s="4"/>
      <c r="X79" s="4"/>
      <c r="Y79" s="4"/>
      <c r="Z79" s="3"/>
      <c r="AA79" s="408" t="s">
        <v>1296</v>
      </c>
      <c r="AB79" s="3">
        <v>742000</v>
      </c>
      <c r="AC79" s="21"/>
      <c r="AD79" s="60"/>
    </row>
    <row r="80" spans="1:32" s="5" customFormat="1" ht="35.15" customHeight="1">
      <c r="A80" s="3">
        <f t="shared" si="11"/>
        <v>75</v>
      </c>
      <c r="B80" s="3">
        <v>2013</v>
      </c>
      <c r="C80" s="3" t="s">
        <v>674</v>
      </c>
      <c r="D80" s="4">
        <v>1250000</v>
      </c>
      <c r="E80" s="4">
        <v>1250000</v>
      </c>
      <c r="F80" s="4">
        <f t="shared" si="12"/>
        <v>0</v>
      </c>
      <c r="G80" s="4">
        <v>100000</v>
      </c>
      <c r="H80" s="4">
        <v>0</v>
      </c>
      <c r="I80" s="4"/>
      <c r="J80" s="4">
        <v>21060</v>
      </c>
      <c r="K80" s="4">
        <f t="shared" si="13"/>
        <v>21060</v>
      </c>
      <c r="L80" s="4">
        <f t="shared" si="14"/>
        <v>21060</v>
      </c>
      <c r="M80" s="4">
        <f>P80+S80</f>
        <v>78940</v>
      </c>
      <c r="N80" s="4">
        <v>250000</v>
      </c>
      <c r="O80" s="4">
        <f t="shared" si="15"/>
        <v>900000</v>
      </c>
      <c r="P80" s="4">
        <f t="shared" si="16"/>
        <v>78940</v>
      </c>
      <c r="Q80" s="4"/>
      <c r="R80" s="4"/>
      <c r="S80" s="4">
        <f t="shared" si="17"/>
        <v>0</v>
      </c>
      <c r="T80" s="4">
        <f t="shared" si="18"/>
        <v>0</v>
      </c>
      <c r="U80" s="4">
        <f t="shared" si="19"/>
        <v>250000</v>
      </c>
      <c r="V80" s="4">
        <f t="shared" si="20"/>
        <v>250000</v>
      </c>
      <c r="W80" s="4"/>
      <c r="X80" s="4"/>
      <c r="Y80" s="4"/>
      <c r="Z80" s="3"/>
      <c r="AA80" s="408" t="s">
        <v>1297</v>
      </c>
      <c r="AB80" s="3">
        <v>732000</v>
      </c>
      <c r="AC80" s="21"/>
      <c r="AD80" s="60"/>
    </row>
    <row r="81" spans="1:32" s="5" customFormat="1" ht="35.15" customHeight="1">
      <c r="A81" s="3">
        <f t="shared" si="11"/>
        <v>76</v>
      </c>
      <c r="B81" s="3">
        <v>2014</v>
      </c>
      <c r="C81" s="3" t="s">
        <v>676</v>
      </c>
      <c r="D81" s="4">
        <v>750000</v>
      </c>
      <c r="E81" s="4">
        <v>100000</v>
      </c>
      <c r="F81" s="4">
        <f t="shared" si="12"/>
        <v>650000</v>
      </c>
      <c r="G81" s="4">
        <v>100000</v>
      </c>
      <c r="H81" s="4">
        <v>0</v>
      </c>
      <c r="I81" s="4"/>
      <c r="J81" s="4"/>
      <c r="K81" s="4">
        <f t="shared" si="13"/>
        <v>0</v>
      </c>
      <c r="L81" s="4">
        <f t="shared" si="14"/>
        <v>0</v>
      </c>
      <c r="M81" s="4">
        <f>P81+S81</f>
        <v>100000</v>
      </c>
      <c r="N81" s="4">
        <v>300000</v>
      </c>
      <c r="O81" s="4">
        <f t="shared" si="15"/>
        <v>350000</v>
      </c>
      <c r="P81" s="4">
        <f t="shared" si="16"/>
        <v>100000</v>
      </c>
      <c r="Q81" s="4"/>
      <c r="R81" s="4"/>
      <c r="S81" s="4">
        <f t="shared" si="17"/>
        <v>0</v>
      </c>
      <c r="T81" s="4">
        <f t="shared" si="18"/>
        <v>0</v>
      </c>
      <c r="U81" s="4">
        <f t="shared" si="19"/>
        <v>300000</v>
      </c>
      <c r="V81" s="4">
        <f t="shared" si="20"/>
        <v>300000</v>
      </c>
      <c r="W81" s="4"/>
      <c r="X81" s="4"/>
      <c r="Y81" s="4"/>
      <c r="Z81" s="3"/>
      <c r="AA81" s="408" t="s">
        <v>677</v>
      </c>
      <c r="AB81" s="3">
        <v>732000</v>
      </c>
      <c r="AC81" s="21"/>
      <c r="AD81" s="60"/>
    </row>
    <row r="82" spans="1:32" s="6" customFormat="1" ht="35.15" customHeight="1">
      <c r="A82" s="3">
        <f t="shared" si="11"/>
        <v>77</v>
      </c>
      <c r="B82" s="42">
        <v>2077</v>
      </c>
      <c r="C82" s="3" t="s">
        <v>679</v>
      </c>
      <c r="D82" s="4">
        <v>4000000</v>
      </c>
      <c r="E82" s="4">
        <v>4000000</v>
      </c>
      <c r="F82" s="4">
        <f t="shared" si="12"/>
        <v>0</v>
      </c>
      <c r="G82" s="4"/>
      <c r="H82" s="4"/>
      <c r="I82" s="4"/>
      <c r="J82" s="4"/>
      <c r="K82" s="4">
        <f t="shared" si="13"/>
        <v>0</v>
      </c>
      <c r="L82" s="4">
        <f t="shared" si="14"/>
        <v>0</v>
      </c>
      <c r="M82" s="4">
        <f>P82+S82</f>
        <v>0</v>
      </c>
      <c r="N82" s="4">
        <f>3000000-3000000</f>
        <v>0</v>
      </c>
      <c r="O82" s="4">
        <f t="shared" si="15"/>
        <v>4000000</v>
      </c>
      <c r="P82" s="4">
        <f t="shared" si="16"/>
        <v>0</v>
      </c>
      <c r="Q82" s="4"/>
      <c r="R82" s="4"/>
      <c r="S82" s="4">
        <f t="shared" si="17"/>
        <v>0</v>
      </c>
      <c r="T82" s="4">
        <f t="shared" si="18"/>
        <v>0</v>
      </c>
      <c r="U82" s="4">
        <f t="shared" si="19"/>
        <v>0</v>
      </c>
      <c r="V82" s="4">
        <f t="shared" si="20"/>
        <v>0</v>
      </c>
      <c r="W82" s="4"/>
      <c r="X82" s="4"/>
      <c r="Y82" s="4"/>
      <c r="Z82" s="3"/>
      <c r="AA82" s="695" t="s">
        <v>680</v>
      </c>
      <c r="AB82" s="3">
        <v>742000</v>
      </c>
      <c r="AC82" s="21"/>
      <c r="AD82" s="60"/>
      <c r="AE82" s="5"/>
      <c r="AF82" s="5"/>
    </row>
    <row r="83" spans="1:32" s="5" customFormat="1" ht="35.15" customHeight="1">
      <c r="A83" s="3">
        <f t="shared" si="11"/>
        <v>78</v>
      </c>
      <c r="B83" s="3">
        <v>2078</v>
      </c>
      <c r="C83" s="3" t="s">
        <v>681</v>
      </c>
      <c r="D83" s="4">
        <v>2260000</v>
      </c>
      <c r="E83" s="4">
        <v>2260000</v>
      </c>
      <c r="F83" s="4">
        <f t="shared" ref="F83:F102" si="22">D83-E83</f>
        <v>0</v>
      </c>
      <c r="G83" s="4">
        <v>150000</v>
      </c>
      <c r="H83" s="4"/>
      <c r="I83" s="4"/>
      <c r="J83" s="4"/>
      <c r="K83" s="4">
        <f>SUM(I83:J83)</f>
        <v>0</v>
      </c>
      <c r="L83" s="4">
        <f t="shared" ref="L83:L94" si="23">H83+K83</f>
        <v>0</v>
      </c>
      <c r="M83" s="4">
        <f>P83+S83</f>
        <v>150000</v>
      </c>
      <c r="N83" s="4">
        <v>300000</v>
      </c>
      <c r="O83" s="4">
        <f t="shared" ref="O83:O102" si="24">D83-L83-M83-N83</f>
        <v>1810000</v>
      </c>
      <c r="P83" s="4">
        <f t="shared" ref="P83:P102" si="25">G83-L83</f>
        <v>150000</v>
      </c>
      <c r="Q83" s="4"/>
      <c r="R83" s="4"/>
      <c r="S83" s="4"/>
      <c r="T83" s="4"/>
      <c r="U83" s="4">
        <f t="shared" ref="U83:U102" si="26">N83-T83</f>
        <v>300000</v>
      </c>
      <c r="V83" s="4">
        <f t="shared" ref="V83:V102" si="27">U83-Z83-W83-Y83</f>
        <v>300000</v>
      </c>
      <c r="W83" s="4"/>
      <c r="X83" s="4"/>
      <c r="Y83" s="4"/>
      <c r="Z83" s="3"/>
      <c r="AA83" s="408" t="s">
        <v>1298</v>
      </c>
      <c r="AB83" s="3">
        <v>742000</v>
      </c>
      <c r="AC83" s="21"/>
      <c r="AD83" s="60"/>
    </row>
    <row r="84" spans="1:32" s="5" customFormat="1" ht="35.15" customHeight="1">
      <c r="A84" s="3">
        <f t="shared" si="11"/>
        <v>79</v>
      </c>
      <c r="B84" s="42">
        <v>2104</v>
      </c>
      <c r="C84" s="3" t="s">
        <v>683</v>
      </c>
      <c r="D84" s="4">
        <v>18500000</v>
      </c>
      <c r="E84" s="4"/>
      <c r="F84" s="4">
        <f t="shared" si="22"/>
        <v>18500000</v>
      </c>
      <c r="G84" s="4"/>
      <c r="H84" s="4"/>
      <c r="I84" s="4"/>
      <c r="J84" s="4"/>
      <c r="K84" s="4">
        <f t="shared" ref="K84:K94" si="28">SUM(I84:J84)</f>
        <v>0</v>
      </c>
      <c r="L84" s="4">
        <f t="shared" si="23"/>
        <v>0</v>
      </c>
      <c r="M84" s="4">
        <f t="shared" ref="M84:M94" si="29">P84+S84</f>
        <v>0</v>
      </c>
      <c r="N84" s="4">
        <v>7500000</v>
      </c>
      <c r="O84" s="4">
        <f t="shared" si="24"/>
        <v>11000000</v>
      </c>
      <c r="P84" s="4">
        <f t="shared" si="25"/>
        <v>0</v>
      </c>
      <c r="Q84" s="4"/>
      <c r="R84" s="4"/>
      <c r="S84" s="4">
        <f t="shared" ref="S84:S102" si="30">SUM(Q84:R84)</f>
        <v>0</v>
      </c>
      <c r="T84" s="4">
        <f t="shared" ref="T84:T102" si="31">P84-M84+S84</f>
        <v>0</v>
      </c>
      <c r="U84" s="4">
        <f t="shared" si="26"/>
        <v>7500000</v>
      </c>
      <c r="V84" s="4">
        <f t="shared" si="27"/>
        <v>7500000</v>
      </c>
      <c r="W84" s="4"/>
      <c r="X84" s="4"/>
      <c r="Y84" s="4"/>
      <c r="Z84" s="3"/>
      <c r="AA84" s="408" t="s">
        <v>1492</v>
      </c>
      <c r="AB84" s="3">
        <v>742000</v>
      </c>
      <c r="AC84" s="21"/>
      <c r="AD84" s="60"/>
    </row>
    <row r="85" spans="1:32" s="5" customFormat="1" ht="35.15" customHeight="1">
      <c r="A85" s="3">
        <f t="shared" si="11"/>
        <v>80</v>
      </c>
      <c r="B85" s="42">
        <v>2105</v>
      </c>
      <c r="C85" s="3" t="s">
        <v>1237</v>
      </c>
      <c r="D85" s="4">
        <v>60000000</v>
      </c>
      <c r="E85" s="4"/>
      <c r="F85" s="4">
        <f t="shared" si="22"/>
        <v>60000000</v>
      </c>
      <c r="G85" s="4"/>
      <c r="H85" s="4"/>
      <c r="I85" s="4"/>
      <c r="J85" s="4"/>
      <c r="K85" s="4">
        <f t="shared" si="28"/>
        <v>0</v>
      </c>
      <c r="L85" s="4">
        <f t="shared" si="23"/>
        <v>0</v>
      </c>
      <c r="M85" s="4">
        <f t="shared" si="29"/>
        <v>0</v>
      </c>
      <c r="N85" s="4">
        <v>1000000</v>
      </c>
      <c r="O85" s="4">
        <f t="shared" si="24"/>
        <v>59000000</v>
      </c>
      <c r="P85" s="4">
        <f t="shared" si="25"/>
        <v>0</v>
      </c>
      <c r="Q85" s="4"/>
      <c r="R85" s="4"/>
      <c r="S85" s="4">
        <f t="shared" si="30"/>
        <v>0</v>
      </c>
      <c r="T85" s="4">
        <f t="shared" si="31"/>
        <v>0</v>
      </c>
      <c r="U85" s="4">
        <f t="shared" si="26"/>
        <v>1000000</v>
      </c>
      <c r="V85" s="4">
        <f t="shared" si="27"/>
        <v>1000000</v>
      </c>
      <c r="W85" s="4"/>
      <c r="X85" s="4"/>
      <c r="Y85" s="4"/>
      <c r="Z85" s="3"/>
      <c r="AA85" s="408" t="s">
        <v>1279</v>
      </c>
      <c r="AB85" s="3">
        <v>742000</v>
      </c>
      <c r="AC85" s="21"/>
      <c r="AD85" s="60"/>
    </row>
    <row r="86" spans="1:32" s="6" customFormat="1" ht="35.15" customHeight="1">
      <c r="A86" s="3">
        <f t="shared" si="11"/>
        <v>81</v>
      </c>
      <c r="B86" s="42">
        <v>2106</v>
      </c>
      <c r="C86" s="3" t="s">
        <v>1486</v>
      </c>
      <c r="D86" s="4">
        <v>15000000</v>
      </c>
      <c r="E86" s="4"/>
      <c r="F86" s="4">
        <f t="shared" si="22"/>
        <v>15000000</v>
      </c>
      <c r="G86" s="4"/>
      <c r="H86" s="4"/>
      <c r="I86" s="4"/>
      <c r="J86" s="4"/>
      <c r="K86" s="4">
        <f t="shared" si="28"/>
        <v>0</v>
      </c>
      <c r="L86" s="4">
        <f t="shared" si="23"/>
        <v>0</v>
      </c>
      <c r="M86" s="4">
        <f t="shared" si="29"/>
        <v>0</v>
      </c>
      <c r="N86" s="4">
        <f>2500000-2000000</f>
        <v>500000</v>
      </c>
      <c r="O86" s="4">
        <f t="shared" si="24"/>
        <v>14500000</v>
      </c>
      <c r="P86" s="4">
        <f t="shared" si="25"/>
        <v>0</v>
      </c>
      <c r="Q86" s="4"/>
      <c r="R86" s="4"/>
      <c r="S86" s="4">
        <f t="shared" si="30"/>
        <v>0</v>
      </c>
      <c r="T86" s="4">
        <f t="shared" si="31"/>
        <v>0</v>
      </c>
      <c r="U86" s="4">
        <f t="shared" si="26"/>
        <v>500000</v>
      </c>
      <c r="V86" s="4">
        <f t="shared" si="27"/>
        <v>500000</v>
      </c>
      <c r="W86" s="4"/>
      <c r="X86" s="4"/>
      <c r="Y86" s="4"/>
      <c r="Z86" s="3"/>
      <c r="AA86" s="408" t="s">
        <v>1245</v>
      </c>
      <c r="AB86" s="3">
        <v>742000</v>
      </c>
      <c r="AC86" s="21"/>
      <c r="AD86" s="60"/>
    </row>
    <row r="87" spans="1:32" s="6" customFormat="1" ht="35.15" customHeight="1">
      <c r="A87" s="3">
        <f t="shared" si="11"/>
        <v>82</v>
      </c>
      <c r="B87" s="42">
        <v>2107</v>
      </c>
      <c r="C87" s="3" t="s">
        <v>685</v>
      </c>
      <c r="D87" s="4">
        <v>340000</v>
      </c>
      <c r="E87" s="4"/>
      <c r="F87" s="4">
        <f t="shared" si="22"/>
        <v>340000</v>
      </c>
      <c r="G87" s="4"/>
      <c r="H87" s="4"/>
      <c r="I87" s="4"/>
      <c r="J87" s="4"/>
      <c r="K87" s="4">
        <f t="shared" si="28"/>
        <v>0</v>
      </c>
      <c r="L87" s="4">
        <f t="shared" si="23"/>
        <v>0</v>
      </c>
      <c r="M87" s="4">
        <f t="shared" si="29"/>
        <v>0</v>
      </c>
      <c r="N87" s="4">
        <v>340000</v>
      </c>
      <c r="O87" s="4">
        <f t="shared" si="24"/>
        <v>0</v>
      </c>
      <c r="P87" s="4">
        <f t="shared" si="25"/>
        <v>0</v>
      </c>
      <c r="Q87" s="4"/>
      <c r="R87" s="4"/>
      <c r="S87" s="4">
        <f t="shared" si="30"/>
        <v>0</v>
      </c>
      <c r="T87" s="4">
        <f t="shared" si="31"/>
        <v>0</v>
      </c>
      <c r="U87" s="4">
        <f t="shared" si="26"/>
        <v>340000</v>
      </c>
      <c r="V87" s="4">
        <f t="shared" si="27"/>
        <v>340000</v>
      </c>
      <c r="W87" s="4"/>
      <c r="X87" s="4"/>
      <c r="Y87" s="4"/>
      <c r="Z87" s="3"/>
      <c r="AA87" s="408" t="s">
        <v>1490</v>
      </c>
      <c r="AB87" s="3">
        <v>742000</v>
      </c>
      <c r="AC87" s="21"/>
      <c r="AD87" s="60"/>
      <c r="AE87" s="5"/>
      <c r="AF87" s="5"/>
    </row>
    <row r="88" spans="1:32" s="6" customFormat="1" ht="35.15" customHeight="1">
      <c r="A88" s="3">
        <f t="shared" si="11"/>
        <v>83</v>
      </c>
      <c r="B88" s="42">
        <v>2108</v>
      </c>
      <c r="C88" s="3" t="s">
        <v>686</v>
      </c>
      <c r="D88" s="4">
        <f>3300000+3200000+2700000+4900000</f>
        <v>14100000</v>
      </c>
      <c r="E88" s="4"/>
      <c r="F88" s="4">
        <f t="shared" si="22"/>
        <v>14100000</v>
      </c>
      <c r="G88" s="4"/>
      <c r="H88" s="4"/>
      <c r="I88" s="4"/>
      <c r="J88" s="4"/>
      <c r="K88" s="4">
        <f t="shared" si="28"/>
        <v>0</v>
      </c>
      <c r="L88" s="4">
        <f t="shared" si="23"/>
        <v>0</v>
      </c>
      <c r="M88" s="4">
        <f t="shared" si="29"/>
        <v>0</v>
      </c>
      <c r="N88" s="4">
        <v>1200000</v>
      </c>
      <c r="O88" s="4">
        <f t="shared" si="24"/>
        <v>12900000</v>
      </c>
      <c r="P88" s="4">
        <f t="shared" si="25"/>
        <v>0</v>
      </c>
      <c r="Q88" s="4"/>
      <c r="R88" s="4"/>
      <c r="S88" s="4">
        <f t="shared" si="30"/>
        <v>0</v>
      </c>
      <c r="T88" s="4">
        <f t="shared" si="31"/>
        <v>0</v>
      </c>
      <c r="U88" s="4">
        <f t="shared" si="26"/>
        <v>1200000</v>
      </c>
      <c r="V88" s="4">
        <f t="shared" si="27"/>
        <v>1200000</v>
      </c>
      <c r="W88" s="4"/>
      <c r="X88" s="4"/>
      <c r="Y88" s="4"/>
      <c r="Z88" s="3"/>
      <c r="AA88" s="695" t="s">
        <v>1299</v>
      </c>
      <c r="AB88" s="3">
        <v>746000</v>
      </c>
      <c r="AC88" s="21"/>
      <c r="AD88" s="60"/>
      <c r="AE88" s="5"/>
      <c r="AF88" s="5"/>
    </row>
    <row r="89" spans="1:32" s="5" customFormat="1" ht="35.15" customHeight="1">
      <c r="A89" s="3">
        <f t="shared" si="11"/>
        <v>84</v>
      </c>
      <c r="B89" s="42">
        <v>2109</v>
      </c>
      <c r="C89" s="3" t="s">
        <v>687</v>
      </c>
      <c r="D89" s="4">
        <v>2000000</v>
      </c>
      <c r="E89" s="4"/>
      <c r="F89" s="4">
        <f t="shared" si="22"/>
        <v>2000000</v>
      </c>
      <c r="G89" s="4"/>
      <c r="H89" s="4"/>
      <c r="I89" s="4"/>
      <c r="J89" s="4"/>
      <c r="K89" s="4">
        <f t="shared" si="28"/>
        <v>0</v>
      </c>
      <c r="L89" s="4">
        <f t="shared" si="23"/>
        <v>0</v>
      </c>
      <c r="M89" s="4">
        <f t="shared" si="29"/>
        <v>0</v>
      </c>
      <c r="N89" s="4">
        <v>500000</v>
      </c>
      <c r="O89" s="4">
        <f t="shared" si="24"/>
        <v>1500000</v>
      </c>
      <c r="P89" s="4">
        <f t="shared" si="25"/>
        <v>0</v>
      </c>
      <c r="Q89" s="4"/>
      <c r="R89" s="4"/>
      <c r="S89" s="4">
        <f t="shared" si="30"/>
        <v>0</v>
      </c>
      <c r="T89" s="4">
        <f t="shared" si="31"/>
        <v>0</v>
      </c>
      <c r="U89" s="4">
        <f t="shared" si="26"/>
        <v>500000</v>
      </c>
      <c r="V89" s="4">
        <f t="shared" si="27"/>
        <v>500000</v>
      </c>
      <c r="W89" s="4"/>
      <c r="X89" s="4"/>
      <c r="Y89" s="4"/>
      <c r="Z89" s="3"/>
      <c r="AA89" s="408" t="s">
        <v>1500</v>
      </c>
      <c r="AB89" s="3">
        <v>742000</v>
      </c>
      <c r="AC89" s="21"/>
      <c r="AD89" s="60"/>
    </row>
    <row r="90" spans="1:32" s="5" customFormat="1" ht="35.15" customHeight="1">
      <c r="A90" s="3">
        <f t="shared" si="11"/>
        <v>85</v>
      </c>
      <c r="B90" s="42">
        <v>2110</v>
      </c>
      <c r="C90" s="3" t="s">
        <v>688</v>
      </c>
      <c r="D90" s="4">
        <v>16000000</v>
      </c>
      <c r="E90" s="4"/>
      <c r="F90" s="4">
        <f t="shared" si="22"/>
        <v>16000000</v>
      </c>
      <c r="G90" s="4"/>
      <c r="H90" s="4"/>
      <c r="I90" s="4"/>
      <c r="J90" s="4"/>
      <c r="K90" s="4">
        <f t="shared" si="28"/>
        <v>0</v>
      </c>
      <c r="L90" s="4">
        <f t="shared" si="23"/>
        <v>0</v>
      </c>
      <c r="M90" s="4">
        <f t="shared" si="29"/>
        <v>0</v>
      </c>
      <c r="N90" s="4">
        <f>1200000-700000</f>
        <v>500000</v>
      </c>
      <c r="O90" s="4">
        <f t="shared" si="24"/>
        <v>15500000</v>
      </c>
      <c r="P90" s="4">
        <f t="shared" si="25"/>
        <v>0</v>
      </c>
      <c r="Q90" s="4"/>
      <c r="R90" s="4"/>
      <c r="S90" s="4">
        <f t="shared" si="30"/>
        <v>0</v>
      </c>
      <c r="T90" s="4">
        <f t="shared" si="31"/>
        <v>0</v>
      </c>
      <c r="U90" s="4">
        <f t="shared" si="26"/>
        <v>500000</v>
      </c>
      <c r="V90" s="4">
        <f t="shared" si="27"/>
        <v>500000</v>
      </c>
      <c r="W90" s="4"/>
      <c r="X90" s="4"/>
      <c r="Y90" s="4"/>
      <c r="Z90" s="3"/>
      <c r="AA90" s="408" t="s">
        <v>1501</v>
      </c>
      <c r="AB90" s="3">
        <v>742000</v>
      </c>
      <c r="AC90" s="21"/>
      <c r="AD90" s="60"/>
    </row>
    <row r="91" spans="1:32" s="5" customFormat="1" ht="35.15" customHeight="1">
      <c r="A91" s="3">
        <f t="shared" si="11"/>
        <v>86</v>
      </c>
      <c r="B91" s="42">
        <v>2111</v>
      </c>
      <c r="C91" s="3" t="s">
        <v>689</v>
      </c>
      <c r="D91" s="4">
        <v>10240000</v>
      </c>
      <c r="E91" s="4"/>
      <c r="F91" s="4">
        <f t="shared" si="22"/>
        <v>10240000</v>
      </c>
      <c r="G91" s="4"/>
      <c r="H91" s="4"/>
      <c r="I91" s="4"/>
      <c r="J91" s="4"/>
      <c r="K91" s="4">
        <f t="shared" si="28"/>
        <v>0</v>
      </c>
      <c r="L91" s="4">
        <f t="shared" si="23"/>
        <v>0</v>
      </c>
      <c r="M91" s="4">
        <f t="shared" si="29"/>
        <v>0</v>
      </c>
      <c r="N91" s="4">
        <f>1000000-500000</f>
        <v>500000</v>
      </c>
      <c r="O91" s="4">
        <f t="shared" si="24"/>
        <v>9740000</v>
      </c>
      <c r="P91" s="4">
        <f t="shared" si="25"/>
        <v>0</v>
      </c>
      <c r="Q91" s="4"/>
      <c r="R91" s="4"/>
      <c r="S91" s="4">
        <f t="shared" si="30"/>
        <v>0</v>
      </c>
      <c r="T91" s="4">
        <f t="shared" si="31"/>
        <v>0</v>
      </c>
      <c r="U91" s="4">
        <f t="shared" si="26"/>
        <v>500000</v>
      </c>
      <c r="V91" s="4">
        <f t="shared" si="27"/>
        <v>500000</v>
      </c>
      <c r="W91" s="4"/>
      <c r="X91" s="4"/>
      <c r="Y91" s="4"/>
      <c r="Z91" s="3"/>
      <c r="AA91" s="695" t="s">
        <v>1502</v>
      </c>
      <c r="AB91" s="3">
        <v>742000</v>
      </c>
      <c r="AC91" s="21"/>
      <c r="AD91" s="60"/>
    </row>
    <row r="92" spans="1:32" s="5" customFormat="1" ht="35.15" customHeight="1">
      <c r="A92" s="3">
        <f t="shared" si="11"/>
        <v>87</v>
      </c>
      <c r="B92" s="42">
        <v>2112</v>
      </c>
      <c r="C92" s="3" t="s">
        <v>1494</v>
      </c>
      <c r="D92" s="4">
        <v>7650000</v>
      </c>
      <c r="E92" s="4"/>
      <c r="F92" s="4">
        <f t="shared" si="22"/>
        <v>7650000</v>
      </c>
      <c r="G92" s="4"/>
      <c r="H92" s="4"/>
      <c r="I92" s="4"/>
      <c r="J92" s="4"/>
      <c r="K92" s="4">
        <f t="shared" si="28"/>
        <v>0</v>
      </c>
      <c r="L92" s="4">
        <f t="shared" si="23"/>
        <v>0</v>
      </c>
      <c r="M92" s="4">
        <f t="shared" si="29"/>
        <v>0</v>
      </c>
      <c r="N92" s="4">
        <f>3160000-3000000</f>
        <v>160000</v>
      </c>
      <c r="O92" s="4">
        <f t="shared" si="24"/>
        <v>7490000</v>
      </c>
      <c r="P92" s="4">
        <f t="shared" si="25"/>
        <v>0</v>
      </c>
      <c r="Q92" s="4"/>
      <c r="R92" s="4"/>
      <c r="S92" s="4">
        <f t="shared" si="30"/>
        <v>0</v>
      </c>
      <c r="T92" s="4">
        <f t="shared" si="31"/>
        <v>0</v>
      </c>
      <c r="U92" s="4">
        <f t="shared" si="26"/>
        <v>160000</v>
      </c>
      <c r="V92" s="4">
        <f t="shared" si="27"/>
        <v>160000</v>
      </c>
      <c r="W92" s="4"/>
      <c r="X92" s="4"/>
      <c r="Y92" s="4"/>
      <c r="Z92" s="3"/>
      <c r="AA92" s="695" t="s">
        <v>1493</v>
      </c>
      <c r="AB92" s="3">
        <v>732000</v>
      </c>
      <c r="AC92" s="21"/>
      <c r="AD92" s="60"/>
    </row>
    <row r="93" spans="1:32" s="5" customFormat="1" ht="35.15" customHeight="1">
      <c r="A93" s="3">
        <f t="shared" si="11"/>
        <v>88</v>
      </c>
      <c r="B93" s="42">
        <v>2113</v>
      </c>
      <c r="C93" s="3" t="s">
        <v>691</v>
      </c>
      <c r="D93" s="4">
        <v>2550000</v>
      </c>
      <c r="E93" s="4"/>
      <c r="F93" s="4">
        <f t="shared" si="22"/>
        <v>2550000</v>
      </c>
      <c r="G93" s="4"/>
      <c r="H93" s="4"/>
      <c r="I93" s="4"/>
      <c r="J93" s="4"/>
      <c r="K93" s="4">
        <f t="shared" si="28"/>
        <v>0</v>
      </c>
      <c r="L93" s="4">
        <f t="shared" si="23"/>
        <v>0</v>
      </c>
      <c r="M93" s="4">
        <f t="shared" si="29"/>
        <v>0</v>
      </c>
      <c r="N93" s="4">
        <v>1000000</v>
      </c>
      <c r="O93" s="4">
        <f t="shared" si="24"/>
        <v>1550000</v>
      </c>
      <c r="P93" s="4">
        <f t="shared" si="25"/>
        <v>0</v>
      </c>
      <c r="Q93" s="4"/>
      <c r="R93" s="4"/>
      <c r="S93" s="4">
        <f t="shared" si="30"/>
        <v>0</v>
      </c>
      <c r="T93" s="4">
        <f t="shared" si="31"/>
        <v>0</v>
      </c>
      <c r="U93" s="4">
        <f t="shared" si="26"/>
        <v>1000000</v>
      </c>
      <c r="V93" s="4">
        <f t="shared" si="27"/>
        <v>1000000</v>
      </c>
      <c r="W93" s="4"/>
      <c r="X93" s="4"/>
      <c r="Y93" s="4"/>
      <c r="Z93" s="3"/>
      <c r="AA93" s="695" t="s">
        <v>1495</v>
      </c>
      <c r="AB93" s="3">
        <v>732000</v>
      </c>
      <c r="AC93" s="21"/>
      <c r="AD93" s="60"/>
    </row>
    <row r="94" spans="1:32" s="6" customFormat="1" ht="35.15" customHeight="1">
      <c r="A94" s="3">
        <f t="shared" si="11"/>
        <v>89</v>
      </c>
      <c r="B94" s="42">
        <v>2114</v>
      </c>
      <c r="C94" s="3" t="s">
        <v>1117</v>
      </c>
      <c r="D94" s="4">
        <v>1450000</v>
      </c>
      <c r="E94" s="4"/>
      <c r="F94" s="4">
        <f t="shared" si="22"/>
        <v>1450000</v>
      </c>
      <c r="G94" s="4"/>
      <c r="H94" s="4"/>
      <c r="I94" s="4"/>
      <c r="J94" s="4"/>
      <c r="K94" s="4">
        <f t="shared" si="28"/>
        <v>0</v>
      </c>
      <c r="L94" s="4">
        <f t="shared" si="23"/>
        <v>0</v>
      </c>
      <c r="M94" s="4">
        <f t="shared" si="29"/>
        <v>0</v>
      </c>
      <c r="N94" s="4">
        <v>700000</v>
      </c>
      <c r="O94" s="4">
        <f t="shared" si="24"/>
        <v>750000</v>
      </c>
      <c r="P94" s="4">
        <f t="shared" si="25"/>
        <v>0</v>
      </c>
      <c r="Q94" s="4"/>
      <c r="R94" s="4"/>
      <c r="S94" s="4">
        <f t="shared" si="30"/>
        <v>0</v>
      </c>
      <c r="T94" s="4">
        <f t="shared" si="31"/>
        <v>0</v>
      </c>
      <c r="U94" s="4">
        <f t="shared" si="26"/>
        <v>700000</v>
      </c>
      <c r="V94" s="4">
        <f t="shared" si="27"/>
        <v>700000</v>
      </c>
      <c r="W94" s="4"/>
      <c r="X94" s="4"/>
      <c r="Y94" s="4"/>
      <c r="Z94" s="3"/>
      <c r="AA94" s="408" t="s">
        <v>1116</v>
      </c>
      <c r="AB94" s="3">
        <v>732000</v>
      </c>
      <c r="AC94" s="21"/>
      <c r="AD94" s="60"/>
      <c r="AE94" s="5"/>
      <c r="AF94" s="5"/>
    </row>
    <row r="95" spans="1:32" s="6" customFormat="1" ht="35.15" customHeight="1">
      <c r="A95" s="3">
        <f t="shared" si="11"/>
        <v>90</v>
      </c>
      <c r="B95" s="42">
        <v>2115</v>
      </c>
      <c r="C95" s="3" t="s">
        <v>692</v>
      </c>
      <c r="D95" s="4">
        <v>3100000</v>
      </c>
      <c r="E95" s="4"/>
      <c r="F95" s="4">
        <f t="shared" si="22"/>
        <v>3100000</v>
      </c>
      <c r="G95" s="4"/>
      <c r="H95" s="4"/>
      <c r="I95" s="4"/>
      <c r="J95" s="4"/>
      <c r="K95" s="4"/>
      <c r="L95" s="4"/>
      <c r="M95" s="4"/>
      <c r="N95" s="4">
        <f>1200000-700000</f>
        <v>500000</v>
      </c>
      <c r="O95" s="4">
        <f t="shared" si="24"/>
        <v>2600000</v>
      </c>
      <c r="P95" s="4">
        <f t="shared" si="25"/>
        <v>0</v>
      </c>
      <c r="Q95" s="4"/>
      <c r="R95" s="4"/>
      <c r="S95" s="4">
        <f t="shared" si="30"/>
        <v>0</v>
      </c>
      <c r="T95" s="4">
        <f t="shared" si="31"/>
        <v>0</v>
      </c>
      <c r="U95" s="4">
        <f t="shared" si="26"/>
        <v>500000</v>
      </c>
      <c r="V95" s="4">
        <f t="shared" si="27"/>
        <v>500000</v>
      </c>
      <c r="W95" s="4"/>
      <c r="X95" s="4"/>
      <c r="Y95" s="4"/>
      <c r="Z95" s="3"/>
      <c r="AA95" s="408" t="s">
        <v>1300</v>
      </c>
      <c r="AB95" s="3">
        <v>732000</v>
      </c>
      <c r="AC95" s="21"/>
      <c r="AD95" s="60"/>
      <c r="AE95" s="5"/>
      <c r="AF95" s="5"/>
    </row>
    <row r="96" spans="1:32" s="6" customFormat="1" ht="35.15" customHeight="1">
      <c r="A96" s="3">
        <f t="shared" si="11"/>
        <v>91</v>
      </c>
      <c r="B96" s="42">
        <v>2116</v>
      </c>
      <c r="C96" s="3" t="s">
        <v>693</v>
      </c>
      <c r="D96" s="4">
        <v>1700000</v>
      </c>
      <c r="E96" s="10"/>
      <c r="F96" s="4">
        <f t="shared" si="22"/>
        <v>1700000</v>
      </c>
      <c r="G96" s="10"/>
      <c r="H96" s="10"/>
      <c r="I96" s="10"/>
      <c r="J96" s="10"/>
      <c r="K96" s="10"/>
      <c r="L96" s="10"/>
      <c r="M96" s="10"/>
      <c r="N96" s="4">
        <f>650000-150000</f>
        <v>500000</v>
      </c>
      <c r="O96" s="4">
        <f t="shared" si="24"/>
        <v>1200000</v>
      </c>
      <c r="P96" s="4">
        <f t="shared" si="25"/>
        <v>0</v>
      </c>
      <c r="Q96" s="4"/>
      <c r="R96" s="4"/>
      <c r="S96" s="4">
        <f t="shared" si="30"/>
        <v>0</v>
      </c>
      <c r="T96" s="4">
        <f t="shared" si="31"/>
        <v>0</v>
      </c>
      <c r="U96" s="4">
        <f t="shared" si="26"/>
        <v>500000</v>
      </c>
      <c r="V96" s="4">
        <f t="shared" si="27"/>
        <v>500000</v>
      </c>
      <c r="W96" s="10"/>
      <c r="X96" s="10"/>
      <c r="Y96" s="10"/>
      <c r="Z96" s="10"/>
      <c r="AA96" s="408" t="s">
        <v>694</v>
      </c>
      <c r="AB96" s="3">
        <v>732000</v>
      </c>
      <c r="AC96" s="21"/>
      <c r="AD96" s="60"/>
    </row>
    <row r="97" spans="1:32" s="6" customFormat="1" ht="35.15" customHeight="1">
      <c r="A97" s="3">
        <f t="shared" si="11"/>
        <v>92</v>
      </c>
      <c r="B97" s="42">
        <v>2117</v>
      </c>
      <c r="C97" s="3" t="s">
        <v>695</v>
      </c>
      <c r="D97" s="4">
        <v>600000</v>
      </c>
      <c r="E97" s="4"/>
      <c r="F97" s="4">
        <f t="shared" si="22"/>
        <v>600000</v>
      </c>
      <c r="G97" s="4"/>
      <c r="H97" s="4"/>
      <c r="I97" s="4"/>
      <c r="J97" s="4"/>
      <c r="K97" s="4"/>
      <c r="L97" s="4"/>
      <c r="M97" s="4"/>
      <c r="N97" s="4">
        <v>300000</v>
      </c>
      <c r="O97" s="4">
        <f t="shared" si="24"/>
        <v>300000</v>
      </c>
      <c r="P97" s="4">
        <f t="shared" si="25"/>
        <v>0</v>
      </c>
      <c r="Q97" s="4"/>
      <c r="R97" s="4"/>
      <c r="S97" s="4">
        <f t="shared" si="30"/>
        <v>0</v>
      </c>
      <c r="T97" s="4">
        <f t="shared" si="31"/>
        <v>0</v>
      </c>
      <c r="U97" s="4">
        <f t="shared" si="26"/>
        <v>300000</v>
      </c>
      <c r="V97" s="4">
        <f t="shared" si="27"/>
        <v>300000</v>
      </c>
      <c r="W97" s="10"/>
      <c r="X97" s="10"/>
      <c r="Y97" s="10"/>
      <c r="Z97" s="10"/>
      <c r="AA97" s="408" t="s">
        <v>1496</v>
      </c>
      <c r="AB97" s="3">
        <v>732000</v>
      </c>
      <c r="AC97" s="21"/>
      <c r="AD97" s="60"/>
    </row>
    <row r="98" spans="1:32" s="6" customFormat="1" ht="35.15" customHeight="1">
      <c r="A98" s="3">
        <f t="shared" si="11"/>
        <v>93</v>
      </c>
      <c r="B98" s="42">
        <v>2118</v>
      </c>
      <c r="C98" s="3" t="s">
        <v>697</v>
      </c>
      <c r="D98" s="4">
        <v>1800000</v>
      </c>
      <c r="E98" s="4"/>
      <c r="F98" s="4">
        <f t="shared" si="22"/>
        <v>1800000</v>
      </c>
      <c r="G98" s="4"/>
      <c r="H98" s="4"/>
      <c r="I98" s="4"/>
      <c r="J98" s="4"/>
      <c r="K98" s="4"/>
      <c r="L98" s="4"/>
      <c r="M98" s="4"/>
      <c r="N98" s="4">
        <v>200000</v>
      </c>
      <c r="O98" s="4">
        <f t="shared" si="24"/>
        <v>1600000</v>
      </c>
      <c r="P98" s="4">
        <f t="shared" si="25"/>
        <v>0</v>
      </c>
      <c r="Q98" s="4"/>
      <c r="R98" s="4"/>
      <c r="S98" s="4">
        <f t="shared" si="30"/>
        <v>0</v>
      </c>
      <c r="T98" s="4">
        <f t="shared" si="31"/>
        <v>0</v>
      </c>
      <c r="U98" s="4">
        <f t="shared" si="26"/>
        <v>200000</v>
      </c>
      <c r="V98" s="4">
        <f t="shared" si="27"/>
        <v>200000</v>
      </c>
      <c r="W98" s="10"/>
      <c r="X98" s="10"/>
      <c r="Y98" s="10"/>
      <c r="Z98" s="10"/>
      <c r="AA98" s="696" t="s">
        <v>1119</v>
      </c>
      <c r="AB98" s="3">
        <v>746000</v>
      </c>
      <c r="AC98" s="21"/>
      <c r="AD98" s="60"/>
    </row>
    <row r="99" spans="1:32" s="5" customFormat="1" ht="35.15" customHeight="1">
      <c r="A99" s="3">
        <f t="shared" si="11"/>
        <v>94</v>
      </c>
      <c r="B99" s="42">
        <v>2119</v>
      </c>
      <c r="C99" s="3" t="s">
        <v>698</v>
      </c>
      <c r="D99" s="4">
        <v>1400000</v>
      </c>
      <c r="E99" s="4"/>
      <c r="F99" s="4">
        <f t="shared" si="22"/>
        <v>1400000</v>
      </c>
      <c r="G99" s="4"/>
      <c r="H99" s="4"/>
      <c r="I99" s="4"/>
      <c r="J99" s="4"/>
      <c r="K99" s="4"/>
      <c r="L99" s="4"/>
      <c r="M99" s="4"/>
      <c r="N99" s="4">
        <v>150000</v>
      </c>
      <c r="O99" s="4">
        <f t="shared" si="24"/>
        <v>1250000</v>
      </c>
      <c r="P99" s="4">
        <f t="shared" si="25"/>
        <v>0</v>
      </c>
      <c r="Q99" s="4"/>
      <c r="R99" s="4"/>
      <c r="S99" s="4">
        <f t="shared" si="30"/>
        <v>0</v>
      </c>
      <c r="T99" s="4">
        <f t="shared" si="31"/>
        <v>0</v>
      </c>
      <c r="U99" s="4">
        <f t="shared" si="26"/>
        <v>150000</v>
      </c>
      <c r="V99" s="4">
        <f t="shared" si="27"/>
        <v>150000</v>
      </c>
      <c r="W99" s="4"/>
      <c r="X99" s="4"/>
      <c r="Y99" s="4"/>
      <c r="Z99" s="3"/>
      <c r="AA99" s="408" t="s">
        <v>699</v>
      </c>
      <c r="AB99" s="3">
        <v>742000</v>
      </c>
      <c r="AC99" s="21"/>
      <c r="AD99" s="60"/>
      <c r="AE99" s="6"/>
      <c r="AF99" s="6"/>
    </row>
    <row r="100" spans="1:32" s="5" customFormat="1" ht="35.15" customHeight="1">
      <c r="A100" s="3">
        <f t="shared" si="11"/>
        <v>95</v>
      </c>
      <c r="B100" s="42">
        <v>2120</v>
      </c>
      <c r="C100" s="3" t="s">
        <v>1198</v>
      </c>
      <c r="D100" s="4">
        <v>1000000</v>
      </c>
      <c r="E100" s="4"/>
      <c r="F100" s="4">
        <f t="shared" si="22"/>
        <v>1000000</v>
      </c>
      <c r="G100" s="4"/>
      <c r="H100" s="4"/>
      <c r="I100" s="4"/>
      <c r="J100" s="4"/>
      <c r="K100" s="4"/>
      <c r="L100" s="4"/>
      <c r="M100" s="4"/>
      <c r="N100" s="4">
        <v>1000000</v>
      </c>
      <c r="O100" s="4">
        <f t="shared" si="24"/>
        <v>0</v>
      </c>
      <c r="P100" s="4">
        <f t="shared" si="25"/>
        <v>0</v>
      </c>
      <c r="Q100" s="4"/>
      <c r="R100" s="4"/>
      <c r="S100" s="4">
        <f t="shared" si="30"/>
        <v>0</v>
      </c>
      <c r="T100" s="4">
        <f t="shared" si="31"/>
        <v>0</v>
      </c>
      <c r="U100" s="4">
        <f t="shared" si="26"/>
        <v>1000000</v>
      </c>
      <c r="V100" s="4">
        <f t="shared" si="27"/>
        <v>1000000</v>
      </c>
      <c r="W100" s="4"/>
      <c r="X100" s="4"/>
      <c r="Y100" s="4"/>
      <c r="Z100" s="3"/>
      <c r="AA100" s="408" t="s">
        <v>1197</v>
      </c>
      <c r="AB100" s="3">
        <v>732000</v>
      </c>
      <c r="AC100" s="21"/>
      <c r="AD100" s="60"/>
      <c r="AE100" s="6"/>
      <c r="AF100" s="6"/>
    </row>
    <row r="101" spans="1:32" s="5" customFormat="1" ht="35.15" customHeight="1">
      <c r="A101" s="3">
        <f t="shared" si="11"/>
        <v>96</v>
      </c>
      <c r="B101" s="42">
        <v>2121</v>
      </c>
      <c r="C101" s="3" t="s">
        <v>1238</v>
      </c>
      <c r="D101" s="4">
        <v>300000</v>
      </c>
      <c r="E101" s="4"/>
      <c r="F101" s="4">
        <f t="shared" si="22"/>
        <v>300000</v>
      </c>
      <c r="G101" s="4"/>
      <c r="H101" s="4"/>
      <c r="I101" s="4"/>
      <c r="J101" s="4"/>
      <c r="K101" s="4"/>
      <c r="L101" s="4"/>
      <c r="M101" s="4"/>
      <c r="N101" s="4">
        <v>300000</v>
      </c>
      <c r="O101" s="4">
        <f t="shared" si="24"/>
        <v>0</v>
      </c>
      <c r="P101" s="4">
        <f t="shared" si="25"/>
        <v>0</v>
      </c>
      <c r="Q101" s="4"/>
      <c r="R101" s="4"/>
      <c r="S101" s="4">
        <f t="shared" si="30"/>
        <v>0</v>
      </c>
      <c r="T101" s="4">
        <f t="shared" si="31"/>
        <v>0</v>
      </c>
      <c r="U101" s="4">
        <f t="shared" si="26"/>
        <v>300000</v>
      </c>
      <c r="V101" s="4">
        <f t="shared" si="27"/>
        <v>90000</v>
      </c>
      <c r="W101" s="4"/>
      <c r="X101" s="4"/>
      <c r="Y101" s="4"/>
      <c r="Z101" s="4">
        <v>210000</v>
      </c>
      <c r="AA101" s="408" t="s">
        <v>1262</v>
      </c>
      <c r="AB101" s="3">
        <v>742000</v>
      </c>
      <c r="AC101" s="21"/>
      <c r="AD101" s="60"/>
      <c r="AE101" s="6"/>
      <c r="AF101" s="6"/>
    </row>
    <row r="102" spans="1:32" s="5" customFormat="1" ht="35.15" customHeight="1">
      <c r="A102" s="3">
        <f t="shared" si="11"/>
        <v>97</v>
      </c>
      <c r="B102" s="42">
        <v>2122</v>
      </c>
      <c r="C102" s="3" t="s">
        <v>1487</v>
      </c>
      <c r="D102" s="4">
        <v>300000</v>
      </c>
      <c r="E102" s="4"/>
      <c r="F102" s="4">
        <f t="shared" si="22"/>
        <v>300000</v>
      </c>
      <c r="G102" s="4"/>
      <c r="H102" s="4"/>
      <c r="I102" s="4"/>
      <c r="J102" s="4"/>
      <c r="K102" s="4"/>
      <c r="L102" s="4"/>
      <c r="M102" s="4"/>
      <c r="N102" s="4">
        <v>300000</v>
      </c>
      <c r="O102" s="4">
        <f t="shared" si="24"/>
        <v>0</v>
      </c>
      <c r="P102" s="4">
        <f t="shared" si="25"/>
        <v>0</v>
      </c>
      <c r="Q102" s="4"/>
      <c r="R102" s="4"/>
      <c r="S102" s="4">
        <f t="shared" si="30"/>
        <v>0</v>
      </c>
      <c r="T102" s="4">
        <f t="shared" si="31"/>
        <v>0</v>
      </c>
      <c r="U102" s="4">
        <f t="shared" si="26"/>
        <v>300000</v>
      </c>
      <c r="V102" s="4">
        <f t="shared" si="27"/>
        <v>90000</v>
      </c>
      <c r="W102" s="4"/>
      <c r="X102" s="4"/>
      <c r="Y102" s="4"/>
      <c r="Z102" s="4">
        <v>210000</v>
      </c>
      <c r="AA102" s="408" t="s">
        <v>1261</v>
      </c>
      <c r="AB102" s="3">
        <v>742000</v>
      </c>
      <c r="AC102" s="21"/>
      <c r="AD102" s="60"/>
      <c r="AE102" s="6"/>
      <c r="AF102" s="6"/>
    </row>
    <row r="103" spans="1:32" s="5" customFormat="1" ht="35.15" customHeight="1">
      <c r="A103" s="3">
        <f t="shared" si="11"/>
        <v>98</v>
      </c>
      <c r="B103" s="42">
        <v>2123</v>
      </c>
      <c r="C103" s="3" t="s">
        <v>1488</v>
      </c>
      <c r="D103" s="4">
        <v>750000</v>
      </c>
      <c r="E103" s="4"/>
      <c r="F103" s="4">
        <f>D103-E103</f>
        <v>750000</v>
      </c>
      <c r="G103" s="4"/>
      <c r="H103" s="4"/>
      <c r="I103" s="4"/>
      <c r="J103" s="4"/>
      <c r="K103" s="4"/>
      <c r="L103" s="4"/>
      <c r="M103" s="4"/>
      <c r="N103" s="4">
        <v>750000</v>
      </c>
      <c r="O103" s="4">
        <f>D103-L103-M103-N103</f>
        <v>0</v>
      </c>
      <c r="P103" s="4">
        <f>G103-L103</f>
        <v>0</v>
      </c>
      <c r="Q103" s="4"/>
      <c r="R103" s="4"/>
      <c r="S103" s="4">
        <f>SUM(Q103:R103)</f>
        <v>0</v>
      </c>
      <c r="T103" s="4">
        <f>P103-M103+S103</f>
        <v>0</v>
      </c>
      <c r="U103" s="4">
        <f>N103-T103</f>
        <v>750000</v>
      </c>
      <c r="V103" s="4">
        <f>U103-Z103-W103-Y103</f>
        <v>225000</v>
      </c>
      <c r="W103" s="4"/>
      <c r="X103" s="4"/>
      <c r="Y103" s="4"/>
      <c r="Z103" s="4">
        <v>525000</v>
      </c>
      <c r="AA103" s="408" t="s">
        <v>1301</v>
      </c>
      <c r="AB103" s="3">
        <v>742000</v>
      </c>
      <c r="AC103" s="21"/>
      <c r="AD103" s="60"/>
      <c r="AE103" s="6"/>
      <c r="AF103" s="6"/>
    </row>
    <row r="104" spans="1:32" s="6" customFormat="1" ht="35.15" customHeight="1">
      <c r="A104" s="9">
        <f>A103</f>
        <v>98</v>
      </c>
      <c r="B104" s="9"/>
      <c r="C104" s="9" t="s">
        <v>1172</v>
      </c>
      <c r="D104" s="10">
        <f t="shared" ref="D104:Z104" si="32">SUM(D6:D103)</f>
        <v>849930879</v>
      </c>
      <c r="E104" s="10">
        <f t="shared" si="32"/>
        <v>699330541</v>
      </c>
      <c r="F104" s="10">
        <f t="shared" si="32"/>
        <v>150600338</v>
      </c>
      <c r="G104" s="10">
        <f t="shared" si="32"/>
        <v>324115229</v>
      </c>
      <c r="H104" s="10">
        <f t="shared" si="32"/>
        <v>251391656.93999994</v>
      </c>
      <c r="I104" s="10">
        <f t="shared" si="32"/>
        <v>22234190.400000002</v>
      </c>
      <c r="J104" s="10">
        <f t="shared" si="32"/>
        <v>11172990.59</v>
      </c>
      <c r="K104" s="10">
        <f t="shared" si="32"/>
        <v>33407180.989999995</v>
      </c>
      <c r="L104" s="10">
        <f t="shared" si="32"/>
        <v>284798837.93000007</v>
      </c>
      <c r="M104" s="10">
        <f t="shared" si="32"/>
        <v>17597391.070000004</v>
      </c>
      <c r="N104" s="10">
        <f t="shared" si="32"/>
        <v>64635580</v>
      </c>
      <c r="O104" s="10">
        <f t="shared" si="32"/>
        <v>482899070</v>
      </c>
      <c r="P104" s="10">
        <f t="shared" si="32"/>
        <v>39316391.070000008</v>
      </c>
      <c r="Q104" s="10">
        <f t="shared" si="32"/>
        <v>500000</v>
      </c>
      <c r="R104" s="10">
        <f t="shared" si="32"/>
        <v>0</v>
      </c>
      <c r="S104" s="10">
        <f t="shared" si="32"/>
        <v>500000</v>
      </c>
      <c r="T104" s="10">
        <f t="shared" si="32"/>
        <v>22219000</v>
      </c>
      <c r="U104" s="10">
        <f t="shared" si="32"/>
        <v>42416580</v>
      </c>
      <c r="V104" s="10">
        <f t="shared" si="32"/>
        <v>39542003</v>
      </c>
      <c r="W104" s="10">
        <f t="shared" si="32"/>
        <v>0</v>
      </c>
      <c r="X104" s="10">
        <f t="shared" si="32"/>
        <v>0</v>
      </c>
      <c r="Y104" s="10">
        <f t="shared" si="32"/>
        <v>0</v>
      </c>
      <c r="Z104" s="10">
        <f t="shared" si="32"/>
        <v>2874577</v>
      </c>
      <c r="AA104" s="450"/>
      <c r="AB104" s="9"/>
      <c r="AC104" s="21"/>
      <c r="AD104" s="21"/>
    </row>
    <row r="105" spans="1:32" s="36" customFormat="1" ht="18" hidden="1">
      <c r="C105" s="412"/>
      <c r="D105" s="412"/>
      <c r="L105" s="24">
        <f>H104+K104</f>
        <v>284798837.92999995</v>
      </c>
      <c r="M105" s="24">
        <f>P104+S104-T104</f>
        <v>17597391.070000008</v>
      </c>
      <c r="P105" s="24">
        <f>G104-L104</f>
        <v>39316391.069999933</v>
      </c>
      <c r="U105" s="24">
        <f>N104-T104</f>
        <v>42416580</v>
      </c>
      <c r="V105" s="413"/>
      <c r="W105" s="413"/>
      <c r="AA105" s="697"/>
      <c r="AC105" s="21"/>
      <c r="AD105" s="21"/>
    </row>
    <row r="111" spans="1:32">
      <c r="U111" s="17"/>
    </row>
    <row r="112" spans="1:32">
      <c r="Q112" s="28"/>
    </row>
    <row r="113" spans="17:17">
      <c r="Q113" s="28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117"/>
  <sheetViews>
    <sheetView showZeros="0" rightToLeft="1" zoomScaleNormal="100" workbookViewId="0">
      <pane xSplit="3" ySplit="4" topLeftCell="D46" activePane="bottomRight" state="frozen"/>
      <selection activeCell="C42" sqref="C42"/>
      <selection pane="topRight" activeCell="C42" sqref="C42"/>
      <selection pane="bottomLeft" activeCell="C42" sqref="C42"/>
      <selection pane="bottomRight" activeCell="C42" sqref="C42"/>
    </sheetView>
  </sheetViews>
  <sheetFormatPr defaultColWidth="9.453125" defaultRowHeight="14"/>
  <cols>
    <col min="1" max="1" width="4.453125" style="15" customWidth="1"/>
    <col min="2" max="2" width="5.26953125" style="15" customWidth="1"/>
    <col min="3" max="3" width="29.54296875" style="21" customWidth="1"/>
    <col min="4" max="4" width="11.26953125" style="17" customWidth="1"/>
    <col min="5" max="5" width="12.26953125" style="17" hidden="1" customWidth="1"/>
    <col min="6" max="6" width="11.453125" style="17" hidden="1" customWidth="1"/>
    <col min="7" max="10" width="13" style="17" hidden="1" customWidth="1"/>
    <col min="11" max="11" width="11.7265625" style="17" hidden="1" customWidth="1"/>
    <col min="12" max="12" width="11.1796875" style="17" customWidth="1"/>
    <col min="13" max="14" width="10.1796875" style="17" customWidth="1"/>
    <col min="15" max="15" width="11.1796875" style="17" customWidth="1"/>
    <col min="16" max="16" width="11.453125" style="17" hidden="1" customWidth="1"/>
    <col min="17" max="17" width="16.26953125" style="17" hidden="1" customWidth="1"/>
    <col min="18" max="18" width="12.26953125" style="17" hidden="1" customWidth="1"/>
    <col min="19" max="19" width="12" style="17" hidden="1" customWidth="1"/>
    <col min="20" max="20" width="10.1796875" style="17" bestFit="1" customWidth="1"/>
    <col min="21" max="21" width="10.1796875" style="15" customWidth="1"/>
    <col min="22" max="22" width="10.26953125" style="15" customWidth="1"/>
    <col min="23" max="23" width="7.1796875" style="15" customWidth="1"/>
    <col min="24" max="25" width="5" style="15" hidden="1" customWidth="1"/>
    <col min="26" max="26" width="10.26953125" style="15" customWidth="1"/>
    <col min="27" max="27" width="28.1796875" style="21" customWidth="1"/>
    <col min="28" max="28" width="8.1796875" style="15" customWidth="1"/>
    <col min="29" max="29" width="22.453125" style="21" customWidth="1"/>
    <col min="30" max="16384" width="9.453125" style="15"/>
  </cols>
  <sheetData>
    <row r="1" spans="1:31" s="39" customFormat="1" ht="18">
      <c r="A1" s="38"/>
      <c r="B1" s="38"/>
      <c r="C1" s="405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405"/>
      <c r="AC1" s="21"/>
    </row>
    <row r="2" spans="1:31" ht="18">
      <c r="A2" s="122" t="s">
        <v>1174</v>
      </c>
      <c r="B2" s="38"/>
      <c r="C2" s="405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406"/>
      <c r="R2" s="38"/>
      <c r="S2" s="38"/>
      <c r="T2" s="38"/>
      <c r="U2" s="38"/>
      <c r="V2" s="38"/>
      <c r="W2" s="38"/>
      <c r="X2" s="38"/>
      <c r="Y2" s="38"/>
      <c r="Z2" s="38"/>
    </row>
    <row r="3" spans="1:31"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407"/>
      <c r="V3" s="407"/>
      <c r="W3" s="407"/>
      <c r="X3" s="407"/>
      <c r="Y3" s="407"/>
      <c r="Z3" s="407"/>
    </row>
    <row r="4" spans="1:31" s="41" customFormat="1" ht="86.25" customHeight="1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9</v>
      </c>
      <c r="J4" s="11" t="s">
        <v>318</v>
      </c>
      <c r="K4" s="11" t="s">
        <v>10</v>
      </c>
      <c r="L4" s="11" t="s">
        <v>11</v>
      </c>
      <c r="M4" s="11" t="s">
        <v>627</v>
      </c>
      <c r="N4" s="11" t="s">
        <v>628</v>
      </c>
      <c r="O4" s="11" t="s">
        <v>629</v>
      </c>
      <c r="P4" s="11" t="s">
        <v>12</v>
      </c>
      <c r="Q4" s="11" t="s">
        <v>630</v>
      </c>
      <c r="R4" s="11" t="s">
        <v>631</v>
      </c>
      <c r="S4" s="11" t="s">
        <v>632</v>
      </c>
      <c r="T4" s="11" t="s">
        <v>633</v>
      </c>
      <c r="U4" s="11" t="s">
        <v>634</v>
      </c>
      <c r="V4" s="11" t="s">
        <v>13</v>
      </c>
      <c r="W4" s="11" t="s">
        <v>14</v>
      </c>
      <c r="X4" s="11" t="s">
        <v>15</v>
      </c>
      <c r="Y4" s="11" t="s">
        <v>523</v>
      </c>
      <c r="Z4" s="11" t="s">
        <v>140</v>
      </c>
      <c r="AA4" s="19" t="s">
        <v>635</v>
      </c>
      <c r="AB4" s="11" t="s">
        <v>16</v>
      </c>
      <c r="AC4" s="21"/>
    </row>
    <row r="5" spans="1:31" s="5" customFormat="1">
      <c r="A5" s="3"/>
      <c r="B5" s="3"/>
      <c r="C5" s="9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3"/>
      <c r="AA5" s="3"/>
      <c r="AB5" s="3"/>
      <c r="AC5" s="21"/>
    </row>
    <row r="6" spans="1:31" s="5" customFormat="1" ht="42">
      <c r="A6" s="3">
        <f t="shared" ref="A6:A42" si="0">A5+1</f>
        <v>1</v>
      </c>
      <c r="B6" s="3">
        <v>179</v>
      </c>
      <c r="C6" s="3" t="s">
        <v>36</v>
      </c>
      <c r="D6" s="4">
        <f>'תקציב הנדסה 2019'!D6</f>
        <v>3000000</v>
      </c>
      <c r="E6" s="4">
        <f>'תקציב הנדסה 2019'!E6</f>
        <v>3000000</v>
      </c>
      <c r="F6" s="4">
        <f>'תקציב הנדסה 2019'!F6</f>
        <v>0</v>
      </c>
      <c r="G6" s="4">
        <f>'תקציב הנדסה 2019'!G6</f>
        <v>2870250</v>
      </c>
      <c r="H6" s="4">
        <f>'תקציב הנדסה 2019'!H6</f>
        <v>2782107</v>
      </c>
      <c r="I6" s="4">
        <f>'תקציב הנדסה 2019'!I6</f>
        <v>0</v>
      </c>
      <c r="J6" s="4">
        <f>'תקציב הנדסה 2019'!J6</f>
        <v>65735</v>
      </c>
      <c r="K6" s="4">
        <f>'תקציב הנדסה 2019'!K6</f>
        <v>65735</v>
      </c>
      <c r="L6" s="4">
        <f>'תקציב הנדסה 2019'!L6</f>
        <v>2847842</v>
      </c>
      <c r="M6" s="4">
        <f>'תקציב הנדסה 2019'!M6</f>
        <v>22408</v>
      </c>
      <c r="N6" s="4">
        <f>'תקציב הנדסה 2019'!N6</f>
        <v>100000</v>
      </c>
      <c r="O6" s="4">
        <f>'תקציב הנדסה 2019'!O6</f>
        <v>29750</v>
      </c>
      <c r="P6" s="4">
        <f>'תקציב הנדסה 2019'!P6</f>
        <v>22408</v>
      </c>
      <c r="Q6" s="4">
        <f>'תקציב הנדסה 2019'!Q6</f>
        <v>0</v>
      </c>
      <c r="R6" s="4">
        <f>'תקציב הנדסה 2019'!R6</f>
        <v>0</v>
      </c>
      <c r="S6" s="4">
        <f>'תקציב הנדסה 2019'!S6</f>
        <v>0</v>
      </c>
      <c r="T6" s="4">
        <f>'תקציב הנדסה 2019'!T6</f>
        <v>0</v>
      </c>
      <c r="U6" s="4">
        <f>'תקציב הנדסה 2019'!U6</f>
        <v>100000</v>
      </c>
      <c r="V6" s="4">
        <f>'תקציב הנדסה 2019'!V6</f>
        <v>100000</v>
      </c>
      <c r="W6" s="4">
        <f>'תקציב הנדסה 2019'!W6</f>
        <v>0</v>
      </c>
      <c r="X6" s="4">
        <f>'תקציב הנדסה 2019'!X6</f>
        <v>0</v>
      </c>
      <c r="Y6" s="4">
        <f>'תקציב הנדסה 2019'!Y6</f>
        <v>0</v>
      </c>
      <c r="Z6" s="4">
        <f>'תקציב הנדסה 2019'!Z6</f>
        <v>0</v>
      </c>
      <c r="AA6" s="3" t="s">
        <v>636</v>
      </c>
      <c r="AB6" s="3">
        <f>'תקציב הנדסה 2019'!AB6</f>
        <v>732000</v>
      </c>
      <c r="AC6" s="21"/>
    </row>
    <row r="7" spans="1:31" s="5" customFormat="1" ht="28">
      <c r="A7" s="3">
        <f t="shared" si="0"/>
        <v>2</v>
      </c>
      <c r="B7" s="3">
        <v>626</v>
      </c>
      <c r="C7" s="3" t="s">
        <v>1284</v>
      </c>
      <c r="D7" s="4">
        <f>'תקציב הנדסה 2019'!D12</f>
        <v>20025000</v>
      </c>
      <c r="E7" s="4">
        <f>'תקציב הנדסה 2019'!E12</f>
        <v>20025000</v>
      </c>
      <c r="F7" s="4">
        <f>'תקציב הנדסה 2019'!F12</f>
        <v>0</v>
      </c>
      <c r="G7" s="4">
        <f>'תקציב הנדסה 2019'!G12</f>
        <v>14525000</v>
      </c>
      <c r="H7" s="4">
        <f>'תקציב הנדסה 2019'!H12</f>
        <v>13533711</v>
      </c>
      <c r="I7" s="4">
        <f>'תקציב הנדסה 2019'!I12</f>
        <v>151233.85999999999</v>
      </c>
      <c r="J7" s="4">
        <f>'תקציב הנדסה 2019'!J12</f>
        <v>45309</v>
      </c>
      <c r="K7" s="4">
        <f>'תקציב הנדסה 2019'!K12</f>
        <v>196542.86</v>
      </c>
      <c r="L7" s="4">
        <f>'תקציב הנדסה 2019'!L12</f>
        <v>13730253.859999999</v>
      </c>
      <c r="M7" s="4">
        <f>'תקציב הנדסה 2019'!M12</f>
        <v>294746.1400000006</v>
      </c>
      <c r="N7" s="4">
        <f>'תקציב הנדסה 2019'!N12</f>
        <v>2325000</v>
      </c>
      <c r="O7" s="4">
        <f>'תקציב הנדסה 2019'!O12</f>
        <v>3675000</v>
      </c>
      <c r="P7" s="4">
        <f>'תקציב הנדסה 2019'!P12</f>
        <v>794746.1400000006</v>
      </c>
      <c r="Q7" s="4">
        <f>'תקציב הנדסה 2019'!Q12</f>
        <v>0</v>
      </c>
      <c r="R7" s="4">
        <f>'תקציב הנדסה 2019'!R12</f>
        <v>0</v>
      </c>
      <c r="S7" s="4">
        <f>'תקציב הנדסה 2019'!S12</f>
        <v>0</v>
      </c>
      <c r="T7" s="4">
        <f>'תקציב הנדסה 2019'!T12</f>
        <v>500000</v>
      </c>
      <c r="U7" s="4">
        <f>'תקציב הנדסה 2019'!U12</f>
        <v>1825000</v>
      </c>
      <c r="V7" s="4">
        <f>'תקציב הנדסה 2019'!V12</f>
        <v>1475000</v>
      </c>
      <c r="W7" s="4">
        <f>'תקציב הנדסה 2019'!W12</f>
        <v>0</v>
      </c>
      <c r="X7" s="4">
        <f>'תקציב הנדסה 2019'!X12</f>
        <v>0</v>
      </c>
      <c r="Y7" s="4">
        <f>'תקציב הנדסה 2019'!Y12</f>
        <v>0</v>
      </c>
      <c r="Z7" s="4">
        <f>'תקציב הנדסה 2019'!Z12</f>
        <v>350000</v>
      </c>
      <c r="AA7" s="3" t="s">
        <v>1246</v>
      </c>
      <c r="AB7" s="3">
        <f>'תקציב הנדסה 2019'!AB12</f>
        <v>732000</v>
      </c>
      <c r="AC7" s="21"/>
    </row>
    <row r="8" spans="1:31" s="5" customFormat="1" ht="56">
      <c r="A8" s="3">
        <f t="shared" si="0"/>
        <v>3</v>
      </c>
      <c r="B8" s="3">
        <v>1100</v>
      </c>
      <c r="C8" s="3" t="s">
        <v>17</v>
      </c>
      <c r="D8" s="4">
        <f>'תקציב הנדסה 2019'!D16</f>
        <v>7000000</v>
      </c>
      <c r="E8" s="4">
        <f>'תקציב הנדסה 2019'!E16</f>
        <v>7000000</v>
      </c>
      <c r="F8" s="4">
        <f>'תקציב הנדסה 2019'!F16</f>
        <v>0</v>
      </c>
      <c r="G8" s="4">
        <f>'תקציב הנדסה 2019'!G16</f>
        <v>5600000</v>
      </c>
      <c r="H8" s="4">
        <f>'תקציב הנדסה 2019'!H16</f>
        <v>2706855.1</v>
      </c>
      <c r="I8" s="4">
        <f>'תקציב הנדסה 2019'!I16</f>
        <v>2159838.63</v>
      </c>
      <c r="J8" s="4">
        <f>'תקציב הנדסה 2019'!J16</f>
        <v>155452.21</v>
      </c>
      <c r="K8" s="4">
        <f>'תקציב הנדסה 2019'!K16</f>
        <v>2315290.84</v>
      </c>
      <c r="L8" s="4">
        <f>'תקציב הנדסה 2019'!L16</f>
        <v>5022145.9399999995</v>
      </c>
      <c r="M8" s="4">
        <f>'תקציב הנדסה 2019'!M16</f>
        <v>577854.06000000052</v>
      </c>
      <c r="N8" s="4">
        <f>'תקציב הנדסה 2019'!N16</f>
        <v>300000</v>
      </c>
      <c r="O8" s="4">
        <f>'תקציב הנדסה 2019'!O16</f>
        <v>1100000</v>
      </c>
      <c r="P8" s="4">
        <f>'תקציב הנדסה 2019'!P16</f>
        <v>577854.06000000052</v>
      </c>
      <c r="Q8" s="4">
        <f>'תקציב הנדסה 2019'!Q16</f>
        <v>0</v>
      </c>
      <c r="R8" s="4">
        <f>'תקציב הנדסה 2019'!R16</f>
        <v>0</v>
      </c>
      <c r="S8" s="4">
        <f>'תקציב הנדסה 2019'!S16</f>
        <v>0</v>
      </c>
      <c r="T8" s="4">
        <f>'תקציב הנדסה 2019'!T16</f>
        <v>0</v>
      </c>
      <c r="U8" s="4">
        <f>'תקציב הנדסה 2019'!U16</f>
        <v>300000</v>
      </c>
      <c r="V8" s="4">
        <f>'תקציב הנדסה 2019'!V16</f>
        <v>300000</v>
      </c>
      <c r="W8" s="4">
        <f>'תקציב הנדסה 2019'!W16</f>
        <v>0</v>
      </c>
      <c r="X8" s="4">
        <f>'תקציב הנדסה 2019'!X16</f>
        <v>0</v>
      </c>
      <c r="Y8" s="4">
        <f>'תקציב הנדסה 2019'!Y16</f>
        <v>0</v>
      </c>
      <c r="Z8" s="4">
        <f>'תקציב הנדסה 2019'!Z16</f>
        <v>0</v>
      </c>
      <c r="AA8" s="3" t="s">
        <v>641</v>
      </c>
      <c r="AB8" s="3">
        <f>'תקציב הנדסה 2019'!AB16</f>
        <v>732000</v>
      </c>
      <c r="AC8" s="21"/>
    </row>
    <row r="9" spans="1:31" s="5" customFormat="1" ht="28">
      <c r="A9" s="3">
        <f t="shared" si="0"/>
        <v>4</v>
      </c>
      <c r="B9" s="3">
        <v>1220</v>
      </c>
      <c r="C9" s="3" t="s">
        <v>40</v>
      </c>
      <c r="D9" s="4">
        <f>'תקציב הנדסה 2019'!D18</f>
        <v>7000000</v>
      </c>
      <c r="E9" s="4">
        <f>'תקציב הנדסה 2019'!E18</f>
        <v>7000000</v>
      </c>
      <c r="F9" s="4">
        <f>'תקציב הנדסה 2019'!F18</f>
        <v>0</v>
      </c>
      <c r="G9" s="4">
        <f>'תקציב הנדסה 2019'!G18</f>
        <v>5600000</v>
      </c>
      <c r="H9" s="4">
        <f>'תקציב הנדסה 2019'!H18</f>
        <v>4415045</v>
      </c>
      <c r="I9" s="4">
        <f>'תקציב הנדסה 2019'!I18</f>
        <v>45396</v>
      </c>
      <c r="J9" s="4">
        <f>'תקציב הנדסה 2019'!J18</f>
        <v>548104</v>
      </c>
      <c r="K9" s="4">
        <f>'תקציב הנדסה 2019'!K18</f>
        <v>593500</v>
      </c>
      <c r="L9" s="4">
        <f>'תקציב הנדסה 2019'!L18</f>
        <v>5008545</v>
      </c>
      <c r="M9" s="4">
        <f>'תקציב הנדסה 2019'!M18</f>
        <v>591455</v>
      </c>
      <c r="N9" s="4">
        <f>'תקציב הנדסה 2019'!N18</f>
        <v>700000</v>
      </c>
      <c r="O9" s="4">
        <f>'תקציב הנדסה 2019'!O18</f>
        <v>700000</v>
      </c>
      <c r="P9" s="4">
        <f>'תקציב הנדסה 2019'!P18</f>
        <v>591455</v>
      </c>
      <c r="Q9" s="4">
        <f>'תקציב הנדסה 2019'!Q18</f>
        <v>0</v>
      </c>
      <c r="R9" s="4">
        <f>'תקציב הנדסה 2019'!R18</f>
        <v>0</v>
      </c>
      <c r="S9" s="4">
        <f>'תקציב הנדסה 2019'!S18</f>
        <v>0</v>
      </c>
      <c r="T9" s="4">
        <f>'תקציב הנדסה 2019'!T18</f>
        <v>0</v>
      </c>
      <c r="U9" s="4">
        <f>'תקציב הנדסה 2019'!U18</f>
        <v>700000</v>
      </c>
      <c r="V9" s="4">
        <f>'תקציב הנדסה 2019'!V18</f>
        <v>700000</v>
      </c>
      <c r="W9" s="4">
        <f>'תקציב הנדסה 2019'!W18</f>
        <v>0</v>
      </c>
      <c r="X9" s="4">
        <f>'תקציב הנדסה 2019'!X18</f>
        <v>0</v>
      </c>
      <c r="Y9" s="4">
        <f>'תקציב הנדסה 2019'!Y18</f>
        <v>0</v>
      </c>
      <c r="Z9" s="4">
        <f>'תקציב הנדסה 2019'!Z18</f>
        <v>0</v>
      </c>
      <c r="AA9" s="3" t="s">
        <v>1177</v>
      </c>
      <c r="AB9" s="3">
        <f>'תקציב הנדסה 2019'!AB18</f>
        <v>732000</v>
      </c>
      <c r="AC9" s="21"/>
    </row>
    <row r="10" spans="1:31" s="5" customFormat="1">
      <c r="A10" s="3">
        <f t="shared" si="0"/>
        <v>5</v>
      </c>
      <c r="B10" s="3">
        <v>1406</v>
      </c>
      <c r="C10" s="3" t="s">
        <v>201</v>
      </c>
      <c r="D10" s="4">
        <f>'תקציב הנדסה 2019'!D26</f>
        <v>1300000</v>
      </c>
      <c r="E10" s="4">
        <f>'תקציב הנדסה 2019'!E26</f>
        <v>1300000</v>
      </c>
      <c r="F10" s="4">
        <f>'תקציב הנדסה 2019'!F26</f>
        <v>0</v>
      </c>
      <c r="G10" s="4">
        <f>'תקציב הנדסה 2019'!G26</f>
        <v>1300000</v>
      </c>
      <c r="H10" s="4">
        <f>'תקציב הנדסה 2019'!H26</f>
        <v>694328</v>
      </c>
      <c r="I10" s="4">
        <f>'תקציב הנדסה 2019'!I26</f>
        <v>126373</v>
      </c>
      <c r="J10" s="4">
        <f>'תקציב הנדסה 2019'!J26</f>
        <v>12432.48</v>
      </c>
      <c r="K10" s="4">
        <f>'תקציב הנדסה 2019'!K26</f>
        <v>138805.48000000001</v>
      </c>
      <c r="L10" s="4">
        <f>'תקציב הנדסה 2019'!L26</f>
        <v>833133.48</v>
      </c>
      <c r="M10" s="4">
        <f>'תקציב הנדסה 2019'!M26</f>
        <v>466866.52</v>
      </c>
      <c r="N10" s="4">
        <f>'תקציב הנדסה 2019'!N26</f>
        <v>0</v>
      </c>
      <c r="O10" s="4">
        <f>'תקציב הנדסה 2019'!O26</f>
        <v>0</v>
      </c>
      <c r="P10" s="4">
        <f>'תקציב הנדסה 2019'!P26</f>
        <v>466866.52</v>
      </c>
      <c r="Q10" s="4">
        <f>'תקציב הנדסה 2019'!Q26</f>
        <v>0</v>
      </c>
      <c r="R10" s="4">
        <f>'תקציב הנדסה 2019'!R26</f>
        <v>0</v>
      </c>
      <c r="S10" s="4">
        <f>'תקציב הנדסה 2019'!S26</f>
        <v>0</v>
      </c>
      <c r="T10" s="4">
        <f>'תקציב הנדסה 2019'!T26</f>
        <v>0</v>
      </c>
      <c r="U10" s="4">
        <f>'תקציב הנדסה 2019'!U26</f>
        <v>0</v>
      </c>
      <c r="V10" s="4">
        <f>'תקציב הנדסה 2019'!V26</f>
        <v>0</v>
      </c>
      <c r="W10" s="4">
        <f>'תקציב הנדסה 2019'!W26</f>
        <v>0</v>
      </c>
      <c r="X10" s="4">
        <f>'תקציב הנדסה 2019'!X26</f>
        <v>0</v>
      </c>
      <c r="Y10" s="4">
        <f>'תקציב הנדסה 2019'!Y26</f>
        <v>0</v>
      </c>
      <c r="Z10" s="4">
        <f>'תקציב הנדסה 2019'!Z26</f>
        <v>0</v>
      </c>
      <c r="AA10" s="3" t="s">
        <v>1178</v>
      </c>
      <c r="AB10" s="3">
        <f>'תקציב הנדסה 2019'!AB26</f>
        <v>732000</v>
      </c>
      <c r="AC10" s="21"/>
    </row>
    <row r="11" spans="1:31" s="5" customFormat="1" ht="28">
      <c r="A11" s="3">
        <f t="shared" si="0"/>
        <v>6</v>
      </c>
      <c r="B11" s="3">
        <v>1407</v>
      </c>
      <c r="C11" s="3" t="s">
        <v>18</v>
      </c>
      <c r="D11" s="4">
        <f>'תקציב הנדסה 2019'!D27</f>
        <v>4895000</v>
      </c>
      <c r="E11" s="4">
        <f>'תקציב הנדסה 2019'!E27</f>
        <v>4895000</v>
      </c>
      <c r="F11" s="4">
        <f>'תקציב הנדסה 2019'!F27</f>
        <v>0</v>
      </c>
      <c r="G11" s="4">
        <f>'תקציב הנדסה 2019'!G27</f>
        <v>3495000</v>
      </c>
      <c r="H11" s="4">
        <f>'תקציב הנדסה 2019'!H27</f>
        <v>2371902</v>
      </c>
      <c r="I11" s="4">
        <f>'תקציב הנדסה 2019'!I27</f>
        <v>111224.98</v>
      </c>
      <c r="J11" s="4">
        <f>'תקציב הנדסה 2019'!J27</f>
        <v>773210</v>
      </c>
      <c r="K11" s="4">
        <f>'תקציב הנדסה 2019'!K27</f>
        <v>884434.98</v>
      </c>
      <c r="L11" s="4">
        <f>'תקציב הנדסה 2019'!L27</f>
        <v>3256336.98</v>
      </c>
      <c r="M11" s="4">
        <f>'תקציב הנדסה 2019'!M27</f>
        <v>438663.02</v>
      </c>
      <c r="N11" s="4">
        <f>'תקציב הנדסה 2019'!N27</f>
        <v>500000</v>
      </c>
      <c r="O11" s="4">
        <f>'תקציב הנדסה 2019'!O27</f>
        <v>700000</v>
      </c>
      <c r="P11" s="4">
        <f>'תקציב הנדסה 2019'!P27</f>
        <v>238663.02000000002</v>
      </c>
      <c r="Q11" s="4">
        <f>'תקציב הנדסה 2019'!Q27</f>
        <v>200000</v>
      </c>
      <c r="R11" s="4">
        <f>'תקציב הנדסה 2019'!R27</f>
        <v>0</v>
      </c>
      <c r="S11" s="4">
        <f>'תקציב הנדסה 2019'!S27</f>
        <v>200000</v>
      </c>
      <c r="T11" s="4">
        <f>'תקציב הנדסה 2019'!T27</f>
        <v>0</v>
      </c>
      <c r="U11" s="4">
        <f>'תקציב הנדסה 2019'!U27</f>
        <v>500000</v>
      </c>
      <c r="V11" s="4">
        <f>'תקציב הנדסה 2019'!V27</f>
        <v>500000</v>
      </c>
      <c r="W11" s="4">
        <f>'תקציב הנדסה 2019'!W27</f>
        <v>0</v>
      </c>
      <c r="X11" s="4">
        <f>'תקציב הנדסה 2019'!X27</f>
        <v>0</v>
      </c>
      <c r="Y11" s="4">
        <f>'תקציב הנדסה 2019'!Y27</f>
        <v>0</v>
      </c>
      <c r="Z11" s="4">
        <f>'תקציב הנדסה 2019'!Z27</f>
        <v>0</v>
      </c>
      <c r="AA11" s="3" t="s">
        <v>1179</v>
      </c>
      <c r="AB11" s="3">
        <f>'תקציב הנדסה 2019'!AB27</f>
        <v>732000</v>
      </c>
      <c r="AC11" s="21"/>
      <c r="AD11" s="6"/>
      <c r="AE11" s="6"/>
    </row>
    <row r="12" spans="1:31" s="6" customFormat="1" ht="28">
      <c r="A12" s="3">
        <f t="shared" si="0"/>
        <v>7</v>
      </c>
      <c r="B12" s="3">
        <v>1408</v>
      </c>
      <c r="C12" s="42" t="s">
        <v>1103</v>
      </c>
      <c r="D12" s="4">
        <f>'תקציב הנדסה 2019'!D28</f>
        <v>1000000</v>
      </c>
      <c r="E12" s="4">
        <f>'תקציב הנדסה 2019'!E28</f>
        <v>1000000</v>
      </c>
      <c r="F12" s="4">
        <f>'תקציב הנדסה 2019'!F28</f>
        <v>0</v>
      </c>
      <c r="G12" s="4">
        <f>'תקציב הנדסה 2019'!G28</f>
        <v>100000</v>
      </c>
      <c r="H12" s="4">
        <f>'תקציב הנדסה 2019'!H28</f>
        <v>0</v>
      </c>
      <c r="I12" s="4">
        <f>'תקציב הנדסה 2019'!I28</f>
        <v>0</v>
      </c>
      <c r="J12" s="4">
        <f>'תקציב הנדסה 2019'!J28</f>
        <v>0</v>
      </c>
      <c r="K12" s="4">
        <f>'תקציב הנדסה 2019'!K28</f>
        <v>0</v>
      </c>
      <c r="L12" s="4">
        <f>'תקציב הנדסה 2019'!L28</f>
        <v>0</v>
      </c>
      <c r="M12" s="4">
        <f>'תקציב הנדסה 2019'!M28</f>
        <v>200000</v>
      </c>
      <c r="N12" s="4">
        <f>'תקציב הנדסה 2019'!N28</f>
        <v>0</v>
      </c>
      <c r="O12" s="4">
        <f>'תקציב הנדסה 2019'!O28</f>
        <v>800000</v>
      </c>
      <c r="P12" s="4">
        <f>'תקציב הנדסה 2019'!P28</f>
        <v>100000</v>
      </c>
      <c r="Q12" s="4">
        <f>'תקציב הנדסה 2019'!Q28</f>
        <v>100000</v>
      </c>
      <c r="R12" s="4">
        <f>'תקציב הנדסה 2019'!R28</f>
        <v>0</v>
      </c>
      <c r="S12" s="4">
        <f>'תקציב הנדסה 2019'!S28</f>
        <v>100000</v>
      </c>
      <c r="T12" s="4">
        <f>'תקציב הנדסה 2019'!T28</f>
        <v>0</v>
      </c>
      <c r="U12" s="4">
        <f>'תקציב הנדסה 2019'!U28</f>
        <v>0</v>
      </c>
      <c r="V12" s="4">
        <f>'תקציב הנדסה 2019'!V28</f>
        <v>0</v>
      </c>
      <c r="W12" s="4">
        <f>'תקציב הנדסה 2019'!W28</f>
        <v>0</v>
      </c>
      <c r="X12" s="4">
        <f>'תקציב הנדסה 2019'!X28</f>
        <v>0</v>
      </c>
      <c r="Y12" s="4">
        <f>'תקציב הנדסה 2019'!Y28</f>
        <v>0</v>
      </c>
      <c r="Z12" s="4">
        <f>'תקציב הנדסה 2019'!Z28</f>
        <v>0</v>
      </c>
      <c r="AA12" s="3" t="s">
        <v>643</v>
      </c>
      <c r="AB12" s="3">
        <f>'תקציב הנדסה 2019'!AB28</f>
        <v>732000</v>
      </c>
      <c r="AC12" s="21"/>
      <c r="AD12" s="5"/>
      <c r="AE12" s="5"/>
    </row>
    <row r="13" spans="1:31" s="5" customFormat="1" ht="42">
      <c r="A13" s="3">
        <f t="shared" si="0"/>
        <v>8</v>
      </c>
      <c r="B13" s="3">
        <v>1409</v>
      </c>
      <c r="C13" s="42" t="s">
        <v>644</v>
      </c>
      <c r="D13" s="4">
        <f>'תקציב הנדסה 2019'!D29</f>
        <v>7680000</v>
      </c>
      <c r="E13" s="4">
        <f>'תקציב הנדסה 2019'!E29</f>
        <v>7300000</v>
      </c>
      <c r="F13" s="4">
        <f>'תקציב הנדסה 2019'!F29</f>
        <v>380000</v>
      </c>
      <c r="G13" s="4">
        <f>'תקציב הנדסה 2019'!G29</f>
        <v>5000000</v>
      </c>
      <c r="H13" s="4">
        <f>'תקציב הנדסה 2019'!H29</f>
        <v>2980349</v>
      </c>
      <c r="I13" s="4">
        <f>'תקציב הנדסה 2019'!I29</f>
        <v>558899.5</v>
      </c>
      <c r="J13" s="4">
        <f>'תקציב הנדסה 2019'!J29</f>
        <v>324383</v>
      </c>
      <c r="K13" s="4">
        <f>'תקציב הנדסה 2019'!K29</f>
        <v>883282.5</v>
      </c>
      <c r="L13" s="4">
        <f>'תקציב הנדסה 2019'!L29</f>
        <v>3863631.5</v>
      </c>
      <c r="M13" s="4">
        <f>'תקציב הנדסה 2019'!M29</f>
        <v>136368.5</v>
      </c>
      <c r="N13" s="4">
        <f>'תקציב הנדסה 2019'!N29</f>
        <v>3680000</v>
      </c>
      <c r="O13" s="4">
        <f>'תקציב הנדסה 2019'!O29</f>
        <v>0</v>
      </c>
      <c r="P13" s="4">
        <f>'תקציב הנדסה 2019'!P29</f>
        <v>1136368.5</v>
      </c>
      <c r="Q13" s="4">
        <f>'תקציב הנדסה 2019'!Q29</f>
        <v>0</v>
      </c>
      <c r="R13" s="4">
        <f>'תקציב הנדסה 2019'!R29</f>
        <v>0</v>
      </c>
      <c r="S13" s="4">
        <f>'תקציב הנדסה 2019'!S29</f>
        <v>0</v>
      </c>
      <c r="T13" s="4">
        <f>'תקציב הנדסה 2019'!T29</f>
        <v>1000000</v>
      </c>
      <c r="U13" s="4">
        <f>'תקציב הנדסה 2019'!U29</f>
        <v>2680000</v>
      </c>
      <c r="V13" s="4">
        <f>'תקציב הנדסה 2019'!V29</f>
        <v>2680000</v>
      </c>
      <c r="W13" s="4">
        <f>'תקציב הנדסה 2019'!W29</f>
        <v>0</v>
      </c>
      <c r="X13" s="4">
        <f>'תקציב הנדסה 2019'!X29</f>
        <v>0</v>
      </c>
      <c r="Y13" s="4">
        <f>'תקציב הנדסה 2019'!Y29</f>
        <v>0</v>
      </c>
      <c r="Z13" s="4">
        <f>'תקציב הנדסה 2019'!Z29</f>
        <v>0</v>
      </c>
      <c r="AA13" s="3" t="s">
        <v>645</v>
      </c>
      <c r="AB13" s="3">
        <f>'תקציב הנדסה 2019'!AB29</f>
        <v>732000</v>
      </c>
      <c r="AC13" s="21"/>
      <c r="AD13" s="6"/>
      <c r="AE13" s="6"/>
    </row>
    <row r="14" spans="1:31" s="5" customFormat="1" ht="49.5" customHeight="1">
      <c r="A14" s="3">
        <f t="shared" si="0"/>
        <v>9</v>
      </c>
      <c r="B14" s="3">
        <v>1466</v>
      </c>
      <c r="C14" s="3" t="s">
        <v>20</v>
      </c>
      <c r="D14" s="4">
        <f>'תקציב הנדסה 2019'!D31</f>
        <v>2200000</v>
      </c>
      <c r="E14" s="4">
        <f>'תקציב הנדסה 2019'!E31</f>
        <v>2200000</v>
      </c>
      <c r="F14" s="4">
        <f>'תקציב הנדסה 2019'!F31</f>
        <v>0</v>
      </c>
      <c r="G14" s="4">
        <f>'תקציב הנדסה 2019'!G31</f>
        <v>1500000</v>
      </c>
      <c r="H14" s="4">
        <f>'תקציב הנדסה 2019'!H31</f>
        <v>1161644</v>
      </c>
      <c r="I14" s="4">
        <f>'תקציב הנדסה 2019'!I31</f>
        <v>0</v>
      </c>
      <c r="J14" s="4">
        <f>'תקציב הנדסה 2019'!J31</f>
        <v>110168</v>
      </c>
      <c r="K14" s="4">
        <f>'תקציב הנדסה 2019'!K31</f>
        <v>110168</v>
      </c>
      <c r="L14" s="4">
        <f>'תקציב הנדסה 2019'!L31</f>
        <v>1271812</v>
      </c>
      <c r="M14" s="4">
        <f>'תקציב הנדסה 2019'!M31</f>
        <v>128188</v>
      </c>
      <c r="N14" s="4">
        <f>'תקציב הנדסה 2019'!N31</f>
        <v>250000</v>
      </c>
      <c r="O14" s="4">
        <f>'תקציב הנדסה 2019'!O31</f>
        <v>550000</v>
      </c>
      <c r="P14" s="4">
        <f>'תקציב הנדסה 2019'!P31</f>
        <v>228188</v>
      </c>
      <c r="Q14" s="4">
        <f>'תקציב הנדסה 2019'!Q31</f>
        <v>0</v>
      </c>
      <c r="R14" s="4">
        <f>'תקציב הנדסה 2019'!R31</f>
        <v>0</v>
      </c>
      <c r="S14" s="4">
        <f>'תקציב הנדסה 2019'!S31</f>
        <v>0</v>
      </c>
      <c r="T14" s="4">
        <f>'תקציב הנדסה 2019'!T31</f>
        <v>100000</v>
      </c>
      <c r="U14" s="4">
        <f>'תקציב הנדסה 2019'!U31</f>
        <v>150000</v>
      </c>
      <c r="V14" s="4">
        <f>'תקציב הנדסה 2019'!V31</f>
        <v>150000</v>
      </c>
      <c r="W14" s="4">
        <f>'תקציב הנדסה 2019'!W31</f>
        <v>0</v>
      </c>
      <c r="X14" s="4">
        <f>'תקציב הנדסה 2019'!X31</f>
        <v>0</v>
      </c>
      <c r="Y14" s="4">
        <f>'תקציב הנדסה 2019'!Y31</f>
        <v>0</v>
      </c>
      <c r="Z14" s="4">
        <f>'תקציב הנדסה 2019'!Z31</f>
        <v>0</v>
      </c>
      <c r="AA14" s="3" t="s">
        <v>647</v>
      </c>
      <c r="AB14" s="3">
        <f>'תקציב הנדסה 2019'!AB31</f>
        <v>732000</v>
      </c>
      <c r="AC14" s="21"/>
      <c r="AD14" s="6"/>
      <c r="AE14" s="6"/>
    </row>
    <row r="15" spans="1:31" s="5" customFormat="1" ht="28">
      <c r="A15" s="3">
        <f t="shared" si="0"/>
        <v>10</v>
      </c>
      <c r="B15" s="3">
        <v>1527</v>
      </c>
      <c r="C15" s="42" t="s">
        <v>649</v>
      </c>
      <c r="D15" s="4">
        <f>'תקציב הנדסה 2019'!D33</f>
        <v>3000000</v>
      </c>
      <c r="E15" s="4">
        <f>'תקציב הנדסה 2019'!E33</f>
        <v>3000000</v>
      </c>
      <c r="F15" s="4">
        <f>'תקציב הנדסה 2019'!F33</f>
        <v>0</v>
      </c>
      <c r="G15" s="4">
        <f>'תקציב הנדסה 2019'!G33</f>
        <v>1500000</v>
      </c>
      <c r="H15" s="4">
        <f>'תקציב הנדסה 2019'!H33</f>
        <v>821144.02</v>
      </c>
      <c r="I15" s="4">
        <f>'תקציב הנדסה 2019'!I33</f>
        <v>0</v>
      </c>
      <c r="J15" s="4">
        <f>'תקציב הנדסה 2019'!J33</f>
        <v>1431</v>
      </c>
      <c r="K15" s="4">
        <f>'תקציב הנדסה 2019'!K33</f>
        <v>1431</v>
      </c>
      <c r="L15" s="4">
        <f>'תקציב הנדסה 2019'!L33</f>
        <v>822575.02</v>
      </c>
      <c r="M15" s="4">
        <f>'תקציב הנדסה 2019'!M33</f>
        <v>27424.979999999981</v>
      </c>
      <c r="N15" s="4">
        <f>'תקציב הנדסה 2019'!N33</f>
        <v>0</v>
      </c>
      <c r="O15" s="4">
        <f>'תקציב הנדסה 2019'!O33</f>
        <v>2150000</v>
      </c>
      <c r="P15" s="4">
        <f>'תקציב הנדסה 2019'!P33</f>
        <v>677424.98</v>
      </c>
      <c r="Q15" s="4">
        <f>'תקציב הנדסה 2019'!Q33</f>
        <v>0</v>
      </c>
      <c r="R15" s="4">
        <f>'תקציב הנדסה 2019'!R33</f>
        <v>0</v>
      </c>
      <c r="S15" s="4">
        <f>'תקציב הנדסה 2019'!S33</f>
        <v>0</v>
      </c>
      <c r="T15" s="4">
        <f>'תקציב הנדסה 2019'!T33</f>
        <v>650000</v>
      </c>
      <c r="U15" s="4">
        <f>'תקציב הנדסה 2019'!U33</f>
        <v>-650000</v>
      </c>
      <c r="V15" s="4">
        <f>'תקציב הנדסה 2019'!V33</f>
        <v>-650000</v>
      </c>
      <c r="W15" s="4">
        <f>'תקציב הנדסה 2019'!W33</f>
        <v>0</v>
      </c>
      <c r="X15" s="4">
        <f>'תקציב הנדסה 2019'!X33</f>
        <v>0</v>
      </c>
      <c r="Y15" s="4">
        <f>'תקציב הנדסה 2019'!Y33</f>
        <v>0</v>
      </c>
      <c r="Z15" s="4">
        <f>'תקציב הנדסה 2019'!Z33</f>
        <v>0</v>
      </c>
      <c r="AA15" s="3" t="s">
        <v>1180</v>
      </c>
      <c r="AB15" s="3">
        <f>'תקציב הנדסה 2019'!AB33</f>
        <v>732000</v>
      </c>
      <c r="AC15" s="21"/>
    </row>
    <row r="16" spans="1:31" s="5" customFormat="1" ht="42">
      <c r="A16" s="3">
        <f t="shared" si="0"/>
        <v>11</v>
      </c>
      <c r="B16" s="3">
        <v>1551</v>
      </c>
      <c r="C16" s="3" t="s">
        <v>166</v>
      </c>
      <c r="D16" s="4">
        <f>'תקציב הנדסה 2019'!D35</f>
        <v>525240</v>
      </c>
      <c r="E16" s="4">
        <f>'תקציב הנדסה 2019'!E35</f>
        <v>225240</v>
      </c>
      <c r="F16" s="4">
        <f>'תקציב הנדסה 2019'!F35</f>
        <v>300000</v>
      </c>
      <c r="G16" s="4">
        <f>'תקציב הנדסה 2019'!G35</f>
        <v>225240</v>
      </c>
      <c r="H16" s="4">
        <f>'תקציב הנדסה 2019'!H35</f>
        <v>204671</v>
      </c>
      <c r="I16" s="4">
        <f>'תקציב הנדסה 2019'!I35</f>
        <v>0</v>
      </c>
      <c r="J16" s="4">
        <f>'תקציב הנדסה 2019'!J35</f>
        <v>19855</v>
      </c>
      <c r="K16" s="4">
        <f>'תקציב הנדסה 2019'!K35</f>
        <v>19855</v>
      </c>
      <c r="L16" s="4">
        <f>'תקציב הנדסה 2019'!L35</f>
        <v>224526</v>
      </c>
      <c r="M16" s="4">
        <f>'תקציב הנדסה 2019'!M35</f>
        <v>714</v>
      </c>
      <c r="N16" s="4">
        <f>'תקציב הנדסה 2019'!N35</f>
        <v>300000</v>
      </c>
      <c r="O16" s="4">
        <f>'תקציב הנדסה 2019'!O35</f>
        <v>0</v>
      </c>
      <c r="P16" s="4">
        <f>'תקציב הנדסה 2019'!P35</f>
        <v>714</v>
      </c>
      <c r="Q16" s="4">
        <f>'תקציב הנדסה 2019'!Q35</f>
        <v>0</v>
      </c>
      <c r="R16" s="4">
        <f>'תקציב הנדסה 2019'!R35</f>
        <v>0</v>
      </c>
      <c r="S16" s="4">
        <f>'תקציב הנדסה 2019'!S35</f>
        <v>0</v>
      </c>
      <c r="T16" s="4">
        <f>'תקציב הנדסה 2019'!T35</f>
        <v>0</v>
      </c>
      <c r="U16" s="4">
        <f>'תקציב הנדסה 2019'!U35</f>
        <v>300000</v>
      </c>
      <c r="V16" s="4">
        <f>'תקציב הנדסה 2019'!V35</f>
        <v>300000</v>
      </c>
      <c r="W16" s="4">
        <f>'תקציב הנדסה 2019'!W35</f>
        <v>0</v>
      </c>
      <c r="X16" s="4">
        <f>'תקציב הנדסה 2019'!X35</f>
        <v>0</v>
      </c>
      <c r="Y16" s="4">
        <f>'תקציב הנדסה 2019'!Y35</f>
        <v>0</v>
      </c>
      <c r="Z16" s="4">
        <f>'תקציב הנדסה 2019'!Z35</f>
        <v>0</v>
      </c>
      <c r="AA16" s="3" t="s">
        <v>1181</v>
      </c>
      <c r="AB16" s="3">
        <f>'תקציב הנדסה 2019'!AB35</f>
        <v>732000</v>
      </c>
      <c r="AC16" s="21"/>
    </row>
    <row r="17" spans="1:31" s="6" customFormat="1" ht="28">
      <c r="A17" s="3">
        <f t="shared" si="0"/>
        <v>12</v>
      </c>
      <c r="B17" s="3">
        <v>1576</v>
      </c>
      <c r="C17" s="3" t="s">
        <v>63</v>
      </c>
      <c r="D17" s="4">
        <f>'תקציב הנדסה 2019'!D37</f>
        <v>1000000</v>
      </c>
      <c r="E17" s="4">
        <f>'תקציב הנדסה 2019'!E37</f>
        <v>1000000</v>
      </c>
      <c r="F17" s="4">
        <f>'תקציב הנדסה 2019'!F37</f>
        <v>0</v>
      </c>
      <c r="G17" s="4">
        <f>'תקציב הנדסה 2019'!G37</f>
        <v>450000</v>
      </c>
      <c r="H17" s="4">
        <f>'תקציב הנדסה 2019'!H37</f>
        <v>356478.17</v>
      </c>
      <c r="I17" s="4">
        <f>'תקציב הנדסה 2019'!I37</f>
        <v>42295</v>
      </c>
      <c r="J17" s="4">
        <f>'תקציב הנדסה 2019'!J37</f>
        <v>0</v>
      </c>
      <c r="K17" s="4">
        <f>'תקציב הנדסה 2019'!K37</f>
        <v>42295</v>
      </c>
      <c r="L17" s="4">
        <f>'תקציב הנדסה 2019'!L37</f>
        <v>398773.17</v>
      </c>
      <c r="M17" s="4">
        <f>'תקציב הנדסה 2019'!M37</f>
        <v>21226.830000000016</v>
      </c>
      <c r="N17" s="4">
        <f>'תקציב הנדסה 2019'!N37</f>
        <v>0</v>
      </c>
      <c r="O17" s="4">
        <f>'תקציב הנדסה 2019'!O37</f>
        <v>580000</v>
      </c>
      <c r="P17" s="4">
        <f>'תקציב הנדסה 2019'!P37</f>
        <v>51226.830000000016</v>
      </c>
      <c r="Q17" s="4">
        <f>'תקציב הנדסה 2019'!Q37</f>
        <v>0</v>
      </c>
      <c r="R17" s="4">
        <f>'תקציב הנדסה 2019'!R37</f>
        <v>0</v>
      </c>
      <c r="S17" s="4">
        <f>'תקציב הנדסה 2019'!S37</f>
        <v>0</v>
      </c>
      <c r="T17" s="4">
        <f>'תקציב הנדסה 2019'!T37</f>
        <v>30000</v>
      </c>
      <c r="U17" s="4">
        <f>'תקציב הנדסה 2019'!U37</f>
        <v>-30000</v>
      </c>
      <c r="V17" s="4">
        <f>'תקציב הנדסה 2019'!V37</f>
        <v>-30000</v>
      </c>
      <c r="W17" s="4">
        <f>'תקציב הנדסה 2019'!W37</f>
        <v>0</v>
      </c>
      <c r="X17" s="4">
        <f>'תקציב הנדסה 2019'!X37</f>
        <v>0</v>
      </c>
      <c r="Y17" s="4">
        <f>'תקציב הנדסה 2019'!Y37</f>
        <v>0</v>
      </c>
      <c r="Z17" s="4">
        <f>'תקציב הנדסה 2019'!Z37</f>
        <v>0</v>
      </c>
      <c r="AA17" s="3" t="s">
        <v>1182</v>
      </c>
      <c r="AB17" s="3">
        <f>'תקציב הנדסה 2019'!AB37</f>
        <v>732000</v>
      </c>
      <c r="AC17" s="21"/>
      <c r="AD17" s="5"/>
      <c r="AE17" s="5"/>
    </row>
    <row r="18" spans="1:31" s="5" customFormat="1" ht="56">
      <c r="A18" s="3">
        <f t="shared" si="0"/>
        <v>13</v>
      </c>
      <c r="B18" s="3">
        <v>1619</v>
      </c>
      <c r="C18" s="3" t="s">
        <v>167</v>
      </c>
      <c r="D18" s="4">
        <f>'תקציב הנדסה 2019'!D41</f>
        <v>250000</v>
      </c>
      <c r="E18" s="4">
        <f>'תקציב הנדסה 2019'!E41</f>
        <v>200000</v>
      </c>
      <c r="F18" s="4">
        <f>'תקציב הנדסה 2019'!F41</f>
        <v>50000</v>
      </c>
      <c r="G18" s="4">
        <f>'תקציב הנדסה 2019'!G41</f>
        <v>200000</v>
      </c>
      <c r="H18" s="4">
        <f>'תקציב הנדסה 2019'!H41</f>
        <v>75387</v>
      </c>
      <c r="I18" s="4">
        <f>'תקציב הנדסה 2019'!I41</f>
        <v>0</v>
      </c>
      <c r="J18" s="4">
        <f>'תקציב הנדסה 2019'!J41</f>
        <v>25400.9</v>
      </c>
      <c r="K18" s="4">
        <f>'תקציב הנדסה 2019'!K41</f>
        <v>25400.9</v>
      </c>
      <c r="L18" s="4">
        <f>'תקציב הנדסה 2019'!L41</f>
        <v>100787.9</v>
      </c>
      <c r="M18" s="4">
        <f>'תקציב הנדסה 2019'!M41</f>
        <v>99212.1</v>
      </c>
      <c r="N18" s="4">
        <f>'תקציב הנדסה 2019'!N41</f>
        <v>50000</v>
      </c>
      <c r="O18" s="4">
        <f>'תקציב הנדסה 2019'!O41</f>
        <v>0</v>
      </c>
      <c r="P18" s="4">
        <f>'תקציב הנדסה 2019'!P41</f>
        <v>99212.1</v>
      </c>
      <c r="Q18" s="4">
        <f>'תקציב הנדסה 2019'!Q41</f>
        <v>0</v>
      </c>
      <c r="R18" s="4">
        <f>'תקציב הנדסה 2019'!R41</f>
        <v>0</v>
      </c>
      <c r="S18" s="4">
        <f>'תקציב הנדסה 2019'!S41</f>
        <v>0</v>
      </c>
      <c r="T18" s="4">
        <f>'תקציב הנדסה 2019'!T41</f>
        <v>0</v>
      </c>
      <c r="U18" s="4">
        <f>'תקציב הנדסה 2019'!U41</f>
        <v>50000</v>
      </c>
      <c r="V18" s="4">
        <f>'תקציב הנדסה 2019'!V41</f>
        <v>50000</v>
      </c>
      <c r="W18" s="4">
        <f>'תקציב הנדסה 2019'!W41</f>
        <v>0</v>
      </c>
      <c r="X18" s="4">
        <f>'תקציב הנדסה 2019'!X41</f>
        <v>0</v>
      </c>
      <c r="Y18" s="4">
        <f>'תקציב הנדסה 2019'!Y41</f>
        <v>0</v>
      </c>
      <c r="Z18" s="4">
        <f>'תקציב הנדסה 2019'!Z41</f>
        <v>0</v>
      </c>
      <c r="AA18" s="3" t="s">
        <v>1184</v>
      </c>
      <c r="AB18" s="3">
        <f>'תקציב הנדסה 2019'!AB41</f>
        <v>732000</v>
      </c>
      <c r="AC18" s="21"/>
    </row>
    <row r="19" spans="1:31" s="5" customFormat="1" ht="56">
      <c r="A19" s="3">
        <f t="shared" si="0"/>
        <v>14</v>
      </c>
      <c r="B19" s="3">
        <v>1620</v>
      </c>
      <c r="C19" s="42" t="s">
        <v>650</v>
      </c>
      <c r="D19" s="4">
        <f>'תקציב הנדסה 2019'!D42</f>
        <v>1000000</v>
      </c>
      <c r="E19" s="4">
        <f>'תקציב הנדסה 2019'!E42</f>
        <v>1000000</v>
      </c>
      <c r="F19" s="4">
        <f>'תקציב הנדסה 2019'!F42</f>
        <v>0</v>
      </c>
      <c r="G19" s="4">
        <f>'תקציב הנדסה 2019'!G42</f>
        <v>100000</v>
      </c>
      <c r="H19" s="4">
        <f>'תקציב הנדסה 2019'!H42</f>
        <v>0</v>
      </c>
      <c r="I19" s="4">
        <f>'תקציב הנדסה 2019'!I42</f>
        <v>0</v>
      </c>
      <c r="J19" s="4">
        <f>'תקציב הנדסה 2019'!J42</f>
        <v>0</v>
      </c>
      <c r="K19" s="4">
        <f>'תקציב הנדסה 2019'!K42</f>
        <v>0</v>
      </c>
      <c r="L19" s="4">
        <f>'תקציב הנדסה 2019'!L42</f>
        <v>0</v>
      </c>
      <c r="M19" s="4">
        <f>'תקציב הנדסה 2019'!M42</f>
        <v>100000</v>
      </c>
      <c r="N19" s="4">
        <f>'תקציב הנדסה 2019'!N42</f>
        <v>200000</v>
      </c>
      <c r="O19" s="4">
        <f>'תקציב הנדסה 2019'!O42</f>
        <v>700000</v>
      </c>
      <c r="P19" s="4">
        <f>'תקציב הנדסה 2019'!P42</f>
        <v>100000</v>
      </c>
      <c r="Q19" s="4">
        <f>'תקציב הנדסה 2019'!Q42</f>
        <v>0</v>
      </c>
      <c r="R19" s="4">
        <f>'תקציב הנדסה 2019'!R42</f>
        <v>0</v>
      </c>
      <c r="S19" s="4">
        <f>'תקציב הנדסה 2019'!S42</f>
        <v>0</v>
      </c>
      <c r="T19" s="4">
        <f>'תקציב הנדסה 2019'!T42</f>
        <v>0</v>
      </c>
      <c r="U19" s="4">
        <f>'תקציב הנדסה 2019'!U42</f>
        <v>200000</v>
      </c>
      <c r="V19" s="4">
        <f>'תקציב הנדסה 2019'!V42</f>
        <v>200000</v>
      </c>
      <c r="W19" s="4">
        <f>'תקציב הנדסה 2019'!W42</f>
        <v>0</v>
      </c>
      <c r="X19" s="4">
        <f>'תקציב הנדסה 2019'!X42</f>
        <v>0</v>
      </c>
      <c r="Y19" s="4">
        <f>'תקציב הנדסה 2019'!Y42</f>
        <v>0</v>
      </c>
      <c r="Z19" s="4">
        <f>'תקציב הנדסה 2019'!Z42</f>
        <v>0</v>
      </c>
      <c r="AA19" s="3" t="s">
        <v>651</v>
      </c>
      <c r="AB19" s="3">
        <f>'תקציב הנדסה 2019'!AB42</f>
        <v>732000</v>
      </c>
      <c r="AC19" s="21"/>
    </row>
    <row r="20" spans="1:31" s="6" customFormat="1" ht="28">
      <c r="A20" s="3">
        <f t="shared" si="0"/>
        <v>15</v>
      </c>
      <c r="B20" s="3">
        <v>1660</v>
      </c>
      <c r="C20" s="3" t="s">
        <v>22</v>
      </c>
      <c r="D20" s="4">
        <f>'תקציב הנדסה 2019'!D43</f>
        <v>2000000</v>
      </c>
      <c r="E20" s="4">
        <f>'תקציב הנדסה 2019'!E43</f>
        <v>2000000</v>
      </c>
      <c r="F20" s="4">
        <f>'תקציב הנדסה 2019'!F43</f>
        <v>0</v>
      </c>
      <c r="G20" s="4">
        <f>'תקציב הנדסה 2019'!G43</f>
        <v>350000</v>
      </c>
      <c r="H20" s="4">
        <f>'תקציב הנדסה 2019'!H43</f>
        <v>91264</v>
      </c>
      <c r="I20" s="4">
        <f>'תקציב הנדסה 2019'!I43</f>
        <v>0</v>
      </c>
      <c r="J20" s="4">
        <f>'תקציב הנדסה 2019'!J43</f>
        <v>16666.650000000001</v>
      </c>
      <c r="K20" s="4">
        <f>'תקציב הנדסה 2019'!K43</f>
        <v>16666.650000000001</v>
      </c>
      <c r="L20" s="4">
        <f>'תקציב הנדסה 2019'!L43</f>
        <v>107930.65</v>
      </c>
      <c r="M20" s="4">
        <f>'תקציב הנדסה 2019'!M43</f>
        <v>92069.35</v>
      </c>
      <c r="N20" s="4">
        <f>'תקציב הנדסה 2019'!N43</f>
        <v>400000</v>
      </c>
      <c r="O20" s="4">
        <f>'תקציב הנדסה 2019'!O43</f>
        <v>1400000</v>
      </c>
      <c r="P20" s="4">
        <f>'תקציב הנדסה 2019'!P43</f>
        <v>242069.35</v>
      </c>
      <c r="Q20" s="4">
        <f>'תקציב הנדסה 2019'!Q43</f>
        <v>0</v>
      </c>
      <c r="R20" s="4">
        <f>'תקציב הנדסה 2019'!R43</f>
        <v>0</v>
      </c>
      <c r="S20" s="4">
        <f>'תקציב הנדסה 2019'!S43</f>
        <v>0</v>
      </c>
      <c r="T20" s="4">
        <f>'תקציב הנדסה 2019'!T43</f>
        <v>150000</v>
      </c>
      <c r="U20" s="4">
        <f>'תקציב הנדסה 2019'!U43</f>
        <v>250000</v>
      </c>
      <c r="V20" s="4">
        <f>'תקציב הנדסה 2019'!V43</f>
        <v>250000</v>
      </c>
      <c r="W20" s="4">
        <f>'תקציב הנדסה 2019'!W43</f>
        <v>0</v>
      </c>
      <c r="X20" s="4">
        <f>'תקציב הנדסה 2019'!X43</f>
        <v>0</v>
      </c>
      <c r="Y20" s="4">
        <f>'תקציב הנדסה 2019'!Y43</f>
        <v>0</v>
      </c>
      <c r="Z20" s="4">
        <f>'תקציב הנדסה 2019'!Z43</f>
        <v>0</v>
      </c>
      <c r="AA20" s="3" t="s">
        <v>652</v>
      </c>
      <c r="AB20" s="3">
        <f>'תקציב הנדסה 2019'!AB43</f>
        <v>732000</v>
      </c>
      <c r="AC20" s="21"/>
      <c r="AD20" s="5"/>
      <c r="AE20" s="5"/>
    </row>
    <row r="21" spans="1:31" s="5" customFormat="1" ht="28">
      <c r="A21" s="3">
        <f t="shared" si="0"/>
        <v>16</v>
      </c>
      <c r="B21" s="3">
        <v>1674</v>
      </c>
      <c r="C21" s="3" t="s">
        <v>23</v>
      </c>
      <c r="D21" s="4">
        <f>'תקציב הנדסה 2019'!D45</f>
        <v>2300000</v>
      </c>
      <c r="E21" s="4">
        <f>'תקציב הנדסה 2019'!E45</f>
        <v>2100000</v>
      </c>
      <c r="F21" s="4">
        <f>'תקציב הנדסה 2019'!F45</f>
        <v>200000</v>
      </c>
      <c r="G21" s="4">
        <f>'תקציב הנדסה 2019'!G45</f>
        <v>1800000</v>
      </c>
      <c r="H21" s="4">
        <f>'תקציב הנדסה 2019'!H45</f>
        <v>1346844</v>
      </c>
      <c r="I21" s="4">
        <f>'תקציב הנדסה 2019'!I45</f>
        <v>106408</v>
      </c>
      <c r="J21" s="4">
        <f>'תקציב הנדסה 2019'!J45</f>
        <v>225895</v>
      </c>
      <c r="K21" s="4">
        <f>'תקציב הנדסה 2019'!K45</f>
        <v>332303</v>
      </c>
      <c r="L21" s="4">
        <f>'תקציב הנדסה 2019'!L45</f>
        <v>1679147</v>
      </c>
      <c r="M21" s="4">
        <f>'תקציב הנדסה 2019'!M45</f>
        <v>120853</v>
      </c>
      <c r="N21" s="4">
        <f>'תקציב הנדסה 2019'!N45</f>
        <v>500000</v>
      </c>
      <c r="O21" s="4">
        <f>'תקציב הנדסה 2019'!O45</f>
        <v>0</v>
      </c>
      <c r="P21" s="4">
        <f>'תקציב הנדסה 2019'!P45</f>
        <v>120853</v>
      </c>
      <c r="Q21" s="4">
        <f>'תקציב הנדסה 2019'!Q45</f>
        <v>0</v>
      </c>
      <c r="R21" s="4">
        <f>'תקציב הנדסה 2019'!R45</f>
        <v>0</v>
      </c>
      <c r="S21" s="4">
        <f>'תקציב הנדסה 2019'!S45</f>
        <v>0</v>
      </c>
      <c r="T21" s="4">
        <f>'תקציב הנדסה 2019'!T45</f>
        <v>0</v>
      </c>
      <c r="U21" s="4">
        <f>'תקציב הנדסה 2019'!U45</f>
        <v>500000</v>
      </c>
      <c r="V21" s="4">
        <f>'תקציב הנדסה 2019'!V45</f>
        <v>500000</v>
      </c>
      <c r="W21" s="4">
        <f>'תקציב הנדסה 2019'!W45</f>
        <v>0</v>
      </c>
      <c r="X21" s="4">
        <f>'תקציב הנדסה 2019'!X45</f>
        <v>0</v>
      </c>
      <c r="Y21" s="4">
        <f>'תקציב הנדסה 2019'!Y45</f>
        <v>0</v>
      </c>
      <c r="Z21" s="4">
        <f>'תקציב הנדסה 2019'!Z45</f>
        <v>0</v>
      </c>
      <c r="AA21" s="3" t="s">
        <v>653</v>
      </c>
      <c r="AB21" s="3">
        <f>'תקציב הנדסה 2019'!AB45</f>
        <v>732000</v>
      </c>
      <c r="AC21" s="21"/>
      <c r="AD21" s="7"/>
      <c r="AE21" s="7"/>
    </row>
    <row r="22" spans="1:31" s="5" customFormat="1" ht="28">
      <c r="A22" s="3">
        <f t="shared" si="0"/>
        <v>17</v>
      </c>
      <c r="B22" s="3">
        <v>1692</v>
      </c>
      <c r="C22" s="3" t="s">
        <v>24</v>
      </c>
      <c r="D22" s="4">
        <f>'תקציב הנדסה 2019'!D46</f>
        <v>2450000</v>
      </c>
      <c r="E22" s="4">
        <f>'תקציב הנדסה 2019'!E46</f>
        <v>2450000</v>
      </c>
      <c r="F22" s="4">
        <f>'תקציב הנדסה 2019'!F46</f>
        <v>0</v>
      </c>
      <c r="G22" s="4">
        <f>'תקציב הנדסה 2019'!G46</f>
        <v>1439186</v>
      </c>
      <c r="H22" s="4">
        <f>'תקציב הנדסה 2019'!H46</f>
        <v>552319</v>
      </c>
      <c r="I22" s="4">
        <f>'תקציב הנדסה 2019'!I46</f>
        <v>128716</v>
      </c>
      <c r="J22" s="4">
        <f>'תקציב הנדסה 2019'!J46</f>
        <v>186</v>
      </c>
      <c r="K22" s="4">
        <f>'תקציב הנדסה 2019'!K46</f>
        <v>128902</v>
      </c>
      <c r="L22" s="4">
        <f>'תקציב הנדסה 2019'!L46</f>
        <v>681221</v>
      </c>
      <c r="M22" s="4">
        <f>'תקציב הנדסה 2019'!M46</f>
        <v>757965</v>
      </c>
      <c r="N22" s="4">
        <f>'תקציב הנדסה 2019'!N46</f>
        <v>702242</v>
      </c>
      <c r="O22" s="4">
        <f>'תקציב הנדסה 2019'!O46</f>
        <v>308572</v>
      </c>
      <c r="P22" s="4">
        <f>'תקציב הנדסה 2019'!P46</f>
        <v>757965</v>
      </c>
      <c r="Q22" s="4">
        <f>'תקציב הנדסה 2019'!Q46</f>
        <v>0</v>
      </c>
      <c r="R22" s="4">
        <f>'תקציב הנדסה 2019'!R46</f>
        <v>0</v>
      </c>
      <c r="S22" s="4">
        <f>'תקציב הנדסה 2019'!S46</f>
        <v>0</v>
      </c>
      <c r="T22" s="4">
        <f>'תקציב הנדסה 2019'!T46</f>
        <v>0</v>
      </c>
      <c r="U22" s="4">
        <f>'תקציב הנדסה 2019'!U46</f>
        <v>702242</v>
      </c>
      <c r="V22" s="4">
        <f>'תקציב הנדסה 2019'!V46</f>
        <v>394919</v>
      </c>
      <c r="W22" s="4">
        <f>'תקציב הנדסה 2019'!W46</f>
        <v>0</v>
      </c>
      <c r="X22" s="4">
        <f>'תקציב הנדסה 2019'!X46</f>
        <v>0</v>
      </c>
      <c r="Y22" s="4">
        <f>'תקציב הנדסה 2019'!Y46</f>
        <v>0</v>
      </c>
      <c r="Z22" s="4">
        <f>'תקציב הנדסה 2019'!Z46</f>
        <v>307323</v>
      </c>
      <c r="AA22" s="3" t="s">
        <v>1185</v>
      </c>
      <c r="AB22" s="3">
        <f>'תקציב הנדסה 2019'!AB46</f>
        <v>732000</v>
      </c>
      <c r="AC22" s="21"/>
    </row>
    <row r="23" spans="1:31" s="5" customFormat="1" ht="28">
      <c r="A23" s="3">
        <f t="shared" si="0"/>
        <v>18</v>
      </c>
      <c r="B23" s="3">
        <v>1693</v>
      </c>
      <c r="C23" s="3" t="s">
        <v>202</v>
      </c>
      <c r="D23" s="4">
        <f>'תקציב הנדסה 2019'!D47</f>
        <v>4500000</v>
      </c>
      <c r="E23" s="4">
        <f>'תקציב הנדסה 2019'!E47</f>
        <v>4500000</v>
      </c>
      <c r="F23" s="4">
        <f>'תקציב הנדסה 2019'!F47</f>
        <v>0</v>
      </c>
      <c r="G23" s="4">
        <f>'תקציב הנדסה 2019'!G47</f>
        <v>2235481</v>
      </c>
      <c r="H23" s="4">
        <f>'תקציב הנדסה 2019'!H47</f>
        <v>312538.53000000003</v>
      </c>
      <c r="I23" s="4">
        <f>'תקציב הנדסה 2019'!I47</f>
        <v>48062.98</v>
      </c>
      <c r="J23" s="4">
        <f>'תקציב הנדסה 2019'!J47</f>
        <v>0</v>
      </c>
      <c r="K23" s="4">
        <f>'תקציב הנדסה 2019'!K47</f>
        <v>48062.98</v>
      </c>
      <c r="L23" s="4">
        <f>'תקציב הנדסה 2019'!L47</f>
        <v>360601.51</v>
      </c>
      <c r="M23" s="4">
        <f>'תקציב הנדסה 2019'!M47</f>
        <v>1874879.49</v>
      </c>
      <c r="N23" s="4">
        <f>'תקציב הנדסה 2019'!N47</f>
        <v>0</v>
      </c>
      <c r="O23" s="4">
        <f>'תקציב הנדסה 2019'!O47</f>
        <v>2264519</v>
      </c>
      <c r="P23" s="4">
        <f>'תקציב הנדסה 2019'!P47</f>
        <v>1874879.49</v>
      </c>
      <c r="Q23" s="4">
        <f>'תקציב הנדסה 2019'!Q47</f>
        <v>0</v>
      </c>
      <c r="R23" s="4">
        <f>'תקציב הנדסה 2019'!R47</f>
        <v>0</v>
      </c>
      <c r="S23" s="4">
        <f>'תקציב הנדסה 2019'!S47</f>
        <v>0</v>
      </c>
      <c r="T23" s="4">
        <f>'תקציב הנדסה 2019'!T47</f>
        <v>0</v>
      </c>
      <c r="U23" s="4">
        <f>'תקציב הנדסה 2019'!U47</f>
        <v>0</v>
      </c>
      <c r="V23" s="4">
        <f>'תקציב הנדסה 2019'!V47</f>
        <v>-17810</v>
      </c>
      <c r="W23" s="4">
        <f>'תקציב הנדסה 2019'!W47</f>
        <v>0</v>
      </c>
      <c r="X23" s="4">
        <f>'תקציב הנדסה 2019'!X47</f>
        <v>0</v>
      </c>
      <c r="Y23" s="4">
        <f>'תקציב הנדסה 2019'!Y47</f>
        <v>0</v>
      </c>
      <c r="Z23" s="4">
        <f>'תקציב הנדסה 2019'!Z47</f>
        <v>17810</v>
      </c>
      <c r="AA23" s="3" t="s">
        <v>1186</v>
      </c>
      <c r="AB23" s="3">
        <f>'תקציב הנדסה 2019'!AB47</f>
        <v>732000</v>
      </c>
      <c r="AC23" s="21"/>
    </row>
    <row r="24" spans="1:31" s="5" customFormat="1" ht="42">
      <c r="A24" s="3">
        <f t="shared" si="0"/>
        <v>19</v>
      </c>
      <c r="B24" s="3">
        <v>1701</v>
      </c>
      <c r="C24" s="3" t="s">
        <v>654</v>
      </c>
      <c r="D24" s="4">
        <f>'תקציב הנדסה 2019'!D48</f>
        <v>1250000</v>
      </c>
      <c r="E24" s="4">
        <f>'תקציב הנדסה 2019'!E48</f>
        <v>1250000</v>
      </c>
      <c r="F24" s="4">
        <f>'תקציב הנדסה 2019'!F48</f>
        <v>0</v>
      </c>
      <c r="G24" s="4">
        <f>'תקציב הנדסה 2019'!G48</f>
        <v>850000</v>
      </c>
      <c r="H24" s="4">
        <f>'תקציב הנדסה 2019'!H48</f>
        <v>108257</v>
      </c>
      <c r="I24" s="4">
        <f>'תקציב הנדסה 2019'!I48</f>
        <v>104008.32000000001</v>
      </c>
      <c r="J24" s="4">
        <f>'תקציב הנדסה 2019'!J48</f>
        <v>169952</v>
      </c>
      <c r="K24" s="4">
        <f>'תקציב הנדסה 2019'!K48</f>
        <v>273960.32000000001</v>
      </c>
      <c r="L24" s="4">
        <f>'תקציב הנדסה 2019'!L48</f>
        <v>382217.32</v>
      </c>
      <c r="M24" s="4">
        <f>'תקציב הנדסה 2019'!M48</f>
        <v>197782.68</v>
      </c>
      <c r="N24" s="4">
        <f>'תקציב הנדסה 2019'!N48</f>
        <v>270000</v>
      </c>
      <c r="O24" s="4">
        <f>'תקציב הנדסה 2019'!O48</f>
        <v>400000</v>
      </c>
      <c r="P24" s="4">
        <f>'תקציב הנדסה 2019'!P48</f>
        <v>467782.68</v>
      </c>
      <c r="Q24" s="4">
        <f>'תקציב הנדסה 2019'!Q48</f>
        <v>0</v>
      </c>
      <c r="R24" s="4">
        <f>'תקציב הנדסה 2019'!R48</f>
        <v>0</v>
      </c>
      <c r="S24" s="4">
        <f>'תקציב הנדסה 2019'!S48</f>
        <v>0</v>
      </c>
      <c r="T24" s="4">
        <f>'תקציב הנדסה 2019'!T48</f>
        <v>270000</v>
      </c>
      <c r="U24" s="4">
        <f>'תקציב הנדסה 2019'!U48</f>
        <v>0</v>
      </c>
      <c r="V24" s="4">
        <f>'תקציב הנדסה 2019'!V48</f>
        <v>0</v>
      </c>
      <c r="W24" s="4">
        <f>'תקציב הנדסה 2019'!W48</f>
        <v>0</v>
      </c>
      <c r="X24" s="4">
        <f>'תקציב הנדסה 2019'!X48</f>
        <v>0</v>
      </c>
      <c r="Y24" s="4">
        <f>'תקציב הנדסה 2019'!Y48</f>
        <v>0</v>
      </c>
      <c r="Z24" s="4">
        <f>'תקציב הנדסה 2019'!Z48</f>
        <v>0</v>
      </c>
      <c r="AA24" s="3" t="s">
        <v>655</v>
      </c>
      <c r="AB24" s="3">
        <f>'תקציב הנדסה 2019'!AB48</f>
        <v>732000</v>
      </c>
      <c r="AC24" s="21"/>
    </row>
    <row r="25" spans="1:31" s="6" customFormat="1">
      <c r="A25" s="3">
        <f t="shared" si="0"/>
        <v>20</v>
      </c>
      <c r="B25" s="3">
        <v>1748</v>
      </c>
      <c r="C25" s="3" t="s">
        <v>659</v>
      </c>
      <c r="D25" s="4">
        <f>'תקציב הנדסה 2019'!D53</f>
        <v>120000</v>
      </c>
      <c r="E25" s="4">
        <f>'תקציב הנדסה 2019'!E53</f>
        <v>120000</v>
      </c>
      <c r="F25" s="4">
        <f>'תקציב הנדסה 2019'!F53</f>
        <v>0</v>
      </c>
      <c r="G25" s="4">
        <f>'תקציב הנדסה 2019'!G53</f>
        <v>120000</v>
      </c>
      <c r="H25" s="4">
        <f>'תקציב הנדסה 2019'!H53</f>
        <v>89830.86</v>
      </c>
      <c r="I25" s="4">
        <f>'תקציב הנדסה 2019'!I53</f>
        <v>29280.55</v>
      </c>
      <c r="J25" s="4">
        <f>'תקציב הנדסה 2019'!J53</f>
        <v>0</v>
      </c>
      <c r="K25" s="4">
        <f>'תקציב הנדסה 2019'!K53</f>
        <v>29280.55</v>
      </c>
      <c r="L25" s="4">
        <f>'תקציב הנדסה 2019'!L53</f>
        <v>119111.41</v>
      </c>
      <c r="M25" s="4">
        <f>'תקציב הנדסה 2019'!M53</f>
        <v>888.58999999999651</v>
      </c>
      <c r="N25" s="4">
        <f>'תקציב הנדסה 2019'!N53</f>
        <v>0</v>
      </c>
      <c r="O25" s="4">
        <f>'תקציב הנדסה 2019'!O53</f>
        <v>0</v>
      </c>
      <c r="P25" s="4">
        <f>'תקציב הנדסה 2019'!P53</f>
        <v>888.58999999999651</v>
      </c>
      <c r="Q25" s="4">
        <f>'תקציב הנדסה 2019'!Q53</f>
        <v>0</v>
      </c>
      <c r="R25" s="4">
        <f>'תקציב הנדסה 2019'!R53</f>
        <v>0</v>
      </c>
      <c r="S25" s="4">
        <f>'תקציב הנדסה 2019'!S53</f>
        <v>0</v>
      </c>
      <c r="T25" s="4">
        <f>'תקציב הנדסה 2019'!T53</f>
        <v>0</v>
      </c>
      <c r="U25" s="4">
        <f>'תקציב הנדסה 2019'!U53</f>
        <v>0</v>
      </c>
      <c r="V25" s="4">
        <f>'תקציב הנדסה 2019'!V53</f>
        <v>0</v>
      </c>
      <c r="W25" s="4">
        <f>'תקציב הנדסה 2019'!W53</f>
        <v>0</v>
      </c>
      <c r="X25" s="4">
        <f>'תקציב הנדסה 2019'!X53</f>
        <v>0</v>
      </c>
      <c r="Y25" s="4">
        <f>'תקציב הנדסה 2019'!Y53</f>
        <v>0</v>
      </c>
      <c r="Z25" s="4">
        <f>'תקציב הנדסה 2019'!Z53</f>
        <v>0</v>
      </c>
      <c r="AA25" s="3"/>
      <c r="AB25" s="3">
        <f>'תקציב הנדסה 2019'!AB53</f>
        <v>732000</v>
      </c>
      <c r="AC25" s="21"/>
      <c r="AD25" s="5"/>
      <c r="AE25" s="5"/>
    </row>
    <row r="26" spans="1:31" s="6" customFormat="1" ht="28">
      <c r="A26" s="3">
        <f t="shared" si="0"/>
        <v>21</v>
      </c>
      <c r="B26" s="3">
        <v>1755</v>
      </c>
      <c r="C26" s="3" t="s">
        <v>27</v>
      </c>
      <c r="D26" s="4">
        <f>'תקציב הנדסה 2019'!D54</f>
        <v>200000</v>
      </c>
      <c r="E26" s="4">
        <f>'תקציב הנדסה 2019'!E54</f>
        <v>200000</v>
      </c>
      <c r="F26" s="4">
        <f>'תקציב הנדסה 2019'!F54</f>
        <v>0</v>
      </c>
      <c r="G26" s="4">
        <f>'תקציב הנדסה 2019'!G54</f>
        <v>200000</v>
      </c>
      <c r="H26" s="4">
        <f>'תקציב הנדסה 2019'!H54</f>
        <v>69371.839999999997</v>
      </c>
      <c r="I26" s="4">
        <f>'תקציב הנדסה 2019'!I54</f>
        <v>0</v>
      </c>
      <c r="J26" s="4">
        <f>'תקציב הנדסה 2019'!J54</f>
        <v>21992.97</v>
      </c>
      <c r="K26" s="4">
        <f>'תקציב הנדסה 2019'!K54</f>
        <v>21992.97</v>
      </c>
      <c r="L26" s="4">
        <f>'תקציב הנדסה 2019'!L54</f>
        <v>91364.81</v>
      </c>
      <c r="M26" s="4">
        <f>'תקציב הנדסה 2019'!M54</f>
        <v>8635.1900000000023</v>
      </c>
      <c r="N26" s="4">
        <f>'תקציב הנדסה 2019'!N54</f>
        <v>0</v>
      </c>
      <c r="O26" s="4">
        <f>'תקציב הנדסה 2019'!O54</f>
        <v>100000</v>
      </c>
      <c r="P26" s="4">
        <f>'תקציב הנדסה 2019'!P54</f>
        <v>108635.19</v>
      </c>
      <c r="Q26" s="4">
        <f>'תקציב הנדסה 2019'!Q54</f>
        <v>0</v>
      </c>
      <c r="R26" s="4">
        <f>'תקציב הנדסה 2019'!R54</f>
        <v>0</v>
      </c>
      <c r="S26" s="4">
        <f>'תקציב הנדסה 2019'!S54</f>
        <v>0</v>
      </c>
      <c r="T26" s="4">
        <f>'תקציב הנדסה 2019'!T54</f>
        <v>100000</v>
      </c>
      <c r="U26" s="4">
        <f>'תקציב הנדסה 2019'!U54</f>
        <v>-100000</v>
      </c>
      <c r="V26" s="4">
        <f>'תקציב הנדסה 2019'!V54</f>
        <v>-100000</v>
      </c>
      <c r="W26" s="4">
        <f>'תקציב הנדסה 2019'!W54</f>
        <v>0</v>
      </c>
      <c r="X26" s="4">
        <f>'תקציב הנדסה 2019'!X54</f>
        <v>0</v>
      </c>
      <c r="Y26" s="4">
        <f>'תקציב הנדסה 2019'!Y54</f>
        <v>0</v>
      </c>
      <c r="Z26" s="4">
        <f>'תקציב הנדסה 2019'!Z54</f>
        <v>0</v>
      </c>
      <c r="AA26" s="3" t="s">
        <v>1187</v>
      </c>
      <c r="AB26" s="3">
        <f>'תקציב הנדסה 2019'!AB54</f>
        <v>732000</v>
      </c>
      <c r="AC26" s="21"/>
      <c r="AD26" s="5"/>
      <c r="AE26" s="5"/>
    </row>
    <row r="27" spans="1:31" s="6" customFormat="1" ht="42">
      <c r="A27" s="3">
        <f t="shared" si="0"/>
        <v>22</v>
      </c>
      <c r="B27" s="3">
        <v>1756</v>
      </c>
      <c r="C27" s="3" t="s">
        <v>25</v>
      </c>
      <c r="D27" s="4">
        <f>'תקציב הנדסה 2019'!D55</f>
        <v>800000</v>
      </c>
      <c r="E27" s="4">
        <f>'תקציב הנדסה 2019'!E55</f>
        <v>800000</v>
      </c>
      <c r="F27" s="4">
        <f>'תקציב הנדסה 2019'!F55</f>
        <v>0</v>
      </c>
      <c r="G27" s="4">
        <f>'תקציב הנדסה 2019'!G55</f>
        <v>400000</v>
      </c>
      <c r="H27" s="4">
        <f>'תקציב הנדסה 2019'!H55</f>
        <v>239672</v>
      </c>
      <c r="I27" s="4">
        <f>'תקציב הנדסה 2019'!I55</f>
        <v>0</v>
      </c>
      <c r="J27" s="4">
        <f>'תקציב הנדסה 2019'!J55</f>
        <v>44604</v>
      </c>
      <c r="K27" s="4">
        <f>'תקציב הנדסה 2019'!K55</f>
        <v>44604</v>
      </c>
      <c r="L27" s="4">
        <f>'תקציב הנדסה 2019'!L55</f>
        <v>284276</v>
      </c>
      <c r="M27" s="4">
        <f>'תקציב הנדסה 2019'!M55</f>
        <v>15724</v>
      </c>
      <c r="N27" s="4">
        <f>'תקציב הנדסה 2019'!N55</f>
        <v>100000</v>
      </c>
      <c r="O27" s="4">
        <f>'תקציב הנדסה 2019'!O55</f>
        <v>400000</v>
      </c>
      <c r="P27" s="4">
        <f>'תקציב הנדסה 2019'!P55</f>
        <v>115724</v>
      </c>
      <c r="Q27" s="4">
        <f>'תקציב הנדסה 2019'!Q55</f>
        <v>0</v>
      </c>
      <c r="R27" s="4">
        <f>'תקציב הנדסה 2019'!R55</f>
        <v>0</v>
      </c>
      <c r="S27" s="4">
        <f>'תקציב הנדסה 2019'!S55</f>
        <v>0</v>
      </c>
      <c r="T27" s="4">
        <f>'תקציב הנדסה 2019'!T55</f>
        <v>100000</v>
      </c>
      <c r="U27" s="4">
        <f>'תקציב הנדסה 2019'!U55</f>
        <v>0</v>
      </c>
      <c r="V27" s="4">
        <f>'תקציב הנדסה 2019'!V55</f>
        <v>0</v>
      </c>
      <c r="W27" s="4">
        <f>'תקציב הנדסה 2019'!W55</f>
        <v>0</v>
      </c>
      <c r="X27" s="4">
        <f>'תקציב הנדסה 2019'!X55</f>
        <v>0</v>
      </c>
      <c r="Y27" s="4">
        <f>'תקציב הנדסה 2019'!Y55</f>
        <v>0</v>
      </c>
      <c r="Z27" s="4">
        <f>'תקציב הנדסה 2019'!Z55</f>
        <v>0</v>
      </c>
      <c r="AA27" s="3" t="s">
        <v>1105</v>
      </c>
      <c r="AB27" s="3">
        <f>'תקציב הנדסה 2019'!AB55</f>
        <v>732000</v>
      </c>
      <c r="AC27" s="21"/>
      <c r="AD27" s="5"/>
      <c r="AE27" s="5"/>
    </row>
    <row r="28" spans="1:31" s="6" customFormat="1">
      <c r="A28" s="3">
        <f t="shared" si="0"/>
        <v>23</v>
      </c>
      <c r="B28" s="3">
        <v>1757</v>
      </c>
      <c r="C28" s="3" t="s">
        <v>26</v>
      </c>
      <c r="D28" s="4">
        <f>'תקציב הנדסה 2019'!D56</f>
        <v>300000</v>
      </c>
      <c r="E28" s="4">
        <f>'תקציב הנדסה 2019'!E56</f>
        <v>300000</v>
      </c>
      <c r="F28" s="4">
        <f>'תקציב הנדסה 2019'!F56</f>
        <v>0</v>
      </c>
      <c r="G28" s="4">
        <f>'תקציב הנדסה 2019'!G56</f>
        <v>110000</v>
      </c>
      <c r="H28" s="4">
        <f>'תקציב הנדסה 2019'!H56</f>
        <v>10908.07</v>
      </c>
      <c r="I28" s="4">
        <f>'תקציב הנדסה 2019'!I56</f>
        <v>908.93</v>
      </c>
      <c r="J28" s="4">
        <f>'תקציב הנדסה 2019'!J56</f>
        <v>0</v>
      </c>
      <c r="K28" s="4">
        <f>'תקציב הנדסה 2019'!K56</f>
        <v>908.93</v>
      </c>
      <c r="L28" s="4">
        <f>'תקציב הנדסה 2019'!L56</f>
        <v>11817</v>
      </c>
      <c r="M28" s="4">
        <f>'תקציב הנדסה 2019'!M56</f>
        <v>98183</v>
      </c>
      <c r="N28" s="4">
        <f>'תקציב הנדסה 2019'!N56</f>
        <v>0</v>
      </c>
      <c r="O28" s="4">
        <f>'תקציב הנדסה 2019'!O56</f>
        <v>190000</v>
      </c>
      <c r="P28" s="4">
        <f>'תקציב הנדסה 2019'!P56</f>
        <v>98183</v>
      </c>
      <c r="Q28" s="4">
        <f>'תקציב הנדסה 2019'!Q56</f>
        <v>0</v>
      </c>
      <c r="R28" s="4">
        <f>'תקציב הנדסה 2019'!R56</f>
        <v>0</v>
      </c>
      <c r="S28" s="4">
        <f>'תקציב הנדסה 2019'!S56</f>
        <v>0</v>
      </c>
      <c r="T28" s="4">
        <f>'תקציב הנדסה 2019'!T56</f>
        <v>0</v>
      </c>
      <c r="U28" s="4">
        <f>'תקציב הנדסה 2019'!U56</f>
        <v>0</v>
      </c>
      <c r="V28" s="4">
        <f>'תקציב הנדסה 2019'!V56</f>
        <v>0</v>
      </c>
      <c r="W28" s="4">
        <f>'תקציב הנדסה 2019'!W56</f>
        <v>0</v>
      </c>
      <c r="X28" s="4">
        <f>'תקציב הנדסה 2019'!X56</f>
        <v>0</v>
      </c>
      <c r="Y28" s="4">
        <f>'תקציב הנדסה 2019'!Y56</f>
        <v>0</v>
      </c>
      <c r="Z28" s="4">
        <f>'תקציב הנדסה 2019'!Z56</f>
        <v>0</v>
      </c>
      <c r="AA28" s="3"/>
      <c r="AB28" s="3">
        <f>'תקציב הנדסה 2019'!AB56</f>
        <v>732000</v>
      </c>
      <c r="AC28" s="21"/>
      <c r="AD28" s="5"/>
      <c r="AE28" s="5"/>
    </row>
    <row r="29" spans="1:31" s="5" customFormat="1">
      <c r="A29" s="3">
        <f t="shared" si="0"/>
        <v>24</v>
      </c>
      <c r="B29" s="3">
        <v>1758</v>
      </c>
      <c r="C29" s="3" t="s">
        <v>165</v>
      </c>
      <c r="D29" s="4">
        <f>'תקציב הנדסה 2019'!D57</f>
        <v>300000</v>
      </c>
      <c r="E29" s="4">
        <f>'תקציב הנדסה 2019'!E57</f>
        <v>300000</v>
      </c>
      <c r="F29" s="4">
        <f>'תקציב הנדסה 2019'!F57</f>
        <v>0</v>
      </c>
      <c r="G29" s="4">
        <f>'תקציב הנדסה 2019'!G57</f>
        <v>120000</v>
      </c>
      <c r="H29" s="4">
        <f>'תקציב הנדסה 2019'!H57</f>
        <v>10908.07</v>
      </c>
      <c r="I29" s="4">
        <f>'תקציב הנדסה 2019'!I57</f>
        <v>4828.43</v>
      </c>
      <c r="J29" s="4">
        <f>'תקציב הנדסה 2019'!J57</f>
        <v>0</v>
      </c>
      <c r="K29" s="4">
        <f>'תקציב הנדסה 2019'!K57</f>
        <v>4828.43</v>
      </c>
      <c r="L29" s="4">
        <f>'תקציב הנדסה 2019'!L57</f>
        <v>15736.5</v>
      </c>
      <c r="M29" s="4">
        <f>'תקציב הנדסה 2019'!M57</f>
        <v>263.5</v>
      </c>
      <c r="N29" s="4">
        <f>'תקציב הנדסה 2019'!N57</f>
        <v>0</v>
      </c>
      <c r="O29" s="4">
        <f>'תקציב הנדסה 2019'!O57</f>
        <v>284000</v>
      </c>
      <c r="P29" s="4">
        <f>'תקציב הנדסה 2019'!P57</f>
        <v>104263.5</v>
      </c>
      <c r="Q29" s="4">
        <f>'תקציב הנדסה 2019'!Q57</f>
        <v>0</v>
      </c>
      <c r="R29" s="4">
        <f>'תקציב הנדסה 2019'!R57</f>
        <v>0</v>
      </c>
      <c r="S29" s="4">
        <f>'תקציב הנדסה 2019'!S57</f>
        <v>0</v>
      </c>
      <c r="T29" s="4">
        <f>'תקציב הנדסה 2019'!T57</f>
        <v>104000</v>
      </c>
      <c r="U29" s="4">
        <f>'תקציב הנדסה 2019'!U57</f>
        <v>-104000</v>
      </c>
      <c r="V29" s="4">
        <f>'תקציב הנדסה 2019'!V57</f>
        <v>-104000</v>
      </c>
      <c r="W29" s="4">
        <f>'תקציב הנדסה 2019'!W57</f>
        <v>0</v>
      </c>
      <c r="X29" s="4">
        <f>'תקציב הנדסה 2019'!X57</f>
        <v>0</v>
      </c>
      <c r="Y29" s="4">
        <f>'תקציב הנדסה 2019'!Y57</f>
        <v>0</v>
      </c>
      <c r="Z29" s="4">
        <f>'תקציב הנדסה 2019'!Z57</f>
        <v>0</v>
      </c>
      <c r="AA29" s="3"/>
      <c r="AB29" s="3">
        <f>'תקציב הנדסה 2019'!AB57</f>
        <v>732000</v>
      </c>
      <c r="AC29" s="21"/>
    </row>
    <row r="30" spans="1:31" s="5" customFormat="1" ht="28">
      <c r="A30" s="3">
        <f t="shared" si="0"/>
        <v>25</v>
      </c>
      <c r="B30" s="3">
        <v>1759</v>
      </c>
      <c r="C30" s="3" t="s">
        <v>1102</v>
      </c>
      <c r="D30" s="4">
        <f>'תקציב הנדסה 2019'!D58</f>
        <v>940000</v>
      </c>
      <c r="E30" s="4">
        <f>'תקציב הנדסה 2019'!E58</f>
        <v>600000</v>
      </c>
      <c r="F30" s="4">
        <f>'תקציב הנדסה 2019'!F58</f>
        <v>340000</v>
      </c>
      <c r="G30" s="4">
        <f>'תקציב הנדסה 2019'!G58</f>
        <v>500000</v>
      </c>
      <c r="H30" s="4">
        <f>'תקציב הנדסה 2019'!H58</f>
        <v>478660</v>
      </c>
      <c r="I30" s="4">
        <f>'תקציב הנדסה 2019'!I58</f>
        <v>600</v>
      </c>
      <c r="J30" s="4">
        <f>'תקציב הנדסה 2019'!J58</f>
        <v>17151.75</v>
      </c>
      <c r="K30" s="4">
        <f>'תקציב הנדסה 2019'!K58</f>
        <v>17751.75</v>
      </c>
      <c r="L30" s="4">
        <f>'תקציב הנדסה 2019'!L58</f>
        <v>496411.75</v>
      </c>
      <c r="M30" s="4">
        <f>'תקציב הנדסה 2019'!M58</f>
        <v>3588.25</v>
      </c>
      <c r="N30" s="4">
        <f>'תקציב הנדסה 2019'!N58</f>
        <v>440000</v>
      </c>
      <c r="O30" s="4">
        <f>'תקציב הנדסה 2019'!O58</f>
        <v>0</v>
      </c>
      <c r="P30" s="4">
        <f>'תקציב הנדסה 2019'!P58</f>
        <v>3588.25</v>
      </c>
      <c r="Q30" s="4">
        <f>'תקציב הנדסה 2019'!Q58</f>
        <v>0</v>
      </c>
      <c r="R30" s="4">
        <f>'תקציב הנדסה 2019'!R58</f>
        <v>0</v>
      </c>
      <c r="S30" s="4">
        <f>'תקציב הנדסה 2019'!S58</f>
        <v>0</v>
      </c>
      <c r="T30" s="4">
        <f>'תקציב הנדסה 2019'!T58</f>
        <v>0</v>
      </c>
      <c r="U30" s="4">
        <f>'תקציב הנדסה 2019'!U58</f>
        <v>440000</v>
      </c>
      <c r="V30" s="4">
        <f>'תקציב הנדסה 2019'!V58</f>
        <v>440000</v>
      </c>
      <c r="W30" s="4">
        <f>'תקציב הנדסה 2019'!W58</f>
        <v>0</v>
      </c>
      <c r="X30" s="4">
        <f>'תקציב הנדסה 2019'!X58</f>
        <v>0</v>
      </c>
      <c r="Y30" s="4">
        <f>'תקציב הנדסה 2019'!Y58</f>
        <v>0</v>
      </c>
      <c r="Z30" s="4">
        <f>'תקציב הנדסה 2019'!Z58</f>
        <v>0</v>
      </c>
      <c r="AA30" s="47" t="s">
        <v>1106</v>
      </c>
      <c r="AB30" s="3">
        <f>'תקציב הנדסה 2019'!AB58</f>
        <v>732000</v>
      </c>
      <c r="AC30" s="21"/>
    </row>
    <row r="31" spans="1:31" s="5" customFormat="1" ht="28">
      <c r="A31" s="3">
        <f t="shared" si="0"/>
        <v>26</v>
      </c>
      <c r="B31" s="3">
        <v>1760</v>
      </c>
      <c r="C31" s="3" t="s">
        <v>660</v>
      </c>
      <c r="D31" s="4">
        <f>'תקציב הנדסה 2019'!D59</f>
        <v>900000</v>
      </c>
      <c r="E31" s="4">
        <f>'תקציב הנדסה 2019'!E59</f>
        <v>900000</v>
      </c>
      <c r="F31" s="4">
        <f>'תקציב הנדסה 2019'!F59</f>
        <v>0</v>
      </c>
      <c r="G31" s="4">
        <f>'תקציב הנדסה 2019'!G59</f>
        <v>300000</v>
      </c>
      <c r="H31" s="4">
        <f>'תקציב הנדסה 2019'!H59</f>
        <v>38898</v>
      </c>
      <c r="I31" s="4">
        <f>'תקציב הנדסה 2019'!I59</f>
        <v>0</v>
      </c>
      <c r="J31" s="4">
        <f>'תקציב הנדסה 2019'!J59</f>
        <v>1228</v>
      </c>
      <c r="K31" s="4">
        <f>'תקציב הנדסה 2019'!K59</f>
        <v>1228</v>
      </c>
      <c r="L31" s="4">
        <f>'תקציב הנדסה 2019'!L59</f>
        <v>40126</v>
      </c>
      <c r="M31" s="4">
        <f>'תקציב הנדסה 2019'!M59</f>
        <v>259874</v>
      </c>
      <c r="N31" s="4">
        <f>'תקציב הנדסה 2019'!N59</f>
        <v>0</v>
      </c>
      <c r="O31" s="4">
        <f>'תקציב הנדסה 2019'!O59</f>
        <v>600000</v>
      </c>
      <c r="P31" s="4">
        <f>'תקציב הנדסה 2019'!P59</f>
        <v>259874</v>
      </c>
      <c r="Q31" s="4">
        <f>'תקציב הנדסה 2019'!Q59</f>
        <v>0</v>
      </c>
      <c r="R31" s="4">
        <f>'תקציב הנדסה 2019'!R59</f>
        <v>0</v>
      </c>
      <c r="S31" s="4">
        <f>'תקציב הנדסה 2019'!S59</f>
        <v>0</v>
      </c>
      <c r="T31" s="4">
        <f>'תקציב הנדסה 2019'!T59</f>
        <v>0</v>
      </c>
      <c r="U31" s="4">
        <f>'תקציב הנדסה 2019'!U59</f>
        <v>0</v>
      </c>
      <c r="V31" s="4">
        <f>'תקציב הנדסה 2019'!V59</f>
        <v>0</v>
      </c>
      <c r="W31" s="4">
        <f>'תקציב הנדסה 2019'!W59</f>
        <v>0</v>
      </c>
      <c r="X31" s="4">
        <f>'תקציב הנדסה 2019'!X59</f>
        <v>0</v>
      </c>
      <c r="Y31" s="4">
        <f>'תקציב הנדסה 2019'!Y59</f>
        <v>0</v>
      </c>
      <c r="Z31" s="4">
        <f>'תקציב הנדסה 2019'!Z59</f>
        <v>0</v>
      </c>
      <c r="AA31" s="47" t="s">
        <v>1188</v>
      </c>
      <c r="AB31" s="3">
        <f>'תקציב הנדסה 2019'!AB59</f>
        <v>732000</v>
      </c>
      <c r="AC31" s="21"/>
    </row>
    <row r="32" spans="1:31" s="5" customFormat="1" ht="69.75" customHeight="1">
      <c r="A32" s="3">
        <f t="shared" si="0"/>
        <v>27</v>
      </c>
      <c r="B32" s="3">
        <v>1762</v>
      </c>
      <c r="C32" s="3" t="s">
        <v>28</v>
      </c>
      <c r="D32" s="4">
        <f>'תקציב הנדסה 2019'!D60</f>
        <v>500000</v>
      </c>
      <c r="E32" s="4">
        <f>'תקציב הנדסה 2019'!E60</f>
        <v>500000</v>
      </c>
      <c r="F32" s="4">
        <f>'תקציב הנדסה 2019'!F60</f>
        <v>0</v>
      </c>
      <c r="G32" s="4">
        <f>'תקציב הנדסה 2019'!G60</f>
        <v>100000</v>
      </c>
      <c r="H32" s="4">
        <f>'תקציב הנדסה 2019'!H60</f>
        <v>11442</v>
      </c>
      <c r="I32" s="4">
        <f>'תקציב הנדסה 2019'!I60</f>
        <v>0</v>
      </c>
      <c r="J32" s="4">
        <f>'תקציב הנדסה 2019'!J60</f>
        <v>0</v>
      </c>
      <c r="K32" s="4">
        <f>'תקציב הנדסה 2019'!K60</f>
        <v>0</v>
      </c>
      <c r="L32" s="4">
        <f>'תקציב הנדסה 2019'!L60</f>
        <v>11442</v>
      </c>
      <c r="M32" s="4">
        <f>'תקציב הנדסה 2019'!M60</f>
        <v>58558</v>
      </c>
      <c r="N32" s="4">
        <f>'תקציב הנדסה 2019'!N60</f>
        <v>0</v>
      </c>
      <c r="O32" s="4">
        <f>'תקציב הנדסה 2019'!O60</f>
        <v>430000</v>
      </c>
      <c r="P32" s="4">
        <f>'תקציב הנדסה 2019'!P60</f>
        <v>88558</v>
      </c>
      <c r="Q32" s="4">
        <f>'תקציב הנדסה 2019'!Q60</f>
        <v>0</v>
      </c>
      <c r="R32" s="4">
        <f>'תקציב הנדסה 2019'!R60</f>
        <v>0</v>
      </c>
      <c r="S32" s="4">
        <f>'תקציב הנדסה 2019'!S60</f>
        <v>0</v>
      </c>
      <c r="T32" s="4">
        <f>'תקציב הנדסה 2019'!T60</f>
        <v>30000</v>
      </c>
      <c r="U32" s="4">
        <f>'תקציב הנדסה 2019'!U60</f>
        <v>-30000</v>
      </c>
      <c r="V32" s="4">
        <f>'תקציב הנדסה 2019'!V60</f>
        <v>-30000</v>
      </c>
      <c r="W32" s="4">
        <f>'תקציב הנדסה 2019'!W60</f>
        <v>0</v>
      </c>
      <c r="X32" s="4">
        <f>'תקציב הנדסה 2019'!X60</f>
        <v>0</v>
      </c>
      <c r="Y32" s="4">
        <f>'תקציב הנדסה 2019'!Y60</f>
        <v>0</v>
      </c>
      <c r="Z32" s="4">
        <f>'תקציב הנדסה 2019'!Z60</f>
        <v>0</v>
      </c>
      <c r="AA32" s="3" t="s">
        <v>661</v>
      </c>
      <c r="AB32" s="3">
        <f>'תקציב הנדסה 2019'!AB60</f>
        <v>732000</v>
      </c>
      <c r="AC32" s="21"/>
    </row>
    <row r="33" spans="1:31" s="5" customFormat="1" ht="42">
      <c r="A33" s="3">
        <f t="shared" si="0"/>
        <v>28</v>
      </c>
      <c r="B33" s="3">
        <v>1799</v>
      </c>
      <c r="C33" s="3" t="s">
        <v>181</v>
      </c>
      <c r="D33" s="4">
        <f>'תקציב הנדסה 2019'!D61</f>
        <v>1000000</v>
      </c>
      <c r="E33" s="4">
        <f>'תקציב הנדסה 2019'!E61</f>
        <v>1000000</v>
      </c>
      <c r="F33" s="4">
        <f>'תקציב הנדסה 2019'!F61</f>
        <v>0</v>
      </c>
      <c r="G33" s="4">
        <f>'תקציב הנדסה 2019'!G61</f>
        <v>350000</v>
      </c>
      <c r="H33" s="4">
        <f>'תקציב הנדסה 2019'!H61</f>
        <v>24106</v>
      </c>
      <c r="I33" s="4">
        <f>'תקציב הנדסה 2019'!I61</f>
        <v>0</v>
      </c>
      <c r="J33" s="4">
        <f>'תקציב הנדסה 2019'!J61</f>
        <v>20567.86</v>
      </c>
      <c r="K33" s="4">
        <f>'תקציב הנדסה 2019'!K61</f>
        <v>20567.86</v>
      </c>
      <c r="L33" s="4">
        <f>'תקציב הנדסה 2019'!L61</f>
        <v>44673.86</v>
      </c>
      <c r="M33" s="4">
        <f>'תקציב הנדסה 2019'!M61</f>
        <v>105326.14000000001</v>
      </c>
      <c r="N33" s="4">
        <f>'תקציב הנדסה 2019'!N61</f>
        <v>200000</v>
      </c>
      <c r="O33" s="4">
        <f>'תקציב הנדסה 2019'!O61</f>
        <v>650000</v>
      </c>
      <c r="P33" s="4">
        <f>'תקציב הנדסה 2019'!P61</f>
        <v>305326.14</v>
      </c>
      <c r="Q33" s="4">
        <f>'תקציב הנדסה 2019'!Q61</f>
        <v>0</v>
      </c>
      <c r="R33" s="4">
        <f>'תקציב הנדסה 2019'!R61</f>
        <v>0</v>
      </c>
      <c r="S33" s="4">
        <f>'תקציב הנדסה 2019'!S61</f>
        <v>0</v>
      </c>
      <c r="T33" s="4">
        <f>'תקציב הנדסה 2019'!T61</f>
        <v>200000</v>
      </c>
      <c r="U33" s="4">
        <f>'תקציב הנדסה 2019'!U61</f>
        <v>0</v>
      </c>
      <c r="V33" s="4">
        <f>'תקציב הנדסה 2019'!V61</f>
        <v>0</v>
      </c>
      <c r="W33" s="4">
        <f>'תקציב הנדסה 2019'!W61</f>
        <v>0</v>
      </c>
      <c r="X33" s="4">
        <f>'תקציב הנדסה 2019'!X61</f>
        <v>0</v>
      </c>
      <c r="Y33" s="4">
        <f>'תקציב הנדסה 2019'!Y61</f>
        <v>0</v>
      </c>
      <c r="Z33" s="4">
        <f>'תקציב הנדסה 2019'!Z61</f>
        <v>0</v>
      </c>
      <c r="AA33" s="3" t="s">
        <v>1107</v>
      </c>
      <c r="AB33" s="3">
        <f>'תקציב הנדסה 2019'!AB61</f>
        <v>732000</v>
      </c>
      <c r="AC33" s="21"/>
    </row>
    <row r="34" spans="1:31" s="5" customFormat="1">
      <c r="A34" s="3">
        <f t="shared" si="0"/>
        <v>29</v>
      </c>
      <c r="B34" s="3">
        <v>1811</v>
      </c>
      <c r="C34" s="3" t="s">
        <v>184</v>
      </c>
      <c r="D34" s="4">
        <f>'תקציב הנדסה 2019'!D64</f>
        <v>250000</v>
      </c>
      <c r="E34" s="4">
        <f>'תקציב הנדסה 2019'!E64</f>
        <v>250000</v>
      </c>
      <c r="F34" s="4">
        <f>'תקציב הנדסה 2019'!F64</f>
        <v>0</v>
      </c>
      <c r="G34" s="4">
        <f>'תקציב הנדסה 2019'!G64</f>
        <v>250000</v>
      </c>
      <c r="H34" s="4">
        <f>'תקציב הנדסה 2019'!H64</f>
        <v>0</v>
      </c>
      <c r="I34" s="4">
        <f>'תקציב הנדסה 2019'!I64</f>
        <v>0</v>
      </c>
      <c r="J34" s="4">
        <f>'תקציב הנדסה 2019'!J64</f>
        <v>0</v>
      </c>
      <c r="K34" s="4">
        <f>'תקציב הנדסה 2019'!K64</f>
        <v>0</v>
      </c>
      <c r="L34" s="4">
        <f>'תקציב הנדסה 2019'!L64</f>
        <v>0</v>
      </c>
      <c r="M34" s="4">
        <f>'תקציב הנדסה 2019'!M64</f>
        <v>250000</v>
      </c>
      <c r="N34" s="4">
        <f>'תקציב הנדסה 2019'!N64</f>
        <v>0</v>
      </c>
      <c r="O34" s="4">
        <f>'תקציב הנדסה 2019'!O64</f>
        <v>0</v>
      </c>
      <c r="P34" s="4">
        <f>'תקציב הנדסה 2019'!P64</f>
        <v>250000</v>
      </c>
      <c r="Q34" s="4">
        <f>'תקציב הנדסה 2019'!Q64</f>
        <v>0</v>
      </c>
      <c r="R34" s="4">
        <f>'תקציב הנדסה 2019'!R64</f>
        <v>0</v>
      </c>
      <c r="S34" s="4">
        <f>'תקציב הנדסה 2019'!S64</f>
        <v>0</v>
      </c>
      <c r="T34" s="4">
        <f>'תקציב הנדסה 2019'!T64</f>
        <v>0</v>
      </c>
      <c r="U34" s="4">
        <f>'תקציב הנדסה 2019'!U64</f>
        <v>0</v>
      </c>
      <c r="V34" s="4">
        <f>'תקציב הנדסה 2019'!V64</f>
        <v>0</v>
      </c>
      <c r="W34" s="4">
        <f>'תקציב הנדסה 2019'!W64</f>
        <v>0</v>
      </c>
      <c r="X34" s="4">
        <f>'תקציב הנדסה 2019'!X64</f>
        <v>0</v>
      </c>
      <c r="Y34" s="4">
        <f>'תקציב הנדסה 2019'!Y64</f>
        <v>0</v>
      </c>
      <c r="Z34" s="4">
        <f>'תקציב הנדסה 2019'!Z64</f>
        <v>0</v>
      </c>
      <c r="AA34" s="47" t="s">
        <v>1108</v>
      </c>
      <c r="AB34" s="3">
        <f>'תקציב הנדסה 2019'!AB64</f>
        <v>732000</v>
      </c>
      <c r="AC34" s="21"/>
    </row>
    <row r="35" spans="1:31" s="5" customFormat="1" ht="28">
      <c r="A35" s="3">
        <f t="shared" si="0"/>
        <v>30</v>
      </c>
      <c r="B35" s="3">
        <v>1842</v>
      </c>
      <c r="C35" s="3" t="s">
        <v>195</v>
      </c>
      <c r="D35" s="4">
        <f>'תקציב הנדסה 2019'!D66</f>
        <v>800000</v>
      </c>
      <c r="E35" s="4">
        <f>'תקציב הנדסה 2019'!E66</f>
        <v>800000</v>
      </c>
      <c r="F35" s="4">
        <f>'תקציב הנדסה 2019'!F66</f>
        <v>0</v>
      </c>
      <c r="G35" s="4">
        <f>'תקציב הנדסה 2019'!G66</f>
        <v>200000</v>
      </c>
      <c r="H35" s="4">
        <f>'תקציב הנדסה 2019'!H66</f>
        <v>0</v>
      </c>
      <c r="I35" s="4">
        <f>'תקציב הנדסה 2019'!I66</f>
        <v>0</v>
      </c>
      <c r="J35" s="4">
        <f>'תקציב הנדסה 2019'!J66</f>
        <v>0</v>
      </c>
      <c r="K35" s="4">
        <f>'תקציב הנדסה 2019'!K66</f>
        <v>0</v>
      </c>
      <c r="L35" s="4">
        <f>'תקציב הנדסה 2019'!L66</f>
        <v>0</v>
      </c>
      <c r="M35" s="4">
        <f>'תקציב הנדסה 2019'!M66</f>
        <v>200000</v>
      </c>
      <c r="N35" s="4">
        <f>'תקציב הנדסה 2019'!N66</f>
        <v>0</v>
      </c>
      <c r="O35" s="4">
        <f>'תקציב הנדסה 2019'!O66</f>
        <v>600000</v>
      </c>
      <c r="P35" s="4">
        <f>'תקציב הנדסה 2019'!P66</f>
        <v>200000</v>
      </c>
      <c r="Q35" s="4">
        <f>'תקציב הנדסה 2019'!Q66</f>
        <v>0</v>
      </c>
      <c r="R35" s="4">
        <f>'תקציב הנדסה 2019'!R66</f>
        <v>0</v>
      </c>
      <c r="S35" s="4">
        <f>'תקציב הנדסה 2019'!S66</f>
        <v>0</v>
      </c>
      <c r="T35" s="4">
        <f>'תקציב הנדסה 2019'!T66</f>
        <v>0</v>
      </c>
      <c r="U35" s="4">
        <f>'תקציב הנדסה 2019'!U66</f>
        <v>0</v>
      </c>
      <c r="V35" s="4">
        <f>'תקציב הנדסה 2019'!V66</f>
        <v>0</v>
      </c>
      <c r="W35" s="4">
        <f>'תקציב הנדסה 2019'!W66</f>
        <v>0</v>
      </c>
      <c r="X35" s="4">
        <f>'תקציב הנדסה 2019'!X66</f>
        <v>0</v>
      </c>
      <c r="Y35" s="4">
        <f>'תקציב הנדסה 2019'!Y66</f>
        <v>0</v>
      </c>
      <c r="Z35" s="4">
        <f>'תקציב הנדסה 2019'!Z66</f>
        <v>0</v>
      </c>
      <c r="AA35" s="3" t="s">
        <v>1191</v>
      </c>
      <c r="AB35" s="3">
        <f>'תקציב הנדסה 2019'!AB66</f>
        <v>732000</v>
      </c>
      <c r="AC35" s="21"/>
    </row>
    <row r="36" spans="1:31" s="6" customFormat="1" ht="28">
      <c r="A36" s="3">
        <f t="shared" si="0"/>
        <v>31</v>
      </c>
      <c r="B36" s="3">
        <v>1843</v>
      </c>
      <c r="C36" s="3" t="s">
        <v>196</v>
      </c>
      <c r="D36" s="4">
        <f>'תקציב הנדסה 2019'!D67</f>
        <v>380000</v>
      </c>
      <c r="E36" s="4">
        <f>'תקציב הנדסה 2019'!E67</f>
        <v>380000</v>
      </c>
      <c r="F36" s="4">
        <f>'תקציב הנדסה 2019'!F67</f>
        <v>0</v>
      </c>
      <c r="G36" s="4">
        <f>'תקציב הנדסה 2019'!G67</f>
        <v>70000</v>
      </c>
      <c r="H36" s="4">
        <f>'תקציב הנדסה 2019'!H67</f>
        <v>0</v>
      </c>
      <c r="I36" s="4">
        <f>'תקציב הנדסה 2019'!I67</f>
        <v>1.17</v>
      </c>
      <c r="J36" s="4">
        <f>'תקציב הנדסה 2019'!J67</f>
        <v>0</v>
      </c>
      <c r="K36" s="4">
        <f>'תקציב הנדסה 2019'!K67</f>
        <v>1.17</v>
      </c>
      <c r="L36" s="4">
        <f>'תקציב הנדסה 2019'!L67</f>
        <v>1.17</v>
      </c>
      <c r="M36" s="4">
        <f>'תקציב הנדסה 2019'!M67</f>
        <v>998.83000000000175</v>
      </c>
      <c r="N36" s="4">
        <f>'תקציב הנדסה 2019'!N67</f>
        <v>250000</v>
      </c>
      <c r="O36" s="4">
        <f>'תקציב הנדסה 2019'!O67</f>
        <v>129000</v>
      </c>
      <c r="P36" s="4">
        <f>'תקציב הנדסה 2019'!P67</f>
        <v>69998.83</v>
      </c>
      <c r="Q36" s="4">
        <f>'תקציב הנדסה 2019'!Q67</f>
        <v>0</v>
      </c>
      <c r="R36" s="4">
        <f>'תקציב הנדסה 2019'!R67</f>
        <v>0</v>
      </c>
      <c r="S36" s="4">
        <f>'תקציב הנדסה 2019'!S67</f>
        <v>0</v>
      </c>
      <c r="T36" s="4">
        <f>'תקציב הנדסה 2019'!T67</f>
        <v>69000</v>
      </c>
      <c r="U36" s="4">
        <f>'תקציב הנדסה 2019'!U67</f>
        <v>181000</v>
      </c>
      <c r="V36" s="4">
        <f>'תקציב הנדסה 2019'!V67</f>
        <v>181000</v>
      </c>
      <c r="W36" s="4">
        <f>'תקציב הנדסה 2019'!W67</f>
        <v>0</v>
      </c>
      <c r="X36" s="4">
        <f>'תקציב הנדסה 2019'!X67</f>
        <v>0</v>
      </c>
      <c r="Y36" s="4">
        <f>'תקציב הנדסה 2019'!Y67</f>
        <v>0</v>
      </c>
      <c r="Z36" s="4">
        <f>'תקציב הנדסה 2019'!Z67</f>
        <v>0</v>
      </c>
      <c r="AA36" s="3" t="s">
        <v>662</v>
      </c>
      <c r="AB36" s="3">
        <f>'תקציב הנדסה 2019'!AB67</f>
        <v>732000</v>
      </c>
      <c r="AC36" s="21"/>
      <c r="AD36" s="5"/>
      <c r="AE36" s="5"/>
    </row>
    <row r="37" spans="1:31" s="6" customFormat="1" ht="28">
      <c r="A37" s="3">
        <f t="shared" si="0"/>
        <v>32</v>
      </c>
      <c r="B37" s="3">
        <v>1844</v>
      </c>
      <c r="C37" s="3" t="s">
        <v>197</v>
      </c>
      <c r="D37" s="4">
        <f>'תקציב הנדסה 2019'!D68</f>
        <v>2078338</v>
      </c>
      <c r="E37" s="4">
        <f>'תקציב הנדסה 2019'!E68</f>
        <v>732000</v>
      </c>
      <c r="F37" s="4">
        <f>'תקציב הנדסה 2019'!F68</f>
        <v>1346338</v>
      </c>
      <c r="G37" s="4">
        <f>'תקציב הנדסה 2019'!G68</f>
        <v>70000</v>
      </c>
      <c r="H37" s="4">
        <f>'תקציב הנדסה 2019'!H68</f>
        <v>62477.48</v>
      </c>
      <c r="I37" s="4">
        <f>'תקציב הנדסה 2019'!I68</f>
        <v>0</v>
      </c>
      <c r="J37" s="4">
        <f>'תקציב הנדסה 2019'!J68</f>
        <v>0</v>
      </c>
      <c r="K37" s="4">
        <f>'תקציב הנדסה 2019'!K68</f>
        <v>0</v>
      </c>
      <c r="L37" s="4">
        <f>'תקציב הנדסה 2019'!L68</f>
        <v>62477.48</v>
      </c>
      <c r="M37" s="4">
        <f>'תקציב הנדסה 2019'!M68</f>
        <v>7522.5199999999968</v>
      </c>
      <c r="N37" s="4">
        <f>'תקציב הנדסה 2019'!N68</f>
        <v>2008338</v>
      </c>
      <c r="O37" s="4">
        <f>'תקציב הנדסה 2019'!O68</f>
        <v>0</v>
      </c>
      <c r="P37" s="4">
        <f>'תקציב הנדסה 2019'!P68</f>
        <v>7522.5199999999968</v>
      </c>
      <c r="Q37" s="4">
        <f>'תקציב הנדסה 2019'!Q68</f>
        <v>0</v>
      </c>
      <c r="R37" s="4">
        <f>'תקציב הנדסה 2019'!R68</f>
        <v>0</v>
      </c>
      <c r="S37" s="4">
        <f>'תקציב הנדסה 2019'!S68</f>
        <v>0</v>
      </c>
      <c r="T37" s="4">
        <f>'תקציב הנדסה 2019'!T68</f>
        <v>0</v>
      </c>
      <c r="U37" s="4">
        <f>'תקציב הנדסה 2019'!U68</f>
        <v>2008338</v>
      </c>
      <c r="V37" s="4">
        <f>'תקציב הנדסה 2019'!V68</f>
        <v>753894</v>
      </c>
      <c r="W37" s="4">
        <f>'תקציב הנדסה 2019'!W68</f>
        <v>0</v>
      </c>
      <c r="X37" s="4">
        <f>'תקציב הנדסה 2019'!X68</f>
        <v>0</v>
      </c>
      <c r="Y37" s="4">
        <f>'תקציב הנדסה 2019'!Y68</f>
        <v>0</v>
      </c>
      <c r="Z37" s="4">
        <f>'תקציב הנדסה 2019'!Z68</f>
        <v>1254444</v>
      </c>
      <c r="AA37" s="3" t="s">
        <v>663</v>
      </c>
      <c r="AB37" s="3">
        <f>'תקציב הנדסה 2019'!AB68</f>
        <v>732000</v>
      </c>
      <c r="AC37" s="21"/>
      <c r="AD37" s="5"/>
      <c r="AE37" s="5"/>
    </row>
    <row r="38" spans="1:31" s="5" customFormat="1" ht="70">
      <c r="A38" s="3">
        <f t="shared" si="0"/>
        <v>33</v>
      </c>
      <c r="B38" s="3">
        <v>1937</v>
      </c>
      <c r="C38" s="3" t="s">
        <v>255</v>
      </c>
      <c r="D38" s="4">
        <f>'תקציב הנדסה 2019'!D70</f>
        <v>750000</v>
      </c>
      <c r="E38" s="4">
        <f>'תקציב הנדסה 2019'!E70</f>
        <v>700000</v>
      </c>
      <c r="F38" s="4">
        <f>'תקציב הנדסה 2019'!F70</f>
        <v>50000</v>
      </c>
      <c r="G38" s="4">
        <f>'תקציב הנדסה 2019'!G70</f>
        <v>450000</v>
      </c>
      <c r="H38" s="4">
        <f>'תקציב הנדסה 2019'!H70</f>
        <v>39885</v>
      </c>
      <c r="I38" s="4">
        <f>'תקציב הנדסה 2019'!I70</f>
        <v>261133</v>
      </c>
      <c r="J38" s="4">
        <f>'תקציב הנדסה 2019'!J70</f>
        <v>40357.54</v>
      </c>
      <c r="K38" s="4">
        <f>'תקציב הנדסה 2019'!K70</f>
        <v>301490.53999999998</v>
      </c>
      <c r="L38" s="4">
        <f>'תקציב הנדסה 2019'!L70</f>
        <v>341375.54</v>
      </c>
      <c r="M38" s="4">
        <f>'תקציב הנדסה 2019'!M70</f>
        <v>108624.46000000002</v>
      </c>
      <c r="N38" s="4">
        <f>'תקציב הנדסה 2019'!N70</f>
        <v>300000</v>
      </c>
      <c r="O38" s="4">
        <f>'תקציב הנדסה 2019'!O70</f>
        <v>0</v>
      </c>
      <c r="P38" s="4">
        <f>'תקציב הנדסה 2019'!P70</f>
        <v>108624.46000000002</v>
      </c>
      <c r="Q38" s="4">
        <f>'תקציב הנדסה 2019'!Q70</f>
        <v>0</v>
      </c>
      <c r="R38" s="4">
        <f>'תקציב הנדסה 2019'!R70</f>
        <v>0</v>
      </c>
      <c r="S38" s="4">
        <f>'תקציב הנדסה 2019'!S70</f>
        <v>0</v>
      </c>
      <c r="T38" s="4">
        <f>'תקציב הנדסה 2019'!T70</f>
        <v>0</v>
      </c>
      <c r="U38" s="4">
        <f>'תקציב הנדסה 2019'!U70</f>
        <v>300000</v>
      </c>
      <c r="V38" s="4">
        <f>'תקציב הנדסה 2019'!V70</f>
        <v>300000</v>
      </c>
      <c r="W38" s="4">
        <f>'תקציב הנדסה 2019'!W70</f>
        <v>0</v>
      </c>
      <c r="X38" s="4">
        <f>'תקציב הנדסה 2019'!X70</f>
        <v>0</v>
      </c>
      <c r="Y38" s="4">
        <f>'תקציב הנדסה 2019'!Y70</f>
        <v>0</v>
      </c>
      <c r="Z38" s="4">
        <f>'תקציב הנדסה 2019'!Z70</f>
        <v>0</v>
      </c>
      <c r="AA38" s="3" t="s">
        <v>664</v>
      </c>
      <c r="AB38" s="3">
        <f>'תקציב הנדסה 2019'!AB70</f>
        <v>732000</v>
      </c>
      <c r="AC38" s="21"/>
    </row>
    <row r="39" spans="1:31" s="6" customFormat="1" ht="42">
      <c r="A39" s="3">
        <f t="shared" si="0"/>
        <v>34</v>
      </c>
      <c r="B39" s="3">
        <v>1950</v>
      </c>
      <c r="C39" s="42" t="s">
        <v>666</v>
      </c>
      <c r="D39" s="4">
        <f>'תקציב הנדסה 2019'!D72</f>
        <v>500000</v>
      </c>
      <c r="E39" s="4">
        <f>'תקציב הנדסה 2019'!E72</f>
        <v>500000</v>
      </c>
      <c r="F39" s="4">
        <f>'תקציב הנדסה 2019'!F72</f>
        <v>0</v>
      </c>
      <c r="G39" s="4">
        <f>'תקציב הנדסה 2019'!G72</f>
        <v>100000</v>
      </c>
      <c r="H39" s="4">
        <f>'תקציב הנדסה 2019'!H72</f>
        <v>0</v>
      </c>
      <c r="I39" s="4">
        <f>'תקציב הנדסה 2019'!I72</f>
        <v>0</v>
      </c>
      <c r="J39" s="4">
        <f>'תקציב הנדסה 2019'!J72</f>
        <v>0</v>
      </c>
      <c r="K39" s="4">
        <f>'תקציב הנדסה 2019'!K72</f>
        <v>0</v>
      </c>
      <c r="L39" s="4">
        <f>'תקציב הנדסה 2019'!L72</f>
        <v>0</v>
      </c>
      <c r="M39" s="4">
        <f>'תקציב הנדסה 2019'!M72</f>
        <v>100000</v>
      </c>
      <c r="N39" s="4">
        <f>'תקציב הנדסה 2019'!N72</f>
        <v>100000</v>
      </c>
      <c r="O39" s="4">
        <f>'תקציב הנדסה 2019'!O72</f>
        <v>300000</v>
      </c>
      <c r="P39" s="4">
        <f>'תקציב הנדסה 2019'!P72</f>
        <v>100000</v>
      </c>
      <c r="Q39" s="4">
        <f>'תקציב הנדסה 2019'!Q72</f>
        <v>0</v>
      </c>
      <c r="R39" s="4">
        <f>'תקציב הנדסה 2019'!R72</f>
        <v>0</v>
      </c>
      <c r="S39" s="4">
        <f>'תקציב הנדסה 2019'!S72</f>
        <v>0</v>
      </c>
      <c r="T39" s="4">
        <f>'תקציב הנדסה 2019'!T72</f>
        <v>0</v>
      </c>
      <c r="U39" s="4">
        <f>'תקציב הנדסה 2019'!U72</f>
        <v>100000</v>
      </c>
      <c r="V39" s="4">
        <f>'תקציב הנדסה 2019'!V72</f>
        <v>100000</v>
      </c>
      <c r="W39" s="4">
        <f>'תקציב הנדסה 2019'!W72</f>
        <v>0</v>
      </c>
      <c r="X39" s="4">
        <f>'תקציב הנדסה 2019'!X72</f>
        <v>0</v>
      </c>
      <c r="Y39" s="4">
        <f>'תקציב הנדסה 2019'!Y72</f>
        <v>0</v>
      </c>
      <c r="Z39" s="4">
        <f>'תקציב הנדסה 2019'!Z72</f>
        <v>0</v>
      </c>
      <c r="AA39" s="3" t="s">
        <v>667</v>
      </c>
      <c r="AB39" s="3">
        <f>'תקציב הנדסה 2019'!AB72</f>
        <v>732000</v>
      </c>
      <c r="AC39" s="21"/>
    </row>
    <row r="40" spans="1:31" s="5" customFormat="1">
      <c r="A40" s="3">
        <f t="shared" si="0"/>
        <v>35</v>
      </c>
      <c r="B40" s="3">
        <v>1951</v>
      </c>
      <c r="C40" s="3" t="s">
        <v>256</v>
      </c>
      <c r="D40" s="4">
        <f>'תקציב הנדסה 2019'!D73</f>
        <v>300000</v>
      </c>
      <c r="E40" s="4">
        <f>'תקציב הנדסה 2019'!E73</f>
        <v>300000</v>
      </c>
      <c r="F40" s="4">
        <f>'תקציב הנדסה 2019'!F73</f>
        <v>0</v>
      </c>
      <c r="G40" s="4">
        <f>'תקציב הנדסה 2019'!G73</f>
        <v>160000</v>
      </c>
      <c r="H40" s="4">
        <f>'תקציב הנדסה 2019'!H73</f>
        <v>123575</v>
      </c>
      <c r="I40" s="4">
        <f>'תקציב הנדסה 2019'!I73</f>
        <v>35100</v>
      </c>
      <c r="J40" s="4">
        <f>'תקציב הנדסה 2019'!J73</f>
        <v>0</v>
      </c>
      <c r="K40" s="4">
        <f>'תקציב הנדסה 2019'!K73</f>
        <v>35100</v>
      </c>
      <c r="L40" s="4">
        <f>'תקציב הנדסה 2019'!L73</f>
        <v>158675</v>
      </c>
      <c r="M40" s="4">
        <f>'תקציב הנדסה 2019'!M73</f>
        <v>1325</v>
      </c>
      <c r="N40" s="4">
        <f>'תקציב הנדסה 2019'!N73</f>
        <v>0</v>
      </c>
      <c r="O40" s="4">
        <f>'תקציב הנדסה 2019'!O73</f>
        <v>140000</v>
      </c>
      <c r="P40" s="4">
        <f>'תקציב הנדסה 2019'!P73</f>
        <v>1325</v>
      </c>
      <c r="Q40" s="4">
        <f>'תקציב הנדסה 2019'!Q73</f>
        <v>0</v>
      </c>
      <c r="R40" s="4">
        <f>'תקציב הנדסה 2019'!R73</f>
        <v>0</v>
      </c>
      <c r="S40" s="4">
        <f>'תקציב הנדסה 2019'!S73</f>
        <v>0</v>
      </c>
      <c r="T40" s="4">
        <f>'תקציב הנדסה 2019'!T73</f>
        <v>0</v>
      </c>
      <c r="U40" s="4">
        <f>'תקציב הנדסה 2019'!U73</f>
        <v>0</v>
      </c>
      <c r="V40" s="4">
        <f>'תקציב הנדסה 2019'!V73</f>
        <v>0</v>
      </c>
      <c r="W40" s="4">
        <f>'תקציב הנדסה 2019'!W73</f>
        <v>0</v>
      </c>
      <c r="X40" s="4">
        <f>'תקציב הנדסה 2019'!X73</f>
        <v>0</v>
      </c>
      <c r="Y40" s="4">
        <f>'תקציב הנדסה 2019'!Y73</f>
        <v>0</v>
      </c>
      <c r="Z40" s="4">
        <f>'תקציב הנדסה 2019'!Z73</f>
        <v>0</v>
      </c>
      <c r="AA40" s="3"/>
      <c r="AB40" s="3">
        <f>'תקציב הנדסה 2019'!AB73</f>
        <v>732000</v>
      </c>
      <c r="AC40" s="21"/>
    </row>
    <row r="41" spans="1:31" s="5" customFormat="1" ht="66.75" customHeight="1">
      <c r="A41" s="3">
        <f t="shared" si="0"/>
        <v>36</v>
      </c>
      <c r="B41" s="3">
        <v>2013</v>
      </c>
      <c r="C41" s="3" t="s">
        <v>674</v>
      </c>
      <c r="D41" s="4">
        <f>'תקציב הנדסה 2019'!D80</f>
        <v>1250000</v>
      </c>
      <c r="E41" s="4">
        <f>'תקציב הנדסה 2019'!E80</f>
        <v>1250000</v>
      </c>
      <c r="F41" s="4">
        <f>'תקציב הנדסה 2019'!F80</f>
        <v>0</v>
      </c>
      <c r="G41" s="4">
        <f>'תקציב הנדסה 2019'!G80</f>
        <v>100000</v>
      </c>
      <c r="H41" s="4">
        <f>'תקציב הנדסה 2019'!H80</f>
        <v>0</v>
      </c>
      <c r="I41" s="4">
        <f>'תקציב הנדסה 2019'!I80</f>
        <v>0</v>
      </c>
      <c r="J41" s="4">
        <f>'תקציב הנדסה 2019'!J80</f>
        <v>21060</v>
      </c>
      <c r="K41" s="4">
        <f>'תקציב הנדסה 2019'!K80</f>
        <v>21060</v>
      </c>
      <c r="L41" s="4">
        <f>'תקציב הנדסה 2019'!L80</f>
        <v>21060</v>
      </c>
      <c r="M41" s="4">
        <f>'תקציב הנדסה 2019'!M80</f>
        <v>78940</v>
      </c>
      <c r="N41" s="4">
        <f>'תקציב הנדסה 2019'!N80</f>
        <v>250000</v>
      </c>
      <c r="O41" s="4">
        <f>'תקציב הנדסה 2019'!O80</f>
        <v>900000</v>
      </c>
      <c r="P41" s="4">
        <f>'תקציב הנדסה 2019'!P80</f>
        <v>78940</v>
      </c>
      <c r="Q41" s="4">
        <f>'תקציב הנדסה 2019'!Q80</f>
        <v>0</v>
      </c>
      <c r="R41" s="4">
        <f>'תקציב הנדסה 2019'!R80</f>
        <v>0</v>
      </c>
      <c r="S41" s="4">
        <f>'תקציב הנדסה 2019'!S80</f>
        <v>0</v>
      </c>
      <c r="T41" s="4">
        <f>'תקציב הנדסה 2019'!T80</f>
        <v>0</v>
      </c>
      <c r="U41" s="4">
        <f>'תקציב הנדסה 2019'!U80</f>
        <v>250000</v>
      </c>
      <c r="V41" s="4">
        <f>'תקציב הנדסה 2019'!V80</f>
        <v>250000</v>
      </c>
      <c r="W41" s="4">
        <f>'תקציב הנדסה 2019'!W80</f>
        <v>0</v>
      </c>
      <c r="X41" s="4">
        <f>'תקציב הנדסה 2019'!X80</f>
        <v>0</v>
      </c>
      <c r="Y41" s="4">
        <f>'תקציב הנדסה 2019'!Y80</f>
        <v>0</v>
      </c>
      <c r="Z41" s="4">
        <f>'תקציב הנדסה 2019'!Z80</f>
        <v>0</v>
      </c>
      <c r="AA41" s="3" t="s">
        <v>675</v>
      </c>
      <c r="AB41" s="3">
        <f>'תקציב הנדסה 2019'!AB80</f>
        <v>732000</v>
      </c>
      <c r="AC41" s="21"/>
    </row>
    <row r="42" spans="1:31" s="5" customFormat="1" ht="42">
      <c r="A42" s="3">
        <f t="shared" si="0"/>
        <v>37</v>
      </c>
      <c r="B42" s="3">
        <v>2014</v>
      </c>
      <c r="C42" s="3" t="s">
        <v>676</v>
      </c>
      <c r="D42" s="4">
        <f>'תקציב הנדסה 2019'!D81</f>
        <v>750000</v>
      </c>
      <c r="E42" s="4">
        <f>'תקציב הנדסה 2019'!E81</f>
        <v>100000</v>
      </c>
      <c r="F42" s="4">
        <f>'תקציב הנדסה 2019'!F81</f>
        <v>650000</v>
      </c>
      <c r="G42" s="4">
        <f>'תקציב הנדסה 2019'!G81</f>
        <v>100000</v>
      </c>
      <c r="H42" s="4">
        <f>'תקציב הנדסה 2019'!H81</f>
        <v>0</v>
      </c>
      <c r="I42" s="4">
        <f>'תקציב הנדסה 2019'!I81</f>
        <v>0</v>
      </c>
      <c r="J42" s="4">
        <f>'תקציב הנדסה 2019'!J81</f>
        <v>0</v>
      </c>
      <c r="K42" s="4">
        <f>'תקציב הנדסה 2019'!K81</f>
        <v>0</v>
      </c>
      <c r="L42" s="4">
        <f>'תקציב הנדסה 2019'!L81</f>
        <v>0</v>
      </c>
      <c r="M42" s="4">
        <f>'תקציב הנדסה 2019'!M81</f>
        <v>100000</v>
      </c>
      <c r="N42" s="4">
        <f>'תקציב הנדסה 2019'!N81</f>
        <v>300000</v>
      </c>
      <c r="O42" s="4">
        <f>'תקציב הנדסה 2019'!O81</f>
        <v>350000</v>
      </c>
      <c r="P42" s="4">
        <f>'תקציב הנדסה 2019'!P81</f>
        <v>100000</v>
      </c>
      <c r="Q42" s="4">
        <f>'תקציב הנדסה 2019'!Q81</f>
        <v>0</v>
      </c>
      <c r="R42" s="4">
        <f>'תקציב הנדסה 2019'!R81</f>
        <v>0</v>
      </c>
      <c r="S42" s="4">
        <f>'תקציב הנדסה 2019'!S81</f>
        <v>0</v>
      </c>
      <c r="T42" s="4">
        <f>'תקציב הנדסה 2019'!T81</f>
        <v>0</v>
      </c>
      <c r="U42" s="4">
        <f>'תקציב הנדסה 2019'!U81</f>
        <v>300000</v>
      </c>
      <c r="V42" s="4">
        <f>'תקציב הנדסה 2019'!V81</f>
        <v>300000</v>
      </c>
      <c r="W42" s="4">
        <f>'תקציב הנדסה 2019'!W81</f>
        <v>0</v>
      </c>
      <c r="X42" s="4">
        <f>'תקציב הנדסה 2019'!X81</f>
        <v>0</v>
      </c>
      <c r="Y42" s="4">
        <f>'תקציב הנדסה 2019'!Y81</f>
        <v>0</v>
      </c>
      <c r="Z42" s="4">
        <f>'תקציב הנדסה 2019'!Z81</f>
        <v>0</v>
      </c>
      <c r="AA42" s="3" t="s">
        <v>677</v>
      </c>
      <c r="AB42" s="3">
        <f>'תקציב הנדסה 2019'!AB81</f>
        <v>732000</v>
      </c>
      <c r="AC42" s="21"/>
    </row>
    <row r="43" spans="1:31" s="5" customFormat="1">
      <c r="A43" s="3">
        <f t="shared" ref="A43:A49" si="1">1+A42</f>
        <v>38</v>
      </c>
      <c r="B43" s="3">
        <f>'תקציב הנדסה 2019'!B92</f>
        <v>2112</v>
      </c>
      <c r="C43" s="3" t="s">
        <v>690</v>
      </c>
      <c r="D43" s="4">
        <f>'תקציב הנדסה 2019'!D92</f>
        <v>7650000</v>
      </c>
      <c r="E43" s="4">
        <f>'תקציב הנדסה 2019'!E92</f>
        <v>0</v>
      </c>
      <c r="F43" s="4">
        <f>'תקציב הנדסה 2019'!F92</f>
        <v>7650000</v>
      </c>
      <c r="G43" s="4">
        <f>'תקציב הנדסה 2019'!G92</f>
        <v>0</v>
      </c>
      <c r="H43" s="4">
        <f>'תקציב הנדסה 2019'!H92</f>
        <v>0</v>
      </c>
      <c r="I43" s="4">
        <f>'תקציב הנדסה 2019'!I92</f>
        <v>0</v>
      </c>
      <c r="J43" s="4">
        <f>'תקציב הנדסה 2019'!J92</f>
        <v>0</v>
      </c>
      <c r="K43" s="4">
        <f>'תקציב הנדסה 2019'!K92</f>
        <v>0</v>
      </c>
      <c r="L43" s="4">
        <f>'תקציב הנדסה 2019'!L92</f>
        <v>0</v>
      </c>
      <c r="M43" s="4">
        <f>'תקציב הנדסה 2019'!M92</f>
        <v>0</v>
      </c>
      <c r="N43" s="4">
        <f>'תקציב הנדסה 2019'!N92</f>
        <v>160000</v>
      </c>
      <c r="O43" s="4">
        <f>'תקציב הנדסה 2019'!O92</f>
        <v>7490000</v>
      </c>
      <c r="P43" s="4">
        <f>'תקציב הנדסה 2019'!P92</f>
        <v>0</v>
      </c>
      <c r="Q43" s="4">
        <f>'תקציב הנדסה 2019'!Q92</f>
        <v>0</v>
      </c>
      <c r="R43" s="4">
        <f>'תקציב הנדסה 2019'!R92</f>
        <v>0</v>
      </c>
      <c r="S43" s="4">
        <f>'תקציב הנדסה 2019'!S92</f>
        <v>0</v>
      </c>
      <c r="T43" s="4">
        <f>'תקציב הנדסה 2019'!T92</f>
        <v>0</v>
      </c>
      <c r="U43" s="4">
        <f>'תקציב הנדסה 2019'!U92</f>
        <v>160000</v>
      </c>
      <c r="V43" s="4">
        <f>'תקציב הנדסה 2019'!V92</f>
        <v>160000</v>
      </c>
      <c r="W43" s="4">
        <f>'תקציב הנדסה 2019'!W92</f>
        <v>0</v>
      </c>
      <c r="X43" s="4">
        <f>'תקציב הנדסה 2019'!X92</f>
        <v>0</v>
      </c>
      <c r="Y43" s="4">
        <f>'תקציב הנדסה 2019'!Y92</f>
        <v>0</v>
      </c>
      <c r="Z43" s="4">
        <f>'תקציב הנדסה 2019'!Z92</f>
        <v>0</v>
      </c>
      <c r="AA43" s="596" t="s">
        <v>1115</v>
      </c>
      <c r="AB43" s="3">
        <f>'תקציב הנדסה 2019'!AB92</f>
        <v>732000</v>
      </c>
      <c r="AC43" s="21"/>
    </row>
    <row r="44" spans="1:31" s="6" customFormat="1">
      <c r="A44" s="3">
        <f t="shared" si="1"/>
        <v>39</v>
      </c>
      <c r="B44" s="3">
        <f>'תקציב הנדסה 2019'!B93</f>
        <v>2113</v>
      </c>
      <c r="C44" s="3" t="s">
        <v>691</v>
      </c>
      <c r="D44" s="4">
        <f>'תקציב הנדסה 2019'!D93</f>
        <v>2550000</v>
      </c>
      <c r="E44" s="4">
        <f>'תקציב הנדסה 2019'!E93</f>
        <v>0</v>
      </c>
      <c r="F44" s="4">
        <f>'תקציב הנדסה 2019'!F93</f>
        <v>2550000</v>
      </c>
      <c r="G44" s="4">
        <f>'תקציב הנדסה 2019'!G93</f>
        <v>0</v>
      </c>
      <c r="H44" s="4">
        <f>'תקציב הנדסה 2019'!H93</f>
        <v>0</v>
      </c>
      <c r="I44" s="4">
        <f>'תקציב הנדסה 2019'!I93</f>
        <v>0</v>
      </c>
      <c r="J44" s="4">
        <f>'תקציב הנדסה 2019'!J93</f>
        <v>0</v>
      </c>
      <c r="K44" s="4">
        <f>'תקציב הנדסה 2019'!K93</f>
        <v>0</v>
      </c>
      <c r="L44" s="4">
        <f>'תקציב הנדסה 2019'!L93</f>
        <v>0</v>
      </c>
      <c r="M44" s="4">
        <f>'תקציב הנדסה 2019'!M93</f>
        <v>0</v>
      </c>
      <c r="N44" s="4">
        <f>'תקציב הנדסה 2019'!N93</f>
        <v>1000000</v>
      </c>
      <c r="O44" s="4">
        <f>'תקציב הנדסה 2019'!O93</f>
        <v>1550000</v>
      </c>
      <c r="P44" s="4">
        <f>'תקציב הנדסה 2019'!P93</f>
        <v>0</v>
      </c>
      <c r="Q44" s="4">
        <f>'תקציב הנדסה 2019'!Q93</f>
        <v>0</v>
      </c>
      <c r="R44" s="4">
        <f>'תקציב הנדסה 2019'!R93</f>
        <v>0</v>
      </c>
      <c r="S44" s="4">
        <f>'תקציב הנדסה 2019'!S93</f>
        <v>0</v>
      </c>
      <c r="T44" s="4">
        <f>'תקציב הנדסה 2019'!T93</f>
        <v>0</v>
      </c>
      <c r="U44" s="4">
        <f>'תקציב הנדסה 2019'!U93</f>
        <v>1000000</v>
      </c>
      <c r="V44" s="4">
        <f>'תקציב הנדסה 2019'!V93</f>
        <v>1000000</v>
      </c>
      <c r="W44" s="4">
        <f>'תקציב הנדסה 2019'!W93</f>
        <v>0</v>
      </c>
      <c r="X44" s="4">
        <f>'תקציב הנדסה 2019'!X93</f>
        <v>0</v>
      </c>
      <c r="Y44" s="4">
        <f>'תקציב הנדסה 2019'!Y93</f>
        <v>0</v>
      </c>
      <c r="Z44" s="4">
        <f>'תקציב הנדסה 2019'!Z93</f>
        <v>0</v>
      </c>
      <c r="AA44" s="596" t="s">
        <v>1114</v>
      </c>
      <c r="AB44" s="3">
        <f>'תקציב הנדסה 2019'!AB93</f>
        <v>732000</v>
      </c>
      <c r="AC44" s="21"/>
      <c r="AD44" s="5"/>
      <c r="AE44" s="5"/>
    </row>
    <row r="45" spans="1:31" s="5" customFormat="1" ht="70">
      <c r="A45" s="3">
        <f t="shared" si="1"/>
        <v>40</v>
      </c>
      <c r="B45" s="3">
        <f>'תקציב הנדסה 2019'!B94</f>
        <v>2114</v>
      </c>
      <c r="C45" s="3" t="s">
        <v>1117</v>
      </c>
      <c r="D45" s="4">
        <f>'תקציב הנדסה 2019'!D94</f>
        <v>1450000</v>
      </c>
      <c r="E45" s="4">
        <f>'תקציב הנדסה 2019'!E94</f>
        <v>0</v>
      </c>
      <c r="F45" s="4">
        <f>'תקציב הנדסה 2019'!F94</f>
        <v>1450000</v>
      </c>
      <c r="G45" s="4">
        <f>'תקציב הנדסה 2019'!G94</f>
        <v>0</v>
      </c>
      <c r="H45" s="4">
        <f>'תקציב הנדסה 2019'!H94</f>
        <v>0</v>
      </c>
      <c r="I45" s="4">
        <f>'תקציב הנדסה 2019'!I94</f>
        <v>0</v>
      </c>
      <c r="J45" s="4">
        <f>'תקציב הנדסה 2019'!J94</f>
        <v>0</v>
      </c>
      <c r="K45" s="4">
        <f>'תקציב הנדסה 2019'!K94</f>
        <v>0</v>
      </c>
      <c r="L45" s="4">
        <f>'תקציב הנדסה 2019'!L94</f>
        <v>0</v>
      </c>
      <c r="M45" s="4">
        <f>'תקציב הנדסה 2019'!M94</f>
        <v>0</v>
      </c>
      <c r="N45" s="4">
        <f>'תקציב הנדסה 2019'!N94</f>
        <v>700000</v>
      </c>
      <c r="O45" s="4">
        <f>'תקציב הנדסה 2019'!O94</f>
        <v>750000</v>
      </c>
      <c r="P45" s="4">
        <f>'תקציב הנדסה 2019'!P94</f>
        <v>0</v>
      </c>
      <c r="Q45" s="4">
        <f>'תקציב הנדסה 2019'!Q94</f>
        <v>0</v>
      </c>
      <c r="R45" s="4">
        <f>'תקציב הנדסה 2019'!R94</f>
        <v>0</v>
      </c>
      <c r="S45" s="4">
        <f>'תקציב הנדסה 2019'!S94</f>
        <v>0</v>
      </c>
      <c r="T45" s="4">
        <f>'תקציב הנדסה 2019'!T94</f>
        <v>0</v>
      </c>
      <c r="U45" s="4">
        <f>'תקציב הנדסה 2019'!U94</f>
        <v>700000</v>
      </c>
      <c r="V45" s="4">
        <f>'תקציב הנדסה 2019'!V94</f>
        <v>700000</v>
      </c>
      <c r="W45" s="4">
        <f>'תקציב הנדסה 2019'!W94</f>
        <v>0</v>
      </c>
      <c r="X45" s="4">
        <f>'תקציב הנדסה 2019'!X94</f>
        <v>0</v>
      </c>
      <c r="Y45" s="4">
        <f>'תקציב הנדסה 2019'!Y94</f>
        <v>0</v>
      </c>
      <c r="Z45" s="4">
        <f>'תקציב הנדסה 2019'!Z94</f>
        <v>0</v>
      </c>
      <c r="AA45" s="3" t="s">
        <v>1116</v>
      </c>
      <c r="AB45" s="3">
        <f>'תקציב הנדסה 2019'!AB94</f>
        <v>732000</v>
      </c>
      <c r="AC45" s="21"/>
    </row>
    <row r="46" spans="1:31" s="6" customFormat="1" ht="56">
      <c r="A46" s="3">
        <f t="shared" si="1"/>
        <v>41</v>
      </c>
      <c r="B46" s="3">
        <f>'תקציב הנדסה 2019'!B95</f>
        <v>2115</v>
      </c>
      <c r="C46" s="3" t="s">
        <v>692</v>
      </c>
      <c r="D46" s="4">
        <f>'תקציב הנדסה 2019'!D95</f>
        <v>3100000</v>
      </c>
      <c r="E46" s="4">
        <f>'תקציב הנדסה 2019'!E95</f>
        <v>0</v>
      </c>
      <c r="F46" s="4">
        <f>'תקציב הנדסה 2019'!F95</f>
        <v>3100000</v>
      </c>
      <c r="G46" s="4">
        <f>'תקציב הנדסה 2019'!G95</f>
        <v>0</v>
      </c>
      <c r="H46" s="4">
        <f>'תקציב הנדסה 2019'!H95</f>
        <v>0</v>
      </c>
      <c r="I46" s="4">
        <f>'תקציב הנדסה 2019'!I95</f>
        <v>0</v>
      </c>
      <c r="J46" s="4">
        <f>'תקציב הנדסה 2019'!J95</f>
        <v>0</v>
      </c>
      <c r="K46" s="4">
        <f>'תקציב הנדסה 2019'!K95</f>
        <v>0</v>
      </c>
      <c r="L46" s="4">
        <f>'תקציב הנדסה 2019'!L95</f>
        <v>0</v>
      </c>
      <c r="M46" s="4">
        <f>'תקציב הנדסה 2019'!M95</f>
        <v>0</v>
      </c>
      <c r="N46" s="4">
        <f>'תקציב הנדסה 2019'!N95</f>
        <v>500000</v>
      </c>
      <c r="O46" s="4">
        <f>'תקציב הנדסה 2019'!O95</f>
        <v>2600000</v>
      </c>
      <c r="P46" s="4">
        <f>'תקציב הנדסה 2019'!P95</f>
        <v>0</v>
      </c>
      <c r="Q46" s="4">
        <f>'תקציב הנדסה 2019'!Q95</f>
        <v>0</v>
      </c>
      <c r="R46" s="4">
        <f>'תקציב הנדסה 2019'!R95</f>
        <v>0</v>
      </c>
      <c r="S46" s="4">
        <f>'תקציב הנדסה 2019'!S95</f>
        <v>0</v>
      </c>
      <c r="T46" s="4">
        <f>'תקציב הנדסה 2019'!T95</f>
        <v>0</v>
      </c>
      <c r="U46" s="4">
        <f>'תקציב הנדסה 2019'!U95</f>
        <v>500000</v>
      </c>
      <c r="V46" s="4">
        <f>'תקציב הנדסה 2019'!V95</f>
        <v>500000</v>
      </c>
      <c r="W46" s="4">
        <f>'תקציב הנדסה 2019'!W95</f>
        <v>0</v>
      </c>
      <c r="X46" s="4">
        <f>'תקציב הנדסה 2019'!X95</f>
        <v>0</v>
      </c>
      <c r="Y46" s="4">
        <f>'תקציב הנדסה 2019'!Y95</f>
        <v>0</v>
      </c>
      <c r="Z46" s="4">
        <f>'תקציב הנדסה 2019'!Z95</f>
        <v>0</v>
      </c>
      <c r="AA46" s="3" t="s">
        <v>1118</v>
      </c>
      <c r="AB46" s="3">
        <f>'תקציב הנדסה 2019'!AB95</f>
        <v>732000</v>
      </c>
      <c r="AC46" s="21"/>
      <c r="AD46" s="5"/>
      <c r="AE46" s="5"/>
    </row>
    <row r="47" spans="1:31" s="5" customFormat="1" ht="42">
      <c r="A47" s="3">
        <f t="shared" si="1"/>
        <v>42</v>
      </c>
      <c r="B47" s="3">
        <f>'תקציב הנדסה 2019'!B96</f>
        <v>2116</v>
      </c>
      <c r="C47" s="3" t="s">
        <v>693</v>
      </c>
      <c r="D47" s="4">
        <f>'תקציב הנדסה 2019'!D96</f>
        <v>1700000</v>
      </c>
      <c r="E47" s="4">
        <f>'תקציב הנדסה 2019'!E96</f>
        <v>0</v>
      </c>
      <c r="F47" s="4">
        <f>'תקציב הנדסה 2019'!F96</f>
        <v>1700000</v>
      </c>
      <c r="G47" s="4">
        <f>'תקציב הנדסה 2019'!G96</f>
        <v>0</v>
      </c>
      <c r="H47" s="4">
        <f>'תקציב הנדסה 2019'!H96</f>
        <v>0</v>
      </c>
      <c r="I47" s="4">
        <f>'תקציב הנדסה 2019'!I96</f>
        <v>0</v>
      </c>
      <c r="J47" s="4">
        <f>'תקציב הנדסה 2019'!J96</f>
        <v>0</v>
      </c>
      <c r="K47" s="4">
        <f>'תקציב הנדסה 2019'!K96</f>
        <v>0</v>
      </c>
      <c r="L47" s="4">
        <f>'תקציב הנדסה 2019'!L96</f>
        <v>0</v>
      </c>
      <c r="M47" s="4">
        <f>'תקציב הנדסה 2019'!M96</f>
        <v>0</v>
      </c>
      <c r="N47" s="4">
        <f>'תקציב הנדסה 2019'!N96</f>
        <v>500000</v>
      </c>
      <c r="O47" s="4">
        <f>'תקציב הנדסה 2019'!O96</f>
        <v>1200000</v>
      </c>
      <c r="P47" s="4">
        <f>'תקציב הנדסה 2019'!P96</f>
        <v>0</v>
      </c>
      <c r="Q47" s="4">
        <f>'תקציב הנדסה 2019'!Q96</f>
        <v>0</v>
      </c>
      <c r="R47" s="4">
        <f>'תקציב הנדסה 2019'!R96</f>
        <v>0</v>
      </c>
      <c r="S47" s="4">
        <f>'תקציב הנדסה 2019'!S96</f>
        <v>0</v>
      </c>
      <c r="T47" s="4">
        <f>'תקציב הנדסה 2019'!T96</f>
        <v>0</v>
      </c>
      <c r="U47" s="4">
        <f>'תקציב הנדסה 2019'!U96</f>
        <v>500000</v>
      </c>
      <c r="V47" s="4">
        <f>'תקציב הנדסה 2019'!V96</f>
        <v>500000</v>
      </c>
      <c r="W47" s="4">
        <f>'תקציב הנדסה 2019'!W96</f>
        <v>0</v>
      </c>
      <c r="X47" s="4">
        <f>'תקציב הנדסה 2019'!X96</f>
        <v>0</v>
      </c>
      <c r="Y47" s="4">
        <f>'תקציב הנדסה 2019'!Y96</f>
        <v>0</v>
      </c>
      <c r="Z47" s="4">
        <f>'תקציב הנדסה 2019'!Z96</f>
        <v>0</v>
      </c>
      <c r="AA47" s="3" t="s">
        <v>694</v>
      </c>
      <c r="AB47" s="3">
        <f>'תקציב הנדסה 2019'!AB96</f>
        <v>732000</v>
      </c>
      <c r="AC47" s="21"/>
      <c r="AD47" s="6"/>
      <c r="AE47" s="6"/>
    </row>
    <row r="48" spans="1:31" s="5" customFormat="1">
      <c r="A48" s="3">
        <f t="shared" si="1"/>
        <v>43</v>
      </c>
      <c r="B48" s="3">
        <f>'תקציב הנדסה 2019'!B97</f>
        <v>2117</v>
      </c>
      <c r="C48" s="3" t="s">
        <v>695</v>
      </c>
      <c r="D48" s="4">
        <f>'תקציב הנדסה 2019'!D97</f>
        <v>600000</v>
      </c>
      <c r="E48" s="4">
        <f>'תקציב הנדסה 2019'!E97</f>
        <v>0</v>
      </c>
      <c r="F48" s="4">
        <f>'תקציב הנדסה 2019'!F97</f>
        <v>600000</v>
      </c>
      <c r="G48" s="4">
        <f>'תקציב הנדסה 2019'!G97</f>
        <v>0</v>
      </c>
      <c r="H48" s="4">
        <f>'תקציב הנדסה 2019'!H97</f>
        <v>0</v>
      </c>
      <c r="I48" s="4">
        <f>'תקציב הנדסה 2019'!I97</f>
        <v>0</v>
      </c>
      <c r="J48" s="4">
        <f>'תקציב הנדסה 2019'!J97</f>
        <v>0</v>
      </c>
      <c r="K48" s="4">
        <f>'תקציב הנדסה 2019'!K97</f>
        <v>0</v>
      </c>
      <c r="L48" s="4">
        <f>'תקציב הנדסה 2019'!L97</f>
        <v>0</v>
      </c>
      <c r="M48" s="4">
        <f>'תקציב הנדסה 2019'!M97</f>
        <v>0</v>
      </c>
      <c r="N48" s="4">
        <f>'תקציב הנדסה 2019'!N97</f>
        <v>300000</v>
      </c>
      <c r="O48" s="4">
        <f>'תקציב הנדסה 2019'!O97</f>
        <v>300000</v>
      </c>
      <c r="P48" s="4">
        <f>'תקציב הנדסה 2019'!P97</f>
        <v>0</v>
      </c>
      <c r="Q48" s="4">
        <f>'תקציב הנדסה 2019'!Q97</f>
        <v>0</v>
      </c>
      <c r="R48" s="4">
        <f>'תקציב הנדסה 2019'!R97</f>
        <v>0</v>
      </c>
      <c r="S48" s="4">
        <f>'תקציב הנדסה 2019'!S97</f>
        <v>0</v>
      </c>
      <c r="T48" s="4">
        <f>'תקציב הנדסה 2019'!T97</f>
        <v>0</v>
      </c>
      <c r="U48" s="4">
        <f>'תקציב הנדסה 2019'!U97</f>
        <v>300000</v>
      </c>
      <c r="V48" s="4">
        <f>'תקציב הנדסה 2019'!V97</f>
        <v>300000</v>
      </c>
      <c r="W48" s="4">
        <f>'תקציב הנדסה 2019'!W97</f>
        <v>0</v>
      </c>
      <c r="X48" s="4">
        <f>'תקציב הנדסה 2019'!X97</f>
        <v>0</v>
      </c>
      <c r="Y48" s="4">
        <f>'תקציב הנדסה 2019'!Y97</f>
        <v>0</v>
      </c>
      <c r="Z48" s="4">
        <f>'תקציב הנדסה 2019'!Z97</f>
        <v>0</v>
      </c>
      <c r="AA48" s="596" t="s">
        <v>1114</v>
      </c>
      <c r="AB48" s="3">
        <f>'תקציב הנדסה 2019'!AB97</f>
        <v>732000</v>
      </c>
      <c r="AC48" s="21"/>
      <c r="AD48" s="6"/>
      <c r="AE48" s="6"/>
    </row>
    <row r="49" spans="1:31" s="5" customFormat="1" ht="42">
      <c r="A49" s="3">
        <f t="shared" si="1"/>
        <v>44</v>
      </c>
      <c r="B49" s="3">
        <f>'תקציב הנדסה 2019'!B100</f>
        <v>2120</v>
      </c>
      <c r="C49" s="3" t="s">
        <v>1198</v>
      </c>
      <c r="D49" s="4">
        <f>'תקציב הנדסה 2019'!D100</f>
        <v>1000000</v>
      </c>
      <c r="E49" s="4">
        <f>'תקציב הנדסה 2019'!E100</f>
        <v>0</v>
      </c>
      <c r="F49" s="4">
        <f>'תקציב הנדסה 2019'!F100</f>
        <v>1000000</v>
      </c>
      <c r="G49" s="4">
        <f>'תקציב הנדסה 2019'!G100</f>
        <v>0</v>
      </c>
      <c r="H49" s="4">
        <f>'תקציב הנדסה 2019'!H100</f>
        <v>0</v>
      </c>
      <c r="I49" s="4">
        <f>'תקציב הנדסה 2019'!I100</f>
        <v>0</v>
      </c>
      <c r="J49" s="4">
        <f>'תקציב הנדסה 2019'!J100</f>
        <v>0</v>
      </c>
      <c r="K49" s="4">
        <f>'תקציב הנדסה 2019'!K100</f>
        <v>0</v>
      </c>
      <c r="L49" s="4">
        <f>'תקציב הנדסה 2019'!L100</f>
        <v>0</v>
      </c>
      <c r="M49" s="4">
        <f>'תקציב הנדסה 2019'!M100</f>
        <v>0</v>
      </c>
      <c r="N49" s="4">
        <f>'תקציב הנדסה 2019'!N100</f>
        <v>1000000</v>
      </c>
      <c r="O49" s="4">
        <f>'תקציב הנדסה 2019'!O100</f>
        <v>0</v>
      </c>
      <c r="P49" s="4">
        <f>'תקציב הנדסה 2019'!P100</f>
        <v>0</v>
      </c>
      <c r="Q49" s="4">
        <f>'תקציב הנדסה 2019'!Q100</f>
        <v>0</v>
      </c>
      <c r="R49" s="4">
        <f>'תקציב הנדסה 2019'!R100</f>
        <v>0</v>
      </c>
      <c r="S49" s="4">
        <f>'תקציב הנדסה 2019'!S100</f>
        <v>0</v>
      </c>
      <c r="T49" s="4">
        <f>'תקציב הנדסה 2019'!T100</f>
        <v>0</v>
      </c>
      <c r="U49" s="4">
        <f>'תקציב הנדסה 2019'!U100</f>
        <v>1000000</v>
      </c>
      <c r="V49" s="4">
        <f>'תקציב הנדסה 2019'!V100</f>
        <v>1000000</v>
      </c>
      <c r="W49" s="4">
        <f>'תקציב הנדסה 2019'!W100</f>
        <v>0</v>
      </c>
      <c r="X49" s="4">
        <f>'תקציב הנדסה 2019'!X100</f>
        <v>0</v>
      </c>
      <c r="Y49" s="4">
        <f>'תקציב הנדסה 2019'!Y100</f>
        <v>0</v>
      </c>
      <c r="Z49" s="4">
        <f>'תקציב הנדסה 2019'!Z100</f>
        <v>0</v>
      </c>
      <c r="AA49" s="3" t="s">
        <v>1197</v>
      </c>
      <c r="AB49" s="3">
        <f>'תקציב הנדסה 2019'!AB100</f>
        <v>732000</v>
      </c>
      <c r="AC49" s="21"/>
      <c r="AD49" s="6"/>
      <c r="AE49" s="6"/>
    </row>
    <row r="50" spans="1:31" s="101" customFormat="1">
      <c r="A50" s="44"/>
      <c r="B50" s="44"/>
      <c r="C50" s="44" t="s">
        <v>1201</v>
      </c>
      <c r="D50" s="125">
        <f>SUM(D6:D49)</f>
        <v>102543578</v>
      </c>
      <c r="E50" s="125">
        <f t="shared" ref="E50:Z50" si="2">SUM(E6:E49)</f>
        <v>81177240</v>
      </c>
      <c r="F50" s="125">
        <f t="shared" si="2"/>
        <v>21366338</v>
      </c>
      <c r="G50" s="125">
        <f t="shared" si="2"/>
        <v>52840157</v>
      </c>
      <c r="H50" s="125">
        <f t="shared" si="2"/>
        <v>35714578.140000008</v>
      </c>
      <c r="I50" s="125">
        <f t="shared" si="2"/>
        <v>3914308.3499999996</v>
      </c>
      <c r="J50" s="125">
        <f t="shared" si="2"/>
        <v>2661142.36</v>
      </c>
      <c r="K50" s="125">
        <f t="shared" si="2"/>
        <v>6575450.7100000009</v>
      </c>
      <c r="L50" s="125">
        <f t="shared" si="2"/>
        <v>42290028.849999994</v>
      </c>
      <c r="M50" s="125">
        <f t="shared" si="2"/>
        <v>7547128.1500000004</v>
      </c>
      <c r="N50" s="125">
        <f t="shared" si="2"/>
        <v>18385580</v>
      </c>
      <c r="O50" s="125">
        <f t="shared" si="2"/>
        <v>34320841</v>
      </c>
      <c r="P50" s="125">
        <f t="shared" si="2"/>
        <v>10550128.15</v>
      </c>
      <c r="Q50" s="125">
        <f t="shared" si="2"/>
        <v>300000</v>
      </c>
      <c r="R50" s="125">
        <f t="shared" si="2"/>
        <v>0</v>
      </c>
      <c r="S50" s="125">
        <f t="shared" si="2"/>
        <v>300000</v>
      </c>
      <c r="T50" s="125">
        <f t="shared" si="2"/>
        <v>3303000</v>
      </c>
      <c r="U50" s="125">
        <f t="shared" si="2"/>
        <v>15082580</v>
      </c>
      <c r="V50" s="125">
        <f t="shared" si="2"/>
        <v>13153003</v>
      </c>
      <c r="W50" s="125">
        <f t="shared" si="2"/>
        <v>0</v>
      </c>
      <c r="X50" s="125">
        <f t="shared" si="2"/>
        <v>0</v>
      </c>
      <c r="Y50" s="125">
        <f t="shared" si="2"/>
        <v>0</v>
      </c>
      <c r="Z50" s="125">
        <f t="shared" si="2"/>
        <v>1929577</v>
      </c>
      <c r="AA50" s="44"/>
      <c r="AB50" s="44"/>
      <c r="AC50" s="656"/>
    </row>
    <row r="51" spans="1:31" s="5" customFormat="1" ht="28">
      <c r="A51" s="3">
        <f>A49+1</f>
        <v>45</v>
      </c>
      <c r="B51" s="3">
        <v>507</v>
      </c>
      <c r="C51" s="3" t="s">
        <v>54</v>
      </c>
      <c r="D51" s="4">
        <f>'תקציב הנדסה 2019'!D8</f>
        <v>2310000</v>
      </c>
      <c r="E51" s="4">
        <f>'תקציב הנדסה 2019'!E8</f>
        <v>2310000</v>
      </c>
      <c r="F51" s="4">
        <f>'תקציב הנדסה 2019'!F8</f>
        <v>0</v>
      </c>
      <c r="G51" s="4">
        <f>'תקציב הנדסה 2019'!G8</f>
        <v>1765000</v>
      </c>
      <c r="H51" s="4">
        <f>'תקציב הנדסה 2019'!H8</f>
        <v>1653104.23</v>
      </c>
      <c r="I51" s="4">
        <f>'תקציב הנדסה 2019'!I8</f>
        <v>0</v>
      </c>
      <c r="J51" s="4">
        <f>'תקציב הנדסה 2019'!J8</f>
        <v>0</v>
      </c>
      <c r="K51" s="4">
        <f>'תקציב הנדסה 2019'!K8</f>
        <v>0</v>
      </c>
      <c r="L51" s="4">
        <f>'תקציב הנדסה 2019'!L8</f>
        <v>1653104.23</v>
      </c>
      <c r="M51" s="4">
        <f>'תקציב הנדסה 2019'!M8</f>
        <v>111895.77000000002</v>
      </c>
      <c r="N51" s="4">
        <f>'תקציב הנדסה 2019'!N8</f>
        <v>50000</v>
      </c>
      <c r="O51" s="4">
        <f>'תקציב הנדסה 2019'!O8</f>
        <v>495000</v>
      </c>
      <c r="P51" s="4">
        <f>'תקציב הנדסה 2019'!P8</f>
        <v>111895.77000000002</v>
      </c>
      <c r="Q51" s="4">
        <f>'תקציב הנדסה 2019'!Q8</f>
        <v>0</v>
      </c>
      <c r="R51" s="4">
        <f>'תקציב הנדסה 2019'!R8</f>
        <v>0</v>
      </c>
      <c r="S51" s="4">
        <f>'תקציב הנדסה 2019'!S8</f>
        <v>0</v>
      </c>
      <c r="T51" s="4">
        <f>'תקציב הנדסה 2019'!T8</f>
        <v>0</v>
      </c>
      <c r="U51" s="4">
        <f>'תקציב הנדסה 2019'!U8</f>
        <v>50000</v>
      </c>
      <c r="V51" s="4">
        <f>'תקציב הנדסה 2019'!V8</f>
        <v>50000</v>
      </c>
      <c r="W51" s="4">
        <f>'תקציב הנדסה 2019'!W8</f>
        <v>0</v>
      </c>
      <c r="X51" s="4">
        <f>'תקציב הנדסה 2019'!X8</f>
        <v>0</v>
      </c>
      <c r="Y51" s="4">
        <f>'תקציב הנדסה 2019'!Y8</f>
        <v>0</v>
      </c>
      <c r="Z51" s="4">
        <f>'תקציב הנדסה 2019'!Z8</f>
        <v>0</v>
      </c>
      <c r="AA51" s="3" t="s">
        <v>637</v>
      </c>
      <c r="AB51" s="3">
        <f>'תקציב הנדסה 2019'!AB8</f>
        <v>742000</v>
      </c>
      <c r="AC51" s="21"/>
      <c r="AD51" s="6"/>
      <c r="AE51" s="6"/>
    </row>
    <row r="52" spans="1:31" s="5" customFormat="1">
      <c r="A52" s="3">
        <f t="shared" ref="A52:A82" si="3">A51+1</f>
        <v>46</v>
      </c>
      <c r="B52" s="3">
        <v>546</v>
      </c>
      <c r="C52" s="3" t="s">
        <v>55</v>
      </c>
      <c r="D52" s="4">
        <f>'תקציב הנדסה 2019'!D9</f>
        <v>2920000</v>
      </c>
      <c r="E52" s="4">
        <f>'תקציב הנדסה 2019'!E9</f>
        <v>5850000</v>
      </c>
      <c r="F52" s="4">
        <f>'תקציב הנדסה 2019'!F9</f>
        <v>-2930000</v>
      </c>
      <c r="G52" s="4">
        <f>'תקציב הנדסה 2019'!G9</f>
        <v>2950000</v>
      </c>
      <c r="H52" s="4">
        <f>'תקציב הנדסה 2019'!H9</f>
        <v>2895703.4</v>
      </c>
      <c r="I52" s="4">
        <f>'תקציב הנדסה 2019'!I9</f>
        <v>0</v>
      </c>
      <c r="J52" s="4">
        <f>'תקציב הנדסה 2019'!J9</f>
        <v>18053</v>
      </c>
      <c r="K52" s="4">
        <f>'תקציב הנדסה 2019'!K9</f>
        <v>18053</v>
      </c>
      <c r="L52" s="4">
        <f>'תקציב הנדסה 2019'!L9</f>
        <v>2913756.4</v>
      </c>
      <c r="M52" s="4">
        <f>'תקציב הנדסה 2019'!M9</f>
        <v>6243.6000000000931</v>
      </c>
      <c r="N52" s="4">
        <f>'תקציב הנדסה 2019'!N9</f>
        <v>0</v>
      </c>
      <c r="O52" s="4">
        <f>'תקציב הנדסה 2019'!O9</f>
        <v>0</v>
      </c>
      <c r="P52" s="4">
        <f>'תקציב הנדסה 2019'!P9</f>
        <v>36243.600000000093</v>
      </c>
      <c r="Q52" s="4">
        <f>'תקציב הנדסה 2019'!Q9</f>
        <v>0</v>
      </c>
      <c r="R52" s="4">
        <f>'תקציב הנדסה 2019'!R9</f>
        <v>0</v>
      </c>
      <c r="S52" s="4">
        <f>'תקציב הנדסה 2019'!S9</f>
        <v>0</v>
      </c>
      <c r="T52" s="4">
        <f>'תקציב הנדסה 2019'!T9</f>
        <v>30000</v>
      </c>
      <c r="U52" s="4">
        <f>'תקציב הנדסה 2019'!U9</f>
        <v>-30000</v>
      </c>
      <c r="V52" s="4">
        <f>'תקציב הנדסה 2019'!V9</f>
        <v>-30000</v>
      </c>
      <c r="W52" s="4">
        <f>'תקציב הנדסה 2019'!W9</f>
        <v>0</v>
      </c>
      <c r="X52" s="4">
        <f>'תקציב הנדסה 2019'!X9</f>
        <v>0</v>
      </c>
      <c r="Y52" s="4">
        <f>'תקציב הנדסה 2019'!Y9</f>
        <v>0</v>
      </c>
      <c r="Z52" s="4">
        <f>'תקציב הנדסה 2019'!Z9</f>
        <v>0</v>
      </c>
      <c r="AA52" s="3"/>
      <c r="AB52" s="3">
        <f>'תקציב הנדסה 2019'!AB9</f>
        <v>742000</v>
      </c>
      <c r="AC52" s="21"/>
    </row>
    <row r="53" spans="1:31" s="5" customFormat="1" ht="56">
      <c r="A53" s="3">
        <f t="shared" si="3"/>
        <v>47</v>
      </c>
      <c r="B53" s="3">
        <v>592</v>
      </c>
      <c r="C53" s="3" t="s">
        <v>29</v>
      </c>
      <c r="D53" s="4">
        <f>'תקציב הנדסה 2019'!D10</f>
        <v>54893000</v>
      </c>
      <c r="E53" s="4">
        <f>'תקציב הנדסה 2019'!E10</f>
        <v>54893000</v>
      </c>
      <c r="F53" s="4">
        <f>'תקציב הנדסה 2019'!F10</f>
        <v>0</v>
      </c>
      <c r="G53" s="4">
        <f>'תקציב הנדסה 2019'!G10</f>
        <v>18720000</v>
      </c>
      <c r="H53" s="4">
        <f>'תקציב הנדסה 2019'!H10</f>
        <v>17302170.350000001</v>
      </c>
      <c r="I53" s="4">
        <f>'תקציב הנדסה 2019'!I10</f>
        <v>149113.19</v>
      </c>
      <c r="J53" s="4">
        <f>'תקציב הנדסה 2019'!J10</f>
        <v>14350</v>
      </c>
      <c r="K53" s="4">
        <f>'תקציב הנדסה 2019'!K10</f>
        <v>163463.19</v>
      </c>
      <c r="L53" s="4">
        <f>'תקציב הנדסה 2019'!L10</f>
        <v>17465633.540000003</v>
      </c>
      <c r="M53" s="4">
        <f>'תקציב הנדסה 2019'!M10</f>
        <v>1254366.4599999972</v>
      </c>
      <c r="N53" s="4">
        <f>'תקציב הנדסה 2019'!N10</f>
        <v>3900000</v>
      </c>
      <c r="O53" s="4">
        <f>'תקציב הנדסה 2019'!O10</f>
        <v>32273000</v>
      </c>
      <c r="P53" s="4">
        <f>'תקציב הנדסה 2019'!P10</f>
        <v>1254366.4599999972</v>
      </c>
      <c r="Q53" s="4">
        <f>'תקציב הנדסה 2019'!Q10</f>
        <v>0</v>
      </c>
      <c r="R53" s="4">
        <f>'תקציב הנדסה 2019'!R10</f>
        <v>0</v>
      </c>
      <c r="S53" s="4">
        <f>'תקציב הנדסה 2019'!S10</f>
        <v>0</v>
      </c>
      <c r="T53" s="4">
        <f>'תקציב הנדסה 2019'!T10</f>
        <v>0</v>
      </c>
      <c r="U53" s="4">
        <f>'תקציב הנדסה 2019'!U10</f>
        <v>3900000</v>
      </c>
      <c r="V53" s="4">
        <f>'תקציב הנדסה 2019'!V10</f>
        <v>3900000</v>
      </c>
      <c r="W53" s="4">
        <f>'תקציב הנדסה 2019'!W10</f>
        <v>0</v>
      </c>
      <c r="X53" s="4">
        <f>'תקציב הנדסה 2019'!X10</f>
        <v>0</v>
      </c>
      <c r="Y53" s="4">
        <f>'תקציב הנדסה 2019'!Y10</f>
        <v>0</v>
      </c>
      <c r="Z53" s="4">
        <f>'תקציב הנדסה 2019'!Z10</f>
        <v>0</v>
      </c>
      <c r="AA53" s="3" t="s">
        <v>638</v>
      </c>
      <c r="AB53" s="3">
        <f>'תקציב הנדסה 2019'!AB10</f>
        <v>742000</v>
      </c>
      <c r="AC53" s="21"/>
      <c r="AD53" s="6"/>
      <c r="AE53" s="6"/>
    </row>
    <row r="54" spans="1:31" s="6" customFormat="1">
      <c r="A54" s="3">
        <f t="shared" si="3"/>
        <v>48</v>
      </c>
      <c r="B54" s="3">
        <v>631</v>
      </c>
      <c r="C54" s="3" t="s">
        <v>66</v>
      </c>
      <c r="D54" s="4">
        <f>'תקציב הנדסה 2019'!D13</f>
        <v>7059000</v>
      </c>
      <c r="E54" s="4">
        <f>'תקציב הנדסה 2019'!E13</f>
        <v>9005000</v>
      </c>
      <c r="F54" s="4">
        <f>'תקציב הנדסה 2019'!F13</f>
        <v>-1946000</v>
      </c>
      <c r="G54" s="4">
        <f>'תקציב הנדסה 2019'!G13</f>
        <v>7305000</v>
      </c>
      <c r="H54" s="4">
        <f>'תקציב הנדסה 2019'!H13</f>
        <v>7030689.3200000003</v>
      </c>
      <c r="I54" s="4">
        <f>'תקציב הנדסה 2019'!I13</f>
        <v>0</v>
      </c>
      <c r="J54" s="4">
        <f>'תקציב הנדסה 2019'!J13</f>
        <v>27554.53</v>
      </c>
      <c r="K54" s="4">
        <f>'תקציב הנדסה 2019'!K13</f>
        <v>27554.53</v>
      </c>
      <c r="L54" s="4">
        <f>'תקציב הנדסה 2019'!L13</f>
        <v>7058243.8500000006</v>
      </c>
      <c r="M54" s="4">
        <f>'תקציב הנדסה 2019'!M13</f>
        <v>756.14999999944121</v>
      </c>
      <c r="N54" s="4">
        <f>'תקציב הנדסה 2019'!N13</f>
        <v>0</v>
      </c>
      <c r="O54" s="4">
        <f>'תקציב הנדסה 2019'!O13</f>
        <v>0</v>
      </c>
      <c r="P54" s="4">
        <f>'תקציב הנדסה 2019'!P13</f>
        <v>246756.14999999944</v>
      </c>
      <c r="Q54" s="4">
        <f>'תקציב הנדסה 2019'!Q13</f>
        <v>0</v>
      </c>
      <c r="R54" s="4">
        <f>'תקציב הנדסה 2019'!R13</f>
        <v>0</v>
      </c>
      <c r="S54" s="4">
        <f>'תקציב הנדסה 2019'!S13</f>
        <v>0</v>
      </c>
      <c r="T54" s="4">
        <f>'תקציב הנדסה 2019'!T13</f>
        <v>246000</v>
      </c>
      <c r="U54" s="4">
        <f>'תקציב הנדסה 2019'!U13</f>
        <v>-246000</v>
      </c>
      <c r="V54" s="4">
        <f>'תקציב הנדסה 2019'!V13</f>
        <v>-246000</v>
      </c>
      <c r="W54" s="4">
        <f>'תקציב הנדסה 2019'!W13</f>
        <v>0</v>
      </c>
      <c r="X54" s="4">
        <f>'תקציב הנדסה 2019'!X13</f>
        <v>0</v>
      </c>
      <c r="Y54" s="4">
        <f>'תקציב הנדסה 2019'!Y13</f>
        <v>0</v>
      </c>
      <c r="Z54" s="4">
        <f>'תקציב הנדסה 2019'!Z13</f>
        <v>0</v>
      </c>
      <c r="AA54" s="3"/>
      <c r="AB54" s="3">
        <f>'תקציב הנדסה 2019'!AB13</f>
        <v>742000</v>
      </c>
      <c r="AC54" s="21"/>
      <c r="AD54" s="5"/>
      <c r="AE54" s="5"/>
    </row>
    <row r="55" spans="1:31" s="6" customFormat="1" ht="42">
      <c r="A55" s="3">
        <f t="shared" si="3"/>
        <v>49</v>
      </c>
      <c r="B55" s="3">
        <v>638</v>
      </c>
      <c r="C55" s="3" t="s">
        <v>56</v>
      </c>
      <c r="D55" s="4">
        <f>'תקציב הנדסה 2019'!D14</f>
        <v>7000000</v>
      </c>
      <c r="E55" s="4">
        <f>'תקציב הנדסה 2019'!E14</f>
        <v>7000000</v>
      </c>
      <c r="F55" s="4">
        <f>'תקציב הנדסה 2019'!F14</f>
        <v>0</v>
      </c>
      <c r="G55" s="4">
        <f>'תקציב הנדסה 2019'!G14</f>
        <v>4600000</v>
      </c>
      <c r="H55" s="4">
        <f>'תקציב הנדסה 2019'!H14</f>
        <v>3454838.96</v>
      </c>
      <c r="I55" s="4">
        <f>'תקציב הנדסה 2019'!I14</f>
        <v>74548.7</v>
      </c>
      <c r="J55" s="4">
        <f>'תקציב הנדסה 2019'!J14</f>
        <v>7765.64</v>
      </c>
      <c r="K55" s="4">
        <f>'תקציב הנדסה 2019'!K14</f>
        <v>82314.34</v>
      </c>
      <c r="L55" s="4">
        <f>'תקציב הנדסה 2019'!L14</f>
        <v>3537153.3</v>
      </c>
      <c r="M55" s="4">
        <f>'תקציב הנדסה 2019'!M14</f>
        <v>1062846.7000000002</v>
      </c>
      <c r="N55" s="4">
        <f>'תקציב הנדסה 2019'!N14</f>
        <v>0</v>
      </c>
      <c r="O55" s="4">
        <f>'תקציב הנדסה 2019'!O14</f>
        <v>2400000</v>
      </c>
      <c r="P55" s="4">
        <f>'תקציב הנדסה 2019'!P14</f>
        <v>1062846.7000000002</v>
      </c>
      <c r="Q55" s="4">
        <f>'תקציב הנדסה 2019'!Q14</f>
        <v>0</v>
      </c>
      <c r="R55" s="4">
        <f>'תקציב הנדסה 2019'!R14</f>
        <v>0</v>
      </c>
      <c r="S55" s="4">
        <f>'תקציב הנדסה 2019'!S14</f>
        <v>0</v>
      </c>
      <c r="T55" s="4">
        <f>'תקציב הנדסה 2019'!T14</f>
        <v>0</v>
      </c>
      <c r="U55" s="4">
        <f>'תקציב הנדסה 2019'!U14</f>
        <v>0</v>
      </c>
      <c r="V55" s="4">
        <f>'תקציב הנדסה 2019'!V14</f>
        <v>0</v>
      </c>
      <c r="W55" s="4">
        <f>'תקציב הנדסה 2019'!W14</f>
        <v>0</v>
      </c>
      <c r="X55" s="4">
        <f>'תקציב הנדסה 2019'!X14</f>
        <v>0</v>
      </c>
      <c r="Y55" s="4">
        <f>'תקציב הנדסה 2019'!Y14</f>
        <v>0</v>
      </c>
      <c r="Z55" s="4">
        <f>'תקציב הנדסה 2019'!Z14</f>
        <v>0</v>
      </c>
      <c r="AA55" s="3" t="s">
        <v>1175</v>
      </c>
      <c r="AB55" s="3">
        <f>'תקציב הנדסה 2019'!AB14</f>
        <v>742000</v>
      </c>
      <c r="AC55" s="21"/>
      <c r="AD55" s="5"/>
      <c r="AE55" s="5"/>
    </row>
    <row r="56" spans="1:31" s="6" customFormat="1" ht="42">
      <c r="A56" s="3">
        <f t="shared" si="3"/>
        <v>50</v>
      </c>
      <c r="B56" s="3">
        <v>1018</v>
      </c>
      <c r="C56" s="3" t="s">
        <v>30</v>
      </c>
      <c r="D56" s="4">
        <f>'תקציב הנדסה 2019'!D15</f>
        <v>31900000</v>
      </c>
      <c r="E56" s="4">
        <f>'תקציב הנדסה 2019'!E15</f>
        <v>31900000</v>
      </c>
      <c r="F56" s="4">
        <f>'תקציב הנדסה 2019'!F15</f>
        <v>0</v>
      </c>
      <c r="G56" s="4">
        <f>'תקציב הנדסה 2019'!G15</f>
        <v>5100000</v>
      </c>
      <c r="H56" s="4">
        <f>'תקציב הנדסה 2019'!H15</f>
        <v>3059586.79</v>
      </c>
      <c r="I56" s="4">
        <f>'תקציב הנדסה 2019'!I15</f>
        <v>84192.99</v>
      </c>
      <c r="J56" s="4">
        <f>'תקציב הנדסה 2019'!J15</f>
        <v>4379.93</v>
      </c>
      <c r="K56" s="4">
        <f>'תקציב הנדסה 2019'!K15</f>
        <v>88572.920000000013</v>
      </c>
      <c r="L56" s="4">
        <f>'תקציב הנדסה 2019'!L15</f>
        <v>3148159.71</v>
      </c>
      <c r="M56" s="4">
        <f>'תקציב הנדסה 2019'!M15</f>
        <v>201840.29000000004</v>
      </c>
      <c r="N56" s="4">
        <f>'תקציב הנדסה 2019'!N15</f>
        <v>1750000</v>
      </c>
      <c r="O56" s="4">
        <f>'תקציב הנדסה 2019'!O15</f>
        <v>26800000</v>
      </c>
      <c r="P56" s="4">
        <f>'תקציב הנדסה 2019'!P15</f>
        <v>1951840.29</v>
      </c>
      <c r="Q56" s="4">
        <f>'תקציב הנדסה 2019'!Q15</f>
        <v>0</v>
      </c>
      <c r="R56" s="4">
        <f>'תקציב הנדסה 2019'!R15</f>
        <v>0</v>
      </c>
      <c r="S56" s="4">
        <f>'תקציב הנדסה 2019'!S15</f>
        <v>0</v>
      </c>
      <c r="T56" s="4">
        <f>'תקציב הנדסה 2019'!T15</f>
        <v>1750000</v>
      </c>
      <c r="U56" s="4">
        <f>'תקציב הנדסה 2019'!U15</f>
        <v>0</v>
      </c>
      <c r="V56" s="4">
        <f>'תקציב הנדסה 2019'!V15</f>
        <v>0</v>
      </c>
      <c r="W56" s="4">
        <f>'תקציב הנדסה 2019'!W15</f>
        <v>0</v>
      </c>
      <c r="X56" s="4">
        <f>'תקציב הנדסה 2019'!X15</f>
        <v>0</v>
      </c>
      <c r="Y56" s="4">
        <f>'תקציב הנדסה 2019'!Y15</f>
        <v>0</v>
      </c>
      <c r="Z56" s="4">
        <f>'תקציב הנדסה 2019'!Z15</f>
        <v>0</v>
      </c>
      <c r="AA56" s="3" t="s">
        <v>640</v>
      </c>
      <c r="AB56" s="3">
        <f>'תקציב הנדסה 2019'!AB15</f>
        <v>742000</v>
      </c>
      <c r="AC56" s="21"/>
      <c r="AD56" s="5"/>
      <c r="AE56" s="5"/>
    </row>
    <row r="57" spans="1:31" s="5" customFormat="1" ht="28">
      <c r="A57" s="3">
        <f t="shared" si="3"/>
        <v>51</v>
      </c>
      <c r="B57" s="3">
        <v>1129</v>
      </c>
      <c r="C57" s="3" t="s">
        <v>38</v>
      </c>
      <c r="D57" s="4">
        <f>'תקציב הנדסה 2019'!D17</f>
        <v>7000000</v>
      </c>
      <c r="E57" s="4">
        <f>'תקציב הנדסה 2019'!E17</f>
        <v>7000000</v>
      </c>
      <c r="F57" s="4">
        <f>'תקציב הנדסה 2019'!F17</f>
        <v>0</v>
      </c>
      <c r="G57" s="4">
        <f>'תקציב הנדסה 2019'!G17</f>
        <v>5991771</v>
      </c>
      <c r="H57" s="4">
        <f>'תקציב הנדסה 2019'!H17</f>
        <v>5044953.63</v>
      </c>
      <c r="I57" s="4">
        <f>'תקציב הנדסה 2019'!I17</f>
        <v>0</v>
      </c>
      <c r="J57" s="4">
        <f>'תקציב הנדסה 2019'!J17</f>
        <v>55293.760000000002</v>
      </c>
      <c r="K57" s="4">
        <f>'תקציב הנדסה 2019'!K17</f>
        <v>55293.760000000002</v>
      </c>
      <c r="L57" s="4">
        <f>'תקציב הנדסה 2019'!L17</f>
        <v>5100247.3899999997</v>
      </c>
      <c r="M57" s="4">
        <f>'תקציב הנדסה 2019'!M17</f>
        <v>141523.61000000034</v>
      </c>
      <c r="N57" s="4">
        <f>'תקציב הנדסה 2019'!N17</f>
        <v>750000</v>
      </c>
      <c r="O57" s="4">
        <f>'תקציב הנדסה 2019'!O17</f>
        <v>1008229</v>
      </c>
      <c r="P57" s="4">
        <f>'תקציב הנדסה 2019'!P17</f>
        <v>891523.61000000034</v>
      </c>
      <c r="Q57" s="4">
        <f>'תקציב הנדסה 2019'!Q17</f>
        <v>0</v>
      </c>
      <c r="R57" s="4">
        <f>'תקציב הנדסה 2019'!R17</f>
        <v>0</v>
      </c>
      <c r="S57" s="4">
        <f>'תקציב הנדסה 2019'!S17</f>
        <v>0</v>
      </c>
      <c r="T57" s="4">
        <f>'תקציב הנדסה 2019'!T17</f>
        <v>750000</v>
      </c>
      <c r="U57" s="4">
        <f>'תקציב הנדסה 2019'!U17</f>
        <v>0</v>
      </c>
      <c r="V57" s="4">
        <f>'תקציב הנדסה 2019'!V17</f>
        <v>0</v>
      </c>
      <c r="W57" s="4">
        <f>'תקציב הנדסה 2019'!W17</f>
        <v>0</v>
      </c>
      <c r="X57" s="4">
        <f>'תקציב הנדסה 2019'!X17</f>
        <v>0</v>
      </c>
      <c r="Y57" s="4">
        <f>'תקציב הנדסה 2019'!Y17</f>
        <v>0</v>
      </c>
      <c r="Z57" s="4">
        <f>'תקציב הנדסה 2019'!Z17</f>
        <v>0</v>
      </c>
      <c r="AA57" s="3" t="s">
        <v>1176</v>
      </c>
      <c r="AB57" s="3">
        <f>'תקציב הנדסה 2019'!AB17</f>
        <v>742000</v>
      </c>
      <c r="AC57" s="21"/>
    </row>
    <row r="58" spans="1:31" s="6" customFormat="1" ht="28">
      <c r="A58" s="3">
        <f t="shared" si="3"/>
        <v>52</v>
      </c>
      <c r="B58" s="3">
        <v>1314</v>
      </c>
      <c r="C58" s="3" t="s">
        <v>57</v>
      </c>
      <c r="D58" s="4">
        <f>'תקציב הנדסה 2019'!D19</f>
        <v>3200000</v>
      </c>
      <c r="E58" s="4">
        <f>'תקציב הנדסה 2019'!E19</f>
        <v>3200000</v>
      </c>
      <c r="F58" s="4">
        <f>'תקציב הנדסה 2019'!F19</f>
        <v>0</v>
      </c>
      <c r="G58" s="4">
        <f>'תקציב הנדסה 2019'!G19</f>
        <v>400000</v>
      </c>
      <c r="H58" s="4">
        <f>'תקציב הנדסה 2019'!H19</f>
        <v>359314.49</v>
      </c>
      <c r="I58" s="4">
        <f>'תקציב הנדסה 2019'!I19</f>
        <v>0</v>
      </c>
      <c r="J58" s="4">
        <f>'תקציב הנדסה 2019'!J19</f>
        <v>0</v>
      </c>
      <c r="K58" s="4">
        <f>'תקציב הנדסה 2019'!K19</f>
        <v>0</v>
      </c>
      <c r="L58" s="4">
        <f>'תקציב הנדסה 2019'!L19</f>
        <v>359314.49</v>
      </c>
      <c r="M58" s="4">
        <f>'תקציב הנדסה 2019'!M19</f>
        <v>40685.510000000009</v>
      </c>
      <c r="N58" s="4">
        <f>'תקציב הנדסה 2019'!N19</f>
        <v>250000</v>
      </c>
      <c r="O58" s="4">
        <f>'תקציב הנדסה 2019'!O19</f>
        <v>2550000</v>
      </c>
      <c r="P58" s="4">
        <f>'תקציב הנדסה 2019'!P19</f>
        <v>40685.510000000009</v>
      </c>
      <c r="Q58" s="4">
        <f>'תקציב הנדסה 2019'!Q19</f>
        <v>0</v>
      </c>
      <c r="R58" s="4">
        <f>'תקציב הנדסה 2019'!R19</f>
        <v>0</v>
      </c>
      <c r="S58" s="4">
        <f>'תקציב הנדסה 2019'!S19</f>
        <v>0</v>
      </c>
      <c r="T58" s="4">
        <f>'תקציב הנדסה 2019'!T19</f>
        <v>0</v>
      </c>
      <c r="U58" s="4">
        <f>'תקציב הנדסה 2019'!U19</f>
        <v>250000</v>
      </c>
      <c r="V58" s="4">
        <f>'תקציב הנדסה 2019'!V19</f>
        <v>250000</v>
      </c>
      <c r="W58" s="4">
        <f>'תקציב הנדסה 2019'!W19</f>
        <v>0</v>
      </c>
      <c r="X58" s="4">
        <f>'תקציב הנדסה 2019'!X19</f>
        <v>0</v>
      </c>
      <c r="Y58" s="4">
        <f>'תקציב הנדסה 2019'!Y19</f>
        <v>0</v>
      </c>
      <c r="Z58" s="4">
        <f>'תקציב הנדסה 2019'!Z19</f>
        <v>0</v>
      </c>
      <c r="AA58" s="3" t="s">
        <v>1244</v>
      </c>
      <c r="AB58" s="3">
        <f>'תקציב הנדסה 2019'!AB19</f>
        <v>742000</v>
      </c>
      <c r="AC58" s="21"/>
      <c r="AD58" s="5"/>
      <c r="AE58" s="5"/>
    </row>
    <row r="59" spans="1:31" s="5" customFormat="1" ht="42">
      <c r="A59" s="3">
        <f t="shared" si="3"/>
        <v>53</v>
      </c>
      <c r="B59" s="3">
        <v>1322</v>
      </c>
      <c r="C59" s="3" t="s">
        <v>42</v>
      </c>
      <c r="D59" s="4">
        <f>'תקציב הנדסה 2019'!D21</f>
        <v>18500000</v>
      </c>
      <c r="E59" s="4">
        <f>'תקציב הנדסה 2019'!E21</f>
        <v>18500000</v>
      </c>
      <c r="F59" s="4">
        <f>'תקציב הנדסה 2019'!F21</f>
        <v>0</v>
      </c>
      <c r="G59" s="4">
        <f>'תקציב הנדסה 2019'!G21</f>
        <v>11050000</v>
      </c>
      <c r="H59" s="4">
        <f>'תקציב הנדסה 2019'!H21</f>
        <v>9625168.5899999999</v>
      </c>
      <c r="I59" s="4">
        <f>'תקציב הנדסה 2019'!I21</f>
        <v>92414.99</v>
      </c>
      <c r="J59" s="4">
        <f>'תקציב הנדסה 2019'!J21</f>
        <v>0</v>
      </c>
      <c r="K59" s="4">
        <f>'תקציב הנדסה 2019'!K21</f>
        <v>92414.99</v>
      </c>
      <c r="L59" s="4">
        <f>'תקציב הנדסה 2019'!L21</f>
        <v>9717583.5800000001</v>
      </c>
      <c r="M59" s="4">
        <f>'תקציב הנדסה 2019'!M21</f>
        <v>132416.41999999993</v>
      </c>
      <c r="N59" s="4">
        <f>'תקציב הנדסה 2019'!N21</f>
        <v>1000000</v>
      </c>
      <c r="O59" s="4">
        <f>'תקציב הנדסה 2019'!O21</f>
        <v>7650000</v>
      </c>
      <c r="P59" s="4">
        <f>'תקציב הנדסה 2019'!P21</f>
        <v>1332416.42</v>
      </c>
      <c r="Q59" s="4">
        <f>'תקציב הנדסה 2019'!Q21</f>
        <v>0</v>
      </c>
      <c r="R59" s="4">
        <f>'תקציב הנדסה 2019'!R21</f>
        <v>0</v>
      </c>
      <c r="S59" s="4">
        <f>'תקציב הנדסה 2019'!S21</f>
        <v>0</v>
      </c>
      <c r="T59" s="4">
        <f>'תקציב הנדסה 2019'!T21</f>
        <v>1200000</v>
      </c>
      <c r="U59" s="4">
        <f>'תקציב הנדסה 2019'!U21</f>
        <v>-200000</v>
      </c>
      <c r="V59" s="4">
        <f>'תקציב הנדסה 2019'!V21</f>
        <v>-200000</v>
      </c>
      <c r="W59" s="4">
        <f>'תקציב הנדסה 2019'!W21</f>
        <v>0</v>
      </c>
      <c r="X59" s="4">
        <f>'תקציב הנדסה 2019'!X21</f>
        <v>0</v>
      </c>
      <c r="Y59" s="4">
        <f>'תקציב הנדסה 2019'!Y21</f>
        <v>0</v>
      </c>
      <c r="Z59" s="4">
        <f>'תקציב הנדסה 2019'!Z21</f>
        <v>0</v>
      </c>
      <c r="AA59" s="3" t="s">
        <v>642</v>
      </c>
      <c r="AB59" s="3">
        <f>'תקציב הנדסה 2019'!AB21</f>
        <v>742000</v>
      </c>
      <c r="AC59" s="21"/>
    </row>
    <row r="60" spans="1:31" s="5" customFormat="1">
      <c r="A60" s="3">
        <f t="shared" si="3"/>
        <v>54</v>
      </c>
      <c r="B60" s="3">
        <v>1324</v>
      </c>
      <c r="C60" s="3" t="s">
        <v>59</v>
      </c>
      <c r="D60" s="4">
        <f>'תקציב הנדסה 2019'!D22</f>
        <v>180000</v>
      </c>
      <c r="E60" s="4">
        <f>'תקציב הנדסה 2019'!E22</f>
        <v>180000</v>
      </c>
      <c r="F60" s="4">
        <f>'תקציב הנדסה 2019'!F22</f>
        <v>0</v>
      </c>
      <c r="G60" s="4">
        <f>'תקציב הנדסה 2019'!G22</f>
        <v>180000</v>
      </c>
      <c r="H60" s="4">
        <f>'תקציב הנדסה 2019'!H22</f>
        <v>120629.48</v>
      </c>
      <c r="I60" s="4">
        <f>'תקציב הנדסה 2019'!I22</f>
        <v>0</v>
      </c>
      <c r="J60" s="4">
        <f>'תקציב הנדסה 2019'!J22</f>
        <v>56544</v>
      </c>
      <c r="K60" s="4">
        <f>'תקציב הנדסה 2019'!K22</f>
        <v>56544</v>
      </c>
      <c r="L60" s="4">
        <f>'תקציב הנדסה 2019'!L22</f>
        <v>177173.47999999998</v>
      </c>
      <c r="M60" s="4">
        <f>'תקציב הנדסה 2019'!M22</f>
        <v>2826.5200000000186</v>
      </c>
      <c r="N60" s="4">
        <f>'תקציב הנדסה 2019'!N22</f>
        <v>0</v>
      </c>
      <c r="O60" s="4">
        <f>'תקציב הנדסה 2019'!O22</f>
        <v>0</v>
      </c>
      <c r="P60" s="4">
        <f>'תקציב הנדסה 2019'!P22</f>
        <v>2826.5200000000186</v>
      </c>
      <c r="Q60" s="4">
        <f>'תקציב הנדסה 2019'!Q22</f>
        <v>0</v>
      </c>
      <c r="R60" s="4">
        <f>'תקציב הנדסה 2019'!R22</f>
        <v>0</v>
      </c>
      <c r="S60" s="4">
        <f>'תקציב הנדסה 2019'!S22</f>
        <v>0</v>
      </c>
      <c r="T60" s="4">
        <f>'תקציב הנדסה 2019'!T22</f>
        <v>0</v>
      </c>
      <c r="U60" s="4">
        <f>'תקציב הנדסה 2019'!U22</f>
        <v>0</v>
      </c>
      <c r="V60" s="4">
        <f>'תקציב הנדסה 2019'!V22</f>
        <v>0</v>
      </c>
      <c r="W60" s="4">
        <f>'תקציב הנדסה 2019'!W22</f>
        <v>0</v>
      </c>
      <c r="X60" s="4">
        <f>'תקציב הנדסה 2019'!X22</f>
        <v>0</v>
      </c>
      <c r="Y60" s="4">
        <f>'תקציב הנדסה 2019'!Y22</f>
        <v>0</v>
      </c>
      <c r="Z60" s="4">
        <f>'תקציב הנדסה 2019'!Z22</f>
        <v>0</v>
      </c>
      <c r="AA60" s="3"/>
      <c r="AB60" s="3">
        <f>'תקציב הנדסה 2019'!AB22</f>
        <v>742000</v>
      </c>
      <c r="AC60" s="21"/>
      <c r="AD60" s="6"/>
      <c r="AE60" s="6"/>
    </row>
    <row r="61" spans="1:31" s="6" customFormat="1" ht="42">
      <c r="A61" s="3">
        <f t="shared" si="3"/>
        <v>55</v>
      </c>
      <c r="B61" s="3">
        <v>1363</v>
      </c>
      <c r="C61" s="3" t="s">
        <v>43</v>
      </c>
      <c r="D61" s="4">
        <f>'תקציב הנדסה 2019'!D24</f>
        <v>15500000</v>
      </c>
      <c r="E61" s="4">
        <f>'תקציב הנדסה 2019'!E24</f>
        <v>15500000</v>
      </c>
      <c r="F61" s="4">
        <f>'תקציב הנדסה 2019'!F24</f>
        <v>0</v>
      </c>
      <c r="G61" s="4">
        <f>'תקציב הנדסה 2019'!G24</f>
        <v>6050000</v>
      </c>
      <c r="H61" s="4">
        <f>'תקציב הנדסה 2019'!H24</f>
        <v>898457</v>
      </c>
      <c r="I61" s="4">
        <f>'תקציב הנדסה 2019'!I24</f>
        <v>91890.9</v>
      </c>
      <c r="J61" s="4">
        <f>'תקציב הנדסה 2019'!J24</f>
        <v>402974</v>
      </c>
      <c r="K61" s="4">
        <f>'תקציב הנדסה 2019'!K24</f>
        <v>494864.9</v>
      </c>
      <c r="L61" s="4">
        <f>'תקציב הנדסה 2019'!L24</f>
        <v>1393321.9</v>
      </c>
      <c r="M61" s="4">
        <f>'תקציב הנדסה 2019'!M24</f>
        <v>656678.09999999963</v>
      </c>
      <c r="N61" s="4">
        <f>'תקציב הנדסה 2019'!N24</f>
        <v>6000000</v>
      </c>
      <c r="O61" s="4">
        <f>'תקציב הנדסה 2019'!O24</f>
        <v>7450000</v>
      </c>
      <c r="P61" s="4">
        <f>'תקציב הנדסה 2019'!P24</f>
        <v>4656678.0999999996</v>
      </c>
      <c r="Q61" s="4">
        <f>'תקציב הנדסה 2019'!Q24</f>
        <v>0</v>
      </c>
      <c r="R61" s="4">
        <f>'תקציב הנדסה 2019'!R24</f>
        <v>0</v>
      </c>
      <c r="S61" s="4">
        <f>'תקציב הנדסה 2019'!S24</f>
        <v>0</v>
      </c>
      <c r="T61" s="4">
        <f>'תקציב הנדסה 2019'!T24</f>
        <v>4000000</v>
      </c>
      <c r="U61" s="4">
        <f>'תקציב הנדסה 2019'!U24</f>
        <v>2000000</v>
      </c>
      <c r="V61" s="4">
        <f>'תקציב הנדסה 2019'!V24</f>
        <v>2000000</v>
      </c>
      <c r="W61" s="4">
        <f>'תקציב הנדסה 2019'!W24</f>
        <v>0</v>
      </c>
      <c r="X61" s="4">
        <f>'תקציב הנדסה 2019'!X24</f>
        <v>0</v>
      </c>
      <c r="Y61" s="4">
        <f>'תקציב הנדסה 2019'!Y24</f>
        <v>0</v>
      </c>
      <c r="Z61" s="4">
        <f>'תקציב הנדסה 2019'!Z24</f>
        <v>0</v>
      </c>
      <c r="AA61" s="3" t="s">
        <v>1247</v>
      </c>
      <c r="AB61" s="3">
        <f>'תקציב הנדסה 2019'!AB24</f>
        <v>742000</v>
      </c>
      <c r="AC61" s="21"/>
    </row>
    <row r="62" spans="1:31" s="5" customFormat="1" ht="28">
      <c r="A62" s="3">
        <f t="shared" si="3"/>
        <v>56</v>
      </c>
      <c r="B62" s="3">
        <v>1366</v>
      </c>
      <c r="C62" s="3" t="s">
        <v>44</v>
      </c>
      <c r="D62" s="4">
        <f>'תקציב הנדסה 2019'!D25</f>
        <v>1500000</v>
      </c>
      <c r="E62" s="4">
        <f>'תקציב הנדסה 2019'!E25</f>
        <v>1500000</v>
      </c>
      <c r="F62" s="4">
        <f>'תקציב הנדסה 2019'!F25</f>
        <v>0</v>
      </c>
      <c r="G62" s="4">
        <f>'תקציב הנדסה 2019'!G25</f>
        <v>916000</v>
      </c>
      <c r="H62" s="4">
        <f>'תקציב הנדסה 2019'!H25</f>
        <v>738983</v>
      </c>
      <c r="I62" s="4">
        <f>'תקציב הנדסה 2019'!I25</f>
        <v>0</v>
      </c>
      <c r="J62" s="4">
        <f>'תקציב הנדסה 2019'!J25</f>
        <v>7821</v>
      </c>
      <c r="K62" s="4">
        <f>'תקציב הנדסה 2019'!K25</f>
        <v>7821</v>
      </c>
      <c r="L62" s="4">
        <f>'תקציב הנדסה 2019'!L25</f>
        <v>746804</v>
      </c>
      <c r="M62" s="4">
        <f>'תקציב הנדסה 2019'!M25</f>
        <v>99196</v>
      </c>
      <c r="N62" s="4">
        <f>'תקציב הנדסה 2019'!N25</f>
        <v>0</v>
      </c>
      <c r="O62" s="4">
        <f>'תקציב הנדסה 2019'!O25</f>
        <v>654000</v>
      </c>
      <c r="P62" s="4">
        <f>'תקציב הנדסה 2019'!P25</f>
        <v>169196</v>
      </c>
      <c r="Q62" s="4">
        <f>'תקציב הנדסה 2019'!Q25</f>
        <v>0</v>
      </c>
      <c r="R62" s="4">
        <f>'תקציב הנדסה 2019'!R25</f>
        <v>0</v>
      </c>
      <c r="S62" s="4">
        <f>'תקציב הנדסה 2019'!S25</f>
        <v>0</v>
      </c>
      <c r="T62" s="4">
        <f>'תקציב הנדסה 2019'!T25</f>
        <v>70000</v>
      </c>
      <c r="U62" s="4">
        <f>'תקציב הנדסה 2019'!U25</f>
        <v>-70000</v>
      </c>
      <c r="V62" s="4">
        <f>'תקציב הנדסה 2019'!V25</f>
        <v>-70000</v>
      </c>
      <c r="W62" s="4">
        <f>'תקציב הנדסה 2019'!W25</f>
        <v>0</v>
      </c>
      <c r="X62" s="4">
        <f>'תקציב הנדסה 2019'!X25</f>
        <v>0</v>
      </c>
      <c r="Y62" s="4">
        <f>'תקציב הנדסה 2019'!Y25</f>
        <v>0</v>
      </c>
      <c r="Z62" s="4">
        <f>'תקציב הנדסה 2019'!Z25</f>
        <v>0</v>
      </c>
      <c r="AA62" s="3" t="s">
        <v>1248</v>
      </c>
      <c r="AB62" s="3">
        <f>'תקציב הנדסה 2019'!AB25</f>
        <v>742000</v>
      </c>
      <c r="AC62" s="21"/>
    </row>
    <row r="63" spans="1:31" s="5" customFormat="1" ht="28">
      <c r="A63" s="3">
        <f t="shared" si="3"/>
        <v>57</v>
      </c>
      <c r="B63" s="3">
        <v>1457</v>
      </c>
      <c r="C63" s="3" t="s">
        <v>317</v>
      </c>
      <c r="D63" s="4">
        <f>'תקציב הנדסה 2019'!D30</f>
        <v>1100000</v>
      </c>
      <c r="E63" s="4">
        <f>'תקציב הנדסה 2019'!E30</f>
        <v>1100000</v>
      </c>
      <c r="F63" s="4">
        <f>'תקציב הנדסה 2019'!F30</f>
        <v>0</v>
      </c>
      <c r="G63" s="4">
        <f>'תקציב הנדסה 2019'!G30</f>
        <v>430000</v>
      </c>
      <c r="H63" s="4">
        <f>'תקציב הנדסה 2019'!H30</f>
        <v>157316</v>
      </c>
      <c r="I63" s="4">
        <f>'תקציב הנדסה 2019'!I30</f>
        <v>0</v>
      </c>
      <c r="J63" s="4">
        <f>'תקציב הנדסה 2019'!J30</f>
        <v>44257</v>
      </c>
      <c r="K63" s="4">
        <f>'תקציב הנדסה 2019'!K30</f>
        <v>44257</v>
      </c>
      <c r="L63" s="4">
        <f>'תקציב הנדסה 2019'!L30</f>
        <v>201573</v>
      </c>
      <c r="M63" s="4">
        <f>'תקציב הנדסה 2019'!M30</f>
        <v>228427</v>
      </c>
      <c r="N63" s="4">
        <f>'תקציב הנדסה 2019'!N30</f>
        <v>0</v>
      </c>
      <c r="O63" s="4">
        <f>'תקציב הנדסה 2019'!O30</f>
        <v>670000</v>
      </c>
      <c r="P63" s="4">
        <f>'תקציב הנדסה 2019'!P30</f>
        <v>228427</v>
      </c>
      <c r="Q63" s="4">
        <f>'תקציב הנדסה 2019'!Q30</f>
        <v>0</v>
      </c>
      <c r="R63" s="4">
        <f>'תקציב הנדסה 2019'!R30</f>
        <v>0</v>
      </c>
      <c r="S63" s="4">
        <f>'תקציב הנדסה 2019'!S30</f>
        <v>0</v>
      </c>
      <c r="T63" s="4">
        <f>'תקציב הנדסה 2019'!T30</f>
        <v>0</v>
      </c>
      <c r="U63" s="4">
        <f>'תקציב הנדסה 2019'!U30</f>
        <v>0</v>
      </c>
      <c r="V63" s="4">
        <f>'תקציב הנדסה 2019'!V30</f>
        <v>0</v>
      </c>
      <c r="W63" s="4">
        <f>'תקציב הנדסה 2019'!W30</f>
        <v>0</v>
      </c>
      <c r="X63" s="4">
        <f>'תקציב הנדסה 2019'!X30</f>
        <v>0</v>
      </c>
      <c r="Y63" s="4">
        <f>'תקציב הנדסה 2019'!Y30</f>
        <v>0</v>
      </c>
      <c r="Z63" s="4">
        <f>'תקציב הנדסה 2019'!Z30</f>
        <v>0</v>
      </c>
      <c r="AA63" s="3" t="s">
        <v>646</v>
      </c>
      <c r="AB63" s="3">
        <f>'תקציב הנדסה 2019'!AB30</f>
        <v>742000</v>
      </c>
      <c r="AC63" s="21"/>
    </row>
    <row r="64" spans="1:31" s="5" customFormat="1" ht="56">
      <c r="A64" s="3">
        <f t="shared" si="3"/>
        <v>58</v>
      </c>
      <c r="B64" s="3">
        <v>1511</v>
      </c>
      <c r="C64" s="337" t="s">
        <v>46</v>
      </c>
      <c r="D64" s="4">
        <f>'תקציב הנדסה 2019'!D32</f>
        <v>960000</v>
      </c>
      <c r="E64" s="4">
        <f>'תקציב הנדסה 2019'!E32</f>
        <v>960000</v>
      </c>
      <c r="F64" s="4">
        <f>'תקציב הנדסה 2019'!F32</f>
        <v>0</v>
      </c>
      <c r="G64" s="4">
        <f>'תקציב הנדסה 2019'!G32</f>
        <v>100000</v>
      </c>
      <c r="H64" s="4">
        <f>'תקציב הנדסה 2019'!H32</f>
        <v>17284</v>
      </c>
      <c r="I64" s="4">
        <f>'תקציב הנדסה 2019'!I32</f>
        <v>0</v>
      </c>
      <c r="J64" s="4">
        <f>'תקציב הנדסה 2019'!J32</f>
        <v>0</v>
      </c>
      <c r="K64" s="4">
        <f>'תקציב הנדסה 2019'!K32</f>
        <v>0</v>
      </c>
      <c r="L64" s="4">
        <f>'תקציב הנדסה 2019'!L32</f>
        <v>17284</v>
      </c>
      <c r="M64" s="4">
        <f>'תקציב הנדסה 2019'!M32</f>
        <v>82716</v>
      </c>
      <c r="N64" s="4">
        <f>'תקציב הנדסה 2019'!N32</f>
        <v>0</v>
      </c>
      <c r="O64" s="4">
        <f>'תקציב הנדסה 2019'!O32</f>
        <v>860000</v>
      </c>
      <c r="P64" s="4">
        <f>'תקציב הנדסה 2019'!P32</f>
        <v>82716</v>
      </c>
      <c r="Q64" s="4">
        <f>'תקציב הנדסה 2019'!Q32</f>
        <v>0</v>
      </c>
      <c r="R64" s="4">
        <f>'תקציב הנדסה 2019'!R32</f>
        <v>0</v>
      </c>
      <c r="S64" s="4">
        <f>'תקציב הנדסה 2019'!S32</f>
        <v>0</v>
      </c>
      <c r="T64" s="4">
        <f>'תקציב הנדסה 2019'!T32</f>
        <v>0</v>
      </c>
      <c r="U64" s="4">
        <f>'תקציב הנדסה 2019'!U32</f>
        <v>0</v>
      </c>
      <c r="V64" s="4">
        <f>'תקציב הנדסה 2019'!V32</f>
        <v>0</v>
      </c>
      <c r="W64" s="4">
        <f>'תקציב הנדסה 2019'!W32</f>
        <v>0</v>
      </c>
      <c r="X64" s="4">
        <f>'תקציב הנדסה 2019'!X32</f>
        <v>0</v>
      </c>
      <c r="Y64" s="4">
        <f>'תקציב הנדסה 2019'!Y32</f>
        <v>0</v>
      </c>
      <c r="Z64" s="4">
        <f>'תקציב הנדסה 2019'!Z32</f>
        <v>0</v>
      </c>
      <c r="AA64" s="3" t="s">
        <v>648</v>
      </c>
      <c r="AB64" s="3">
        <f>'תקציב הנדסה 2019'!AB32</f>
        <v>742000</v>
      </c>
      <c r="AC64" s="21"/>
    </row>
    <row r="65" spans="1:31" s="5" customFormat="1" ht="42">
      <c r="A65" s="3">
        <f t="shared" si="3"/>
        <v>59</v>
      </c>
      <c r="B65" s="3">
        <v>1587</v>
      </c>
      <c r="C65" s="3" t="s">
        <v>169</v>
      </c>
      <c r="D65" s="4">
        <f>'תקציב הנדסה 2019'!D38</f>
        <v>34200000</v>
      </c>
      <c r="E65" s="4">
        <f>'תקציב הנדסה 2019'!E38</f>
        <v>34200000</v>
      </c>
      <c r="F65" s="4">
        <f>'תקציב הנדסה 2019'!F38</f>
        <v>0</v>
      </c>
      <c r="G65" s="4">
        <f>'תקציב הנדסה 2019'!G38</f>
        <v>10800000</v>
      </c>
      <c r="H65" s="4">
        <f>'תקציב הנדסה 2019'!H38</f>
        <v>7946383.1699999999</v>
      </c>
      <c r="I65" s="4">
        <f>'תקציב הנדסה 2019'!I38</f>
        <v>512415.18</v>
      </c>
      <c r="J65" s="4">
        <f>'תקציב הנדסה 2019'!J38</f>
        <v>182023</v>
      </c>
      <c r="K65" s="4">
        <f>'תקציב הנדסה 2019'!K38</f>
        <v>694438.17999999993</v>
      </c>
      <c r="L65" s="4">
        <f>'תקציב הנדסה 2019'!L38</f>
        <v>8640821.3499999996</v>
      </c>
      <c r="M65" s="4">
        <f>'תקציב הנדסה 2019'!M38</f>
        <v>2159178.6500000004</v>
      </c>
      <c r="N65" s="4">
        <f>'תקציב הנדסה 2019'!N38</f>
        <v>6000000</v>
      </c>
      <c r="O65" s="4">
        <f>'תקציב הנדסה 2019'!O38</f>
        <v>17400000</v>
      </c>
      <c r="P65" s="4">
        <f>'תקציב הנדסה 2019'!P38</f>
        <v>2159178.6500000004</v>
      </c>
      <c r="Q65" s="4">
        <f>'תקציב הנדסה 2019'!Q38</f>
        <v>0</v>
      </c>
      <c r="R65" s="4">
        <f>'תקציב הנדסה 2019'!R38</f>
        <v>0</v>
      </c>
      <c r="S65" s="4">
        <f>'תקציב הנדסה 2019'!S38</f>
        <v>0</v>
      </c>
      <c r="T65" s="4">
        <f>'תקציב הנדסה 2019'!T38</f>
        <v>0</v>
      </c>
      <c r="U65" s="4">
        <f>'תקציב הנדסה 2019'!U38</f>
        <v>6000000</v>
      </c>
      <c r="V65" s="4">
        <f>'תקציב הנדסה 2019'!V38</f>
        <v>6000000</v>
      </c>
      <c r="W65" s="4">
        <f>'תקציב הנדסה 2019'!W38</f>
        <v>0</v>
      </c>
      <c r="X65" s="4">
        <f>'תקציב הנדסה 2019'!X38</f>
        <v>0</v>
      </c>
      <c r="Y65" s="4">
        <f>'תקציב הנדסה 2019'!Y38</f>
        <v>0</v>
      </c>
      <c r="Z65" s="4">
        <f>'תקציב הנדסה 2019'!Z38</f>
        <v>0</v>
      </c>
      <c r="AA65" s="3" t="s">
        <v>1100</v>
      </c>
      <c r="AB65" s="3">
        <f>'תקציב הנדסה 2019'!AB38</f>
        <v>742000</v>
      </c>
      <c r="AC65" s="21"/>
    </row>
    <row r="66" spans="1:31" s="5" customFormat="1">
      <c r="A66" s="3">
        <f t="shared" si="3"/>
        <v>60</v>
      </c>
      <c r="B66" s="3">
        <v>1601</v>
      </c>
      <c r="C66" s="3" t="s">
        <v>48</v>
      </c>
      <c r="D66" s="4">
        <f>'תקציב הנדסה 2019'!D39</f>
        <v>700000</v>
      </c>
      <c r="E66" s="4">
        <f>'תקציב הנדסה 2019'!E39</f>
        <v>700000</v>
      </c>
      <c r="F66" s="4">
        <f>'תקציב הנדסה 2019'!F39</f>
        <v>0</v>
      </c>
      <c r="G66" s="4">
        <f>'תקציב הנדסה 2019'!G39</f>
        <v>650000</v>
      </c>
      <c r="H66" s="4">
        <f>'תקציב הנדסה 2019'!H39</f>
        <v>484363</v>
      </c>
      <c r="I66" s="4">
        <f>'תקציב הנדסה 2019'!I39</f>
        <v>0</v>
      </c>
      <c r="J66" s="4">
        <f>'תקציב הנדסה 2019'!J39</f>
        <v>36804</v>
      </c>
      <c r="K66" s="4">
        <f>'תקציב הנדסה 2019'!K39</f>
        <v>36804</v>
      </c>
      <c r="L66" s="4">
        <f>'תקציב הנדסה 2019'!L39</f>
        <v>521167</v>
      </c>
      <c r="M66" s="4">
        <f>'תקציב הנדסה 2019'!M39</f>
        <v>128833</v>
      </c>
      <c r="N66" s="4">
        <f>'תקציב הנדסה 2019'!N39</f>
        <v>0</v>
      </c>
      <c r="O66" s="4">
        <f>'תקציב הנדסה 2019'!O39</f>
        <v>50000</v>
      </c>
      <c r="P66" s="4">
        <f>'תקציב הנדסה 2019'!P39</f>
        <v>128833</v>
      </c>
      <c r="Q66" s="4">
        <f>'תקציב הנדסה 2019'!Q39</f>
        <v>0</v>
      </c>
      <c r="R66" s="4">
        <f>'תקציב הנדסה 2019'!R39</f>
        <v>0</v>
      </c>
      <c r="S66" s="4">
        <f>'תקציב הנדסה 2019'!S39</f>
        <v>0</v>
      </c>
      <c r="T66" s="4">
        <f>'תקציב הנדסה 2019'!T39</f>
        <v>0</v>
      </c>
      <c r="U66" s="4">
        <f>'תקציב הנדסה 2019'!U39</f>
        <v>0</v>
      </c>
      <c r="V66" s="4">
        <f>'תקציב הנדסה 2019'!V39</f>
        <v>0</v>
      </c>
      <c r="W66" s="4">
        <f>'תקציב הנדסה 2019'!W39</f>
        <v>0</v>
      </c>
      <c r="X66" s="4">
        <f>'תקציב הנדסה 2019'!X39</f>
        <v>0</v>
      </c>
      <c r="Y66" s="4">
        <f>'תקציב הנדסה 2019'!Y39</f>
        <v>0</v>
      </c>
      <c r="Z66" s="4">
        <f>'תקציב הנדסה 2019'!Z39</f>
        <v>0</v>
      </c>
      <c r="AA66" s="3"/>
      <c r="AB66" s="3">
        <f>'תקציב הנדסה 2019'!AB39</f>
        <v>742000</v>
      </c>
      <c r="AC66" s="21"/>
    </row>
    <row r="67" spans="1:31" s="6" customFormat="1" ht="28">
      <c r="A67" s="3">
        <f t="shared" si="3"/>
        <v>61</v>
      </c>
      <c r="B67" s="3">
        <v>1602</v>
      </c>
      <c r="C67" s="3" t="s">
        <v>32</v>
      </c>
      <c r="D67" s="4">
        <f>'תקציב הנדסה 2019'!D40</f>
        <v>29500000</v>
      </c>
      <c r="E67" s="4">
        <f>'תקציב הנדסה 2019'!E40</f>
        <v>34500000</v>
      </c>
      <c r="F67" s="4">
        <f>'תקציב הנדסה 2019'!F40</f>
        <v>-5000000</v>
      </c>
      <c r="G67" s="4">
        <f>'תקציב הנדסה 2019'!G40</f>
        <v>34500000</v>
      </c>
      <c r="H67" s="4">
        <f>'תקציב הנדסה 2019'!H40</f>
        <v>12660980.98</v>
      </c>
      <c r="I67" s="4">
        <f>'תקציב הנדסה 2019'!I40</f>
        <v>15501950.34</v>
      </c>
      <c r="J67" s="4">
        <f>'תקציב הנדסה 2019'!J40</f>
        <v>185508.12</v>
      </c>
      <c r="K67" s="4">
        <f>'תקציב הנדסה 2019'!K40</f>
        <v>15687458.459999999</v>
      </c>
      <c r="L67" s="4">
        <f>'תקציב הנדסה 2019'!L40</f>
        <v>28348439.439999998</v>
      </c>
      <c r="M67" s="4">
        <f>'תקציב הנדסה 2019'!M40</f>
        <v>1151560.5600000024</v>
      </c>
      <c r="N67" s="4">
        <f>'תקציב הנדסה 2019'!N40</f>
        <v>0</v>
      </c>
      <c r="O67" s="4">
        <f>'תקציב הנדסה 2019'!O40</f>
        <v>0</v>
      </c>
      <c r="P67" s="4">
        <f>'תקציב הנדסה 2019'!P40</f>
        <v>6151560.5600000024</v>
      </c>
      <c r="Q67" s="4">
        <f>'תקציב הנדסה 2019'!Q40</f>
        <v>0</v>
      </c>
      <c r="R67" s="4">
        <f>'תקציב הנדסה 2019'!R40</f>
        <v>0</v>
      </c>
      <c r="S67" s="4">
        <f>'תקציב הנדסה 2019'!S40</f>
        <v>0</v>
      </c>
      <c r="T67" s="4">
        <f>'תקציב הנדסה 2019'!T40</f>
        <v>5000000</v>
      </c>
      <c r="U67" s="4">
        <f>'תקציב הנדסה 2019'!U40</f>
        <v>-5000000</v>
      </c>
      <c r="V67" s="4">
        <f>'תקציב הנדסה 2019'!V40</f>
        <v>-5000000</v>
      </c>
      <c r="W67" s="4">
        <f>'תקציב הנדסה 2019'!W40</f>
        <v>0</v>
      </c>
      <c r="X67" s="4">
        <f>'תקציב הנדסה 2019'!X40</f>
        <v>0</v>
      </c>
      <c r="Y67" s="4">
        <f>'תקציב הנדסה 2019'!Y40</f>
        <v>0</v>
      </c>
      <c r="Z67" s="4">
        <f>'תקציב הנדסה 2019'!Z40</f>
        <v>0</v>
      </c>
      <c r="AA67" s="3" t="s">
        <v>1183</v>
      </c>
      <c r="AB67" s="3">
        <f>'תקציב הנדסה 2019'!AB40</f>
        <v>742000</v>
      </c>
      <c r="AC67" s="21"/>
      <c r="AD67" s="5"/>
      <c r="AE67" s="5"/>
    </row>
    <row r="68" spans="1:31" s="5" customFormat="1">
      <c r="A68" s="3">
        <f t="shared" si="3"/>
        <v>62</v>
      </c>
      <c r="B68" s="3">
        <v>1670</v>
      </c>
      <c r="C68" s="3" t="s">
        <v>170</v>
      </c>
      <c r="D68" s="4">
        <f>'תקציב הנדסה 2019'!D44</f>
        <v>12500000</v>
      </c>
      <c r="E68" s="4">
        <f>'תקציב הנדסה 2019'!E44</f>
        <v>12500000</v>
      </c>
      <c r="F68" s="4">
        <f>'תקציב הנדסה 2019'!F44</f>
        <v>0</v>
      </c>
      <c r="G68" s="4">
        <f>'תקציב הנדסה 2019'!G44</f>
        <v>3800000</v>
      </c>
      <c r="H68" s="4">
        <f>'תקציב הנדסה 2019'!H44</f>
        <v>168571</v>
      </c>
      <c r="I68" s="4">
        <f>'תקציב הנדסה 2019'!I44</f>
        <v>195569.65</v>
      </c>
      <c r="J68" s="4">
        <f>'תקציב הנדסה 2019'!J44</f>
        <v>49477</v>
      </c>
      <c r="K68" s="4">
        <f>'תקציב הנדסה 2019'!K44</f>
        <v>245046.65</v>
      </c>
      <c r="L68" s="4">
        <f>'תקציב הנדסה 2019'!L44</f>
        <v>413617.65</v>
      </c>
      <c r="M68" s="4">
        <f>'תקציב הנדסה 2019'!M44</f>
        <v>36382.350000000093</v>
      </c>
      <c r="N68" s="4">
        <f>'תקציב הנדסה 2019'!N44</f>
        <v>400000</v>
      </c>
      <c r="O68" s="4">
        <f>'תקציב הנדסה 2019'!O44</f>
        <v>11650000</v>
      </c>
      <c r="P68" s="4">
        <f>'תקציב הנדסה 2019'!P44</f>
        <v>3386382.35</v>
      </c>
      <c r="Q68" s="4">
        <f>'תקציב הנדסה 2019'!Q44</f>
        <v>0</v>
      </c>
      <c r="R68" s="4">
        <f>'תקציב הנדסה 2019'!R44</f>
        <v>0</v>
      </c>
      <c r="S68" s="4">
        <f>'תקציב הנדסה 2019'!S44</f>
        <v>0</v>
      </c>
      <c r="T68" s="4">
        <f>'תקציב הנדסה 2019'!T44</f>
        <v>3350000</v>
      </c>
      <c r="U68" s="4">
        <f>'תקציב הנדסה 2019'!U44</f>
        <v>-2950000</v>
      </c>
      <c r="V68" s="4">
        <f>'תקציב הנדסה 2019'!V44</f>
        <v>-2950000</v>
      </c>
      <c r="W68" s="4">
        <f>'תקציב הנדסה 2019'!W44</f>
        <v>0</v>
      </c>
      <c r="X68" s="4">
        <f>'תקציב הנדסה 2019'!X44</f>
        <v>0</v>
      </c>
      <c r="Y68" s="4">
        <f>'תקציב הנדסה 2019'!Y44</f>
        <v>0</v>
      </c>
      <c r="Z68" s="4">
        <f>'תקציב הנדסה 2019'!Z44</f>
        <v>0</v>
      </c>
      <c r="AA68" s="3" t="s">
        <v>1249</v>
      </c>
      <c r="AB68" s="3">
        <f>'תקציב הנדסה 2019'!AB44</f>
        <v>742000</v>
      </c>
      <c r="AC68" s="21"/>
    </row>
    <row r="69" spans="1:31" s="5" customFormat="1" ht="42">
      <c r="A69" s="3">
        <f t="shared" si="3"/>
        <v>63</v>
      </c>
      <c r="B69" s="3">
        <v>1722</v>
      </c>
      <c r="C69" s="3" t="s">
        <v>50</v>
      </c>
      <c r="D69" s="4">
        <f>'תקציב הנדסה 2019'!D49</f>
        <v>2400000</v>
      </c>
      <c r="E69" s="4">
        <f>'תקציב הנדסה 2019'!E49</f>
        <v>2400000</v>
      </c>
      <c r="F69" s="4">
        <f>'תקציב הנדסה 2019'!F49</f>
        <v>0</v>
      </c>
      <c r="G69" s="4">
        <f>'תקציב הנדסה 2019'!G49</f>
        <v>400000</v>
      </c>
      <c r="H69" s="4">
        <f>'תקציב הנדסה 2019'!H49</f>
        <v>98067.4</v>
      </c>
      <c r="I69" s="4">
        <f>'תקציב הנדסה 2019'!I49</f>
        <v>67052.7</v>
      </c>
      <c r="J69" s="4">
        <f>'תקציב הנדסה 2019'!J49</f>
        <v>47158.73</v>
      </c>
      <c r="K69" s="4">
        <f>'תקציב הנדסה 2019'!K49</f>
        <v>114211.43</v>
      </c>
      <c r="L69" s="4">
        <f>'תקציב הנדסה 2019'!L49</f>
        <v>212278.83</v>
      </c>
      <c r="M69" s="4">
        <f>'תקציב הנדסה 2019'!M49</f>
        <v>87721.170000000013</v>
      </c>
      <c r="N69" s="4">
        <f>'תקציב הנדסה 2019'!N49</f>
        <v>0</v>
      </c>
      <c r="O69" s="4">
        <f>'תקציב הנדסה 2019'!O49</f>
        <v>2100000</v>
      </c>
      <c r="P69" s="4">
        <f>'תקציב הנדסה 2019'!P49</f>
        <v>187721.17</v>
      </c>
      <c r="Q69" s="4">
        <f>'תקציב הנדסה 2019'!Q49</f>
        <v>0</v>
      </c>
      <c r="R69" s="4">
        <f>'תקציב הנדסה 2019'!R49</f>
        <v>0</v>
      </c>
      <c r="S69" s="4">
        <f>'תקציב הנדסה 2019'!S49</f>
        <v>0</v>
      </c>
      <c r="T69" s="4">
        <f>'תקציב הנדסה 2019'!T49</f>
        <v>100000</v>
      </c>
      <c r="U69" s="4">
        <f>'תקציב הנדסה 2019'!U49</f>
        <v>-100000</v>
      </c>
      <c r="V69" s="4">
        <f>'תקציב הנדסה 2019'!V49</f>
        <v>-100000</v>
      </c>
      <c r="W69" s="4">
        <f>'תקציב הנדסה 2019'!W49</f>
        <v>0</v>
      </c>
      <c r="X69" s="4">
        <f>'תקציב הנדסה 2019'!X49</f>
        <v>0</v>
      </c>
      <c r="Y69" s="4">
        <f>'תקציב הנדסה 2019'!Y49</f>
        <v>0</v>
      </c>
      <c r="Z69" s="4">
        <f>'תקציב הנדסה 2019'!Z49</f>
        <v>0</v>
      </c>
      <c r="AA69" s="3" t="s">
        <v>656</v>
      </c>
      <c r="AB69" s="3">
        <f>'תקציב הנדסה 2019'!AB49</f>
        <v>742000</v>
      </c>
      <c r="AC69" s="21"/>
    </row>
    <row r="70" spans="1:31" s="5" customFormat="1">
      <c r="A70" s="3">
        <f t="shared" si="3"/>
        <v>64</v>
      </c>
      <c r="B70" s="3">
        <v>1725</v>
      </c>
      <c r="C70" s="3" t="s">
        <v>657</v>
      </c>
      <c r="D70" s="4">
        <f>'תקציב הנדסה 2019'!D50</f>
        <v>13520000</v>
      </c>
      <c r="E70" s="4">
        <f>'תקציב הנדסה 2019'!E50</f>
        <v>13520000</v>
      </c>
      <c r="F70" s="4">
        <f>'תקציב הנדסה 2019'!F50</f>
        <v>0</v>
      </c>
      <c r="G70" s="4">
        <f>'תקציב הנדסה 2019'!G50</f>
        <v>13520000</v>
      </c>
      <c r="H70" s="4">
        <f>'תקציב הנדסה 2019'!H50</f>
        <v>13343609.32</v>
      </c>
      <c r="I70" s="4">
        <f>'תקציב הנדסה 2019'!I50</f>
        <v>48702.71</v>
      </c>
      <c r="J70" s="4">
        <f>'תקציב הנדסה 2019'!J50</f>
        <v>26687.57</v>
      </c>
      <c r="K70" s="4">
        <f>'תקציב הנדסה 2019'!K50</f>
        <v>75390.28</v>
      </c>
      <c r="L70" s="4">
        <f>'תקציב הנדסה 2019'!L50</f>
        <v>13418999.6</v>
      </c>
      <c r="M70" s="4">
        <f>'תקציב הנדסה 2019'!M50</f>
        <v>1000.4000000003725</v>
      </c>
      <c r="N70" s="4">
        <f>'תקציב הנדסה 2019'!N50</f>
        <v>0</v>
      </c>
      <c r="O70" s="4">
        <f>'תקציב הנדסה 2019'!O50</f>
        <v>100000</v>
      </c>
      <c r="P70" s="4">
        <f>'תקציב הנדסה 2019'!P50</f>
        <v>101000.40000000037</v>
      </c>
      <c r="Q70" s="4">
        <f>'תקציב הנדסה 2019'!Q50</f>
        <v>0</v>
      </c>
      <c r="R70" s="4">
        <f>'תקציב הנדסה 2019'!R50</f>
        <v>0</v>
      </c>
      <c r="S70" s="4">
        <f>'תקציב הנדסה 2019'!S50</f>
        <v>0</v>
      </c>
      <c r="T70" s="4">
        <f>'תקציב הנדסה 2019'!T50</f>
        <v>100000</v>
      </c>
      <c r="U70" s="4">
        <f>'תקציב הנדסה 2019'!U50</f>
        <v>-100000</v>
      </c>
      <c r="V70" s="4">
        <f>'תקציב הנדסה 2019'!V50</f>
        <v>-100000</v>
      </c>
      <c r="W70" s="4">
        <f>'תקציב הנדסה 2019'!W50</f>
        <v>0</v>
      </c>
      <c r="X70" s="4">
        <f>'תקציב הנדסה 2019'!X50</f>
        <v>0</v>
      </c>
      <c r="Y70" s="4">
        <f>'תקציב הנדסה 2019'!Y50</f>
        <v>0</v>
      </c>
      <c r="Z70" s="4">
        <f>'תקציב הנדסה 2019'!Z50</f>
        <v>0</v>
      </c>
      <c r="AA70" s="3"/>
      <c r="AB70" s="3">
        <f>'תקציב הנדסה 2019'!AB50</f>
        <v>742000</v>
      </c>
      <c r="AC70" s="21"/>
    </row>
    <row r="71" spans="1:31" s="5" customFormat="1" ht="42">
      <c r="A71" s="3">
        <f t="shared" si="3"/>
        <v>65</v>
      </c>
      <c r="B71" s="3">
        <v>1744</v>
      </c>
      <c r="C71" s="3" t="s">
        <v>53</v>
      </c>
      <c r="D71" s="4">
        <f>'תקציב הנדסה 2019'!D51</f>
        <v>13000000</v>
      </c>
      <c r="E71" s="4">
        <f>'תקציב הנדסה 2019'!E51</f>
        <v>13000000</v>
      </c>
      <c r="F71" s="4">
        <f>'תקציב הנדסה 2019'!F51</f>
        <v>0</v>
      </c>
      <c r="G71" s="4">
        <f>'תקציב הנדסה 2019'!G51</f>
        <v>8200000</v>
      </c>
      <c r="H71" s="4">
        <f>'תקציב הנדסה 2019'!H51</f>
        <v>3125812</v>
      </c>
      <c r="I71" s="4">
        <f>'תקציב הנדסה 2019'!I51</f>
        <v>0</v>
      </c>
      <c r="J71" s="4">
        <f>'תקציב הנדסה 2019'!J51</f>
        <v>3820125</v>
      </c>
      <c r="K71" s="4">
        <f>'תקציב הנדסה 2019'!K51</f>
        <v>3820125</v>
      </c>
      <c r="L71" s="4">
        <f>'תקציב הנדסה 2019'!L51</f>
        <v>6945937</v>
      </c>
      <c r="M71" s="4">
        <f>'תקציב הנדסה 2019'!M51</f>
        <v>554063</v>
      </c>
      <c r="N71" s="4">
        <f>'תקציב הנדסה 2019'!N51</f>
        <v>5500000</v>
      </c>
      <c r="O71" s="4">
        <f>'תקציב הנדסה 2019'!O51</f>
        <v>0</v>
      </c>
      <c r="P71" s="4">
        <f>'תקציב הנדסה 2019'!P51</f>
        <v>1254063</v>
      </c>
      <c r="Q71" s="4">
        <f>'תקציב הנדסה 2019'!Q51</f>
        <v>0</v>
      </c>
      <c r="R71" s="4">
        <f>'תקציב הנדסה 2019'!R51</f>
        <v>0</v>
      </c>
      <c r="S71" s="4">
        <f>'תקציב הנדסה 2019'!S51</f>
        <v>0</v>
      </c>
      <c r="T71" s="4">
        <f>'תקציב הנדסה 2019'!T51</f>
        <v>700000</v>
      </c>
      <c r="U71" s="4">
        <f>'תקציב הנדסה 2019'!U51</f>
        <v>4800000</v>
      </c>
      <c r="V71" s="4">
        <f>'תקציב הנדסה 2019'!V51</f>
        <v>4800000</v>
      </c>
      <c r="W71" s="4">
        <f>'תקציב הנדסה 2019'!W51</f>
        <v>0</v>
      </c>
      <c r="X71" s="4">
        <f>'תקציב הנדסה 2019'!X51</f>
        <v>0</v>
      </c>
      <c r="Y71" s="4">
        <f>'תקציב הנדסה 2019'!Y51</f>
        <v>0</v>
      </c>
      <c r="Z71" s="4">
        <f>'תקציב הנדסה 2019'!Z51</f>
        <v>0</v>
      </c>
      <c r="AA71" s="3" t="s">
        <v>658</v>
      </c>
      <c r="AB71" s="3">
        <f>'תקציב הנדסה 2019'!AB51</f>
        <v>742000</v>
      </c>
      <c r="AC71" s="21"/>
    </row>
    <row r="72" spans="1:31" s="6" customFormat="1">
      <c r="A72" s="3">
        <f t="shared" si="3"/>
        <v>66</v>
      </c>
      <c r="B72" s="3">
        <v>1746</v>
      </c>
      <c r="C72" s="3" t="s">
        <v>35</v>
      </c>
      <c r="D72" s="4">
        <f>'תקציב הנדסה 2019'!D52</f>
        <v>55000000</v>
      </c>
      <c r="E72" s="4">
        <f>'תקציב הנדסה 2019'!E52</f>
        <v>55000000</v>
      </c>
      <c r="F72" s="4">
        <f>'תקציב הנדסה 2019'!F52</f>
        <v>0</v>
      </c>
      <c r="G72" s="4">
        <f>'תקציב הנדסה 2019'!G52</f>
        <v>0</v>
      </c>
      <c r="H72" s="4">
        <f>'תקציב הנדסה 2019'!H52</f>
        <v>0</v>
      </c>
      <c r="I72" s="4">
        <f>'תקציב הנדסה 2019'!I52</f>
        <v>0</v>
      </c>
      <c r="J72" s="4">
        <f>'תקציב הנדסה 2019'!J52</f>
        <v>0</v>
      </c>
      <c r="K72" s="4">
        <f>'תקציב הנדסה 2019'!K52</f>
        <v>0</v>
      </c>
      <c r="L72" s="4">
        <f>'תקציב הנדסה 2019'!L52</f>
        <v>0</v>
      </c>
      <c r="M72" s="4">
        <f>'תקציב הנדסה 2019'!M52</f>
        <v>0</v>
      </c>
      <c r="N72" s="4">
        <f>'תקציב הנדסה 2019'!N52</f>
        <v>0</v>
      </c>
      <c r="O72" s="4">
        <f>'תקציב הנדסה 2019'!O52</f>
        <v>55000000</v>
      </c>
      <c r="P72" s="4">
        <f>'תקציב הנדסה 2019'!P52</f>
        <v>0</v>
      </c>
      <c r="Q72" s="4">
        <f>'תקציב הנדסה 2019'!Q52</f>
        <v>0</v>
      </c>
      <c r="R72" s="4">
        <f>'תקציב הנדסה 2019'!R52</f>
        <v>0</v>
      </c>
      <c r="S72" s="4">
        <f>'תקציב הנדסה 2019'!S52</f>
        <v>0</v>
      </c>
      <c r="T72" s="4">
        <f>'תקציב הנדסה 2019'!T52</f>
        <v>0</v>
      </c>
      <c r="U72" s="4">
        <f>'תקציב הנדסה 2019'!U52</f>
        <v>0</v>
      </c>
      <c r="V72" s="4">
        <f>'תקציב הנדסה 2019'!V52</f>
        <v>0</v>
      </c>
      <c r="W72" s="4">
        <f>'תקציב הנדסה 2019'!W52</f>
        <v>0</v>
      </c>
      <c r="X72" s="4">
        <f>'תקציב הנדסה 2019'!X52</f>
        <v>0</v>
      </c>
      <c r="Y72" s="4">
        <f>'תקציב הנדסה 2019'!Y52</f>
        <v>0</v>
      </c>
      <c r="Z72" s="4">
        <f>'תקציב הנדסה 2019'!Z52</f>
        <v>0</v>
      </c>
      <c r="AA72" s="3"/>
      <c r="AB72" s="3">
        <f>'תקציב הנדסה 2019'!AB52</f>
        <v>742000</v>
      </c>
      <c r="AC72" s="21"/>
      <c r="AD72" s="5"/>
      <c r="AE72" s="5"/>
    </row>
    <row r="73" spans="1:31" s="5" customFormat="1">
      <c r="A73" s="3">
        <f t="shared" si="3"/>
        <v>67</v>
      </c>
      <c r="B73" s="3">
        <v>1804</v>
      </c>
      <c r="C73" s="3" t="s">
        <v>182</v>
      </c>
      <c r="D73" s="4">
        <f>'תקציב הנדסה 2019'!D62</f>
        <v>200000</v>
      </c>
      <c r="E73" s="4">
        <f>'תקציב הנדסה 2019'!E62</f>
        <v>200000</v>
      </c>
      <c r="F73" s="4">
        <f>'תקציב הנדסה 2019'!F62</f>
        <v>0</v>
      </c>
      <c r="G73" s="4">
        <f>'תקציב הנדסה 2019'!G62</f>
        <v>200000</v>
      </c>
      <c r="H73" s="4">
        <f>'תקציב הנדסה 2019'!H62</f>
        <v>0</v>
      </c>
      <c r="I73" s="4">
        <f>'תקציב הנדסה 2019'!I62</f>
        <v>0</v>
      </c>
      <c r="J73" s="4">
        <f>'תקציב הנדסה 2019'!J62</f>
        <v>47073.2</v>
      </c>
      <c r="K73" s="4">
        <f>'תקציב הנדסה 2019'!K62</f>
        <v>47073.2</v>
      </c>
      <c r="L73" s="4">
        <f>'תקציב הנדסה 2019'!L62</f>
        <v>47073.2</v>
      </c>
      <c r="M73" s="4">
        <f>'תקציב הנדסה 2019'!M62</f>
        <v>152926.79999999999</v>
      </c>
      <c r="N73" s="4">
        <f>'תקציב הנדסה 2019'!N62</f>
        <v>0</v>
      </c>
      <c r="O73" s="4">
        <f>'תקציב הנדסה 2019'!O62</f>
        <v>0</v>
      </c>
      <c r="P73" s="4">
        <f>'תקציב הנדסה 2019'!P62</f>
        <v>152926.79999999999</v>
      </c>
      <c r="Q73" s="4">
        <f>'תקציב הנדסה 2019'!Q62</f>
        <v>0</v>
      </c>
      <c r="R73" s="4">
        <f>'תקציב הנדסה 2019'!R62</f>
        <v>0</v>
      </c>
      <c r="S73" s="4">
        <f>'תקציב הנדסה 2019'!S62</f>
        <v>0</v>
      </c>
      <c r="T73" s="4">
        <f>'תקציב הנדסה 2019'!T62</f>
        <v>0</v>
      </c>
      <c r="U73" s="4">
        <f>'תקציב הנדסה 2019'!U62</f>
        <v>0</v>
      </c>
      <c r="V73" s="4">
        <f>'תקציב הנדסה 2019'!V62</f>
        <v>0</v>
      </c>
      <c r="W73" s="4">
        <f>'תקציב הנדסה 2019'!W62</f>
        <v>0</v>
      </c>
      <c r="X73" s="4">
        <f>'תקציב הנדסה 2019'!X62</f>
        <v>0</v>
      </c>
      <c r="Y73" s="4">
        <f>'תקציב הנדסה 2019'!Y62</f>
        <v>0</v>
      </c>
      <c r="Z73" s="4">
        <f>'תקציב הנדסה 2019'!Z62</f>
        <v>0</v>
      </c>
      <c r="AA73" s="3"/>
      <c r="AB73" s="3">
        <f>'תקציב הנדסה 2019'!AB62</f>
        <v>742000</v>
      </c>
      <c r="AC73" s="21"/>
    </row>
    <row r="74" spans="1:31" s="5" customFormat="1">
      <c r="A74" s="3">
        <f t="shared" si="3"/>
        <v>68</v>
      </c>
      <c r="B74" s="3">
        <v>1805</v>
      </c>
      <c r="C74" s="3" t="s">
        <v>183</v>
      </c>
      <c r="D74" s="4">
        <f>'תקציב הנדסה 2019'!D63</f>
        <v>1000000</v>
      </c>
      <c r="E74" s="4">
        <f>'תקציב הנדסה 2019'!E63</f>
        <v>1000000</v>
      </c>
      <c r="F74" s="4">
        <f>'תקציב הנדסה 2019'!F63</f>
        <v>0</v>
      </c>
      <c r="G74" s="4">
        <f>'תקציב הנדסה 2019'!G63</f>
        <v>110000</v>
      </c>
      <c r="H74" s="4">
        <f>'תקציב הנדסה 2019'!H63</f>
        <v>2677</v>
      </c>
      <c r="I74" s="4">
        <f>'תקציב הנדסה 2019'!I63</f>
        <v>0</v>
      </c>
      <c r="J74" s="4">
        <f>'תקציב הנדסה 2019'!J63</f>
        <v>0</v>
      </c>
      <c r="K74" s="4">
        <f>'תקציב הנדסה 2019'!K63</f>
        <v>0</v>
      </c>
      <c r="L74" s="4">
        <f>'תקציב הנדסה 2019'!L63</f>
        <v>2677</v>
      </c>
      <c r="M74" s="4">
        <f>'תקציב הנדסה 2019'!M63</f>
        <v>57323</v>
      </c>
      <c r="N74" s="4">
        <f>'תקציב הנדסה 2019'!N63</f>
        <v>0</v>
      </c>
      <c r="O74" s="4">
        <f>'תקציב הנדסה 2019'!O63</f>
        <v>940000</v>
      </c>
      <c r="P74" s="4">
        <f>'תקציב הנדסה 2019'!P63</f>
        <v>107323</v>
      </c>
      <c r="Q74" s="4">
        <f>'תקציב הנדסה 2019'!Q63</f>
        <v>0</v>
      </c>
      <c r="R74" s="4">
        <f>'תקציב הנדסה 2019'!R63</f>
        <v>0</v>
      </c>
      <c r="S74" s="4">
        <f>'תקציב הנדסה 2019'!S63</f>
        <v>0</v>
      </c>
      <c r="T74" s="4">
        <f>'תקציב הנדסה 2019'!T63</f>
        <v>50000</v>
      </c>
      <c r="U74" s="4">
        <f>'תקציב הנדסה 2019'!U63</f>
        <v>-50000</v>
      </c>
      <c r="V74" s="4">
        <f>'תקציב הנדסה 2019'!V63</f>
        <v>-50000</v>
      </c>
      <c r="W74" s="4">
        <f>'תקציב הנדסה 2019'!W63</f>
        <v>0</v>
      </c>
      <c r="X74" s="4">
        <f>'תקציב הנדסה 2019'!X63</f>
        <v>0</v>
      </c>
      <c r="Y74" s="4">
        <f>'תקציב הנדסה 2019'!Y63</f>
        <v>0</v>
      </c>
      <c r="Z74" s="4">
        <f>'תקציב הנדסה 2019'!Z63</f>
        <v>0</v>
      </c>
      <c r="AA74" s="3" t="s">
        <v>1189</v>
      </c>
      <c r="AB74" s="3">
        <f>'תקציב הנדסה 2019'!AB63</f>
        <v>742000</v>
      </c>
      <c r="AC74" s="21"/>
    </row>
    <row r="75" spans="1:31" s="5" customFormat="1" ht="56">
      <c r="A75" s="3">
        <f t="shared" si="3"/>
        <v>69</v>
      </c>
      <c r="B75" s="3">
        <v>1826</v>
      </c>
      <c r="C75" s="3" t="s">
        <v>191</v>
      </c>
      <c r="D75" s="4">
        <f>'תקציב הנדסה 2019'!D65</f>
        <v>1500000</v>
      </c>
      <c r="E75" s="4">
        <f>'תקציב הנדסה 2019'!E65</f>
        <v>1500000</v>
      </c>
      <c r="F75" s="4">
        <f>'תקציב הנדסה 2019'!F65</f>
        <v>0</v>
      </c>
      <c r="G75" s="4">
        <f>'תקציב הנדסה 2019'!G65</f>
        <v>400000</v>
      </c>
      <c r="H75" s="4">
        <f>'תקציב הנדסה 2019'!H65</f>
        <v>14227</v>
      </c>
      <c r="I75" s="4">
        <f>'תקציב הנדסה 2019'!I65</f>
        <v>0</v>
      </c>
      <c r="J75" s="4">
        <f>'תקציב הנדסה 2019'!J65</f>
        <v>11756.75</v>
      </c>
      <c r="K75" s="4">
        <f>'תקציב הנדסה 2019'!K65</f>
        <v>11756.75</v>
      </c>
      <c r="L75" s="4">
        <f>'תקציב הנדסה 2019'!L65</f>
        <v>25983.75</v>
      </c>
      <c r="M75" s="4">
        <f>'תקציב הנדסה 2019'!M65</f>
        <v>374016.25</v>
      </c>
      <c r="N75" s="4">
        <f>'תקציב הנדסה 2019'!N65</f>
        <v>1100000</v>
      </c>
      <c r="O75" s="4">
        <f>'תקציב הנדסה 2019'!O65</f>
        <v>0</v>
      </c>
      <c r="P75" s="4">
        <f>'תקציב הנדסה 2019'!P65</f>
        <v>374016.25</v>
      </c>
      <c r="Q75" s="4">
        <f>'תקציב הנדסה 2019'!Q65</f>
        <v>0</v>
      </c>
      <c r="R75" s="4">
        <f>'תקציב הנדסה 2019'!R65</f>
        <v>0</v>
      </c>
      <c r="S75" s="4">
        <f>'תקציב הנדסה 2019'!S65</f>
        <v>0</v>
      </c>
      <c r="T75" s="4">
        <f>'תקציב הנדסה 2019'!T65</f>
        <v>0</v>
      </c>
      <c r="U75" s="4">
        <f>'תקציב הנדסה 2019'!U65</f>
        <v>1100000</v>
      </c>
      <c r="V75" s="4">
        <f>'תקציב הנדסה 2019'!V65</f>
        <v>1100000</v>
      </c>
      <c r="W75" s="4">
        <f>'תקציב הנדסה 2019'!W65</f>
        <v>0</v>
      </c>
      <c r="X75" s="4">
        <f>'תקציב הנדסה 2019'!X65</f>
        <v>0</v>
      </c>
      <c r="Y75" s="4">
        <f>'תקציב הנדסה 2019'!Y65</f>
        <v>0</v>
      </c>
      <c r="Z75" s="4">
        <f>'תקציב הנדסה 2019'!Z65</f>
        <v>0</v>
      </c>
      <c r="AA75" s="3" t="s">
        <v>1190</v>
      </c>
      <c r="AB75" s="3">
        <f>'תקציב הנדסה 2019'!AB65</f>
        <v>742000</v>
      </c>
      <c r="AC75" s="21"/>
      <c r="AD75" s="6"/>
      <c r="AE75" s="6"/>
    </row>
    <row r="76" spans="1:31" s="5" customFormat="1" ht="42">
      <c r="A76" s="3">
        <f t="shared" si="3"/>
        <v>70</v>
      </c>
      <c r="B76" s="3">
        <v>1882</v>
      </c>
      <c r="C76" s="3" t="s">
        <v>198</v>
      </c>
      <c r="D76" s="4">
        <f>'תקציב הנדסה 2019'!D69</f>
        <v>14300000</v>
      </c>
      <c r="E76" s="4">
        <f>'תקציב הנדסה 2019'!E69</f>
        <v>14300000</v>
      </c>
      <c r="F76" s="4">
        <f>'תקציב הנדסה 2019'!F69</f>
        <v>0</v>
      </c>
      <c r="G76" s="4">
        <f>'תקציב הנדסה 2019'!G69</f>
        <v>200000</v>
      </c>
      <c r="H76" s="4">
        <f>'תקציב הנדסה 2019'!H69</f>
        <v>0</v>
      </c>
      <c r="I76" s="4">
        <f>'תקציב הנדסה 2019'!I69</f>
        <v>0</v>
      </c>
      <c r="J76" s="4">
        <f>'תקציב הנדסה 2019'!J69</f>
        <v>0</v>
      </c>
      <c r="K76" s="4">
        <f>'תקציב הנדסה 2019'!K69</f>
        <v>0</v>
      </c>
      <c r="L76" s="4">
        <f>'תקציב הנדסה 2019'!L69</f>
        <v>0</v>
      </c>
      <c r="M76" s="4">
        <f>'תקציב הנדסה 2019'!M69</f>
        <v>0</v>
      </c>
      <c r="N76" s="4">
        <f>'תקציב הנדסה 2019'!N69</f>
        <v>450000</v>
      </c>
      <c r="O76" s="4">
        <f>'תקציב הנדסה 2019'!O69</f>
        <v>13850000</v>
      </c>
      <c r="P76" s="4">
        <f>'תקציב הנדסה 2019'!P69</f>
        <v>200000</v>
      </c>
      <c r="Q76" s="4">
        <f>'תקציב הנדסה 2019'!Q69</f>
        <v>0</v>
      </c>
      <c r="R76" s="4">
        <f>'תקציב הנדסה 2019'!R69</f>
        <v>0</v>
      </c>
      <c r="S76" s="4">
        <f>'תקציב הנדסה 2019'!S69</f>
        <v>0</v>
      </c>
      <c r="T76" s="4">
        <f>'תקציב הנדסה 2019'!T69</f>
        <v>200000</v>
      </c>
      <c r="U76" s="4">
        <f>'תקציב הנדסה 2019'!U69</f>
        <v>250000</v>
      </c>
      <c r="V76" s="4">
        <f>'תקציב הנדסה 2019'!V69</f>
        <v>250000</v>
      </c>
      <c r="W76" s="4">
        <f>'תקציב הנדסה 2019'!W69</f>
        <v>0</v>
      </c>
      <c r="X76" s="4">
        <f>'תקציב הנדסה 2019'!X69</f>
        <v>0</v>
      </c>
      <c r="Y76" s="4">
        <f>'תקציב הנדסה 2019'!Y69</f>
        <v>0</v>
      </c>
      <c r="Z76" s="4">
        <f>'תקציב הנדסה 2019'!Z69</f>
        <v>0</v>
      </c>
      <c r="AA76" s="3" t="s">
        <v>1109</v>
      </c>
      <c r="AB76" s="3">
        <f>'תקציב הנדסה 2019'!AB69</f>
        <v>742000</v>
      </c>
      <c r="AC76" s="21"/>
    </row>
    <row r="77" spans="1:31" s="5" customFormat="1">
      <c r="A77" s="3">
        <f t="shared" si="3"/>
        <v>71</v>
      </c>
      <c r="B77" s="3">
        <v>2007</v>
      </c>
      <c r="C77" s="3" t="s">
        <v>670</v>
      </c>
      <c r="D77" s="4">
        <f>'תקציב הנדסה 2019'!D75</f>
        <v>1100000</v>
      </c>
      <c r="E77" s="4">
        <f>'תקציב הנדסה 2019'!E75</f>
        <v>3000000</v>
      </c>
      <c r="F77" s="4">
        <f>'תקציב הנדסה 2019'!F75</f>
        <v>-1900000</v>
      </c>
      <c r="G77" s="4">
        <f>'תקציב הנדסה 2019'!G75</f>
        <v>1100000</v>
      </c>
      <c r="H77" s="4">
        <f>'תקציב הנדסה 2019'!H75</f>
        <v>0</v>
      </c>
      <c r="I77" s="4">
        <f>'תקציב הנדסה 2019'!I75</f>
        <v>0</v>
      </c>
      <c r="J77" s="4">
        <f>'תקציב הנדסה 2019'!J75</f>
        <v>982948</v>
      </c>
      <c r="K77" s="4">
        <f>'תקציב הנדסה 2019'!K75</f>
        <v>982948</v>
      </c>
      <c r="L77" s="4">
        <f>'תקציב הנדסה 2019'!L75</f>
        <v>982948</v>
      </c>
      <c r="M77" s="4">
        <f>'תקציב הנדסה 2019'!M75</f>
        <v>117052</v>
      </c>
      <c r="N77" s="4">
        <f>'תקציב הנדסה 2019'!N75</f>
        <v>0</v>
      </c>
      <c r="O77" s="4">
        <f>'תקציב הנדסה 2019'!O75</f>
        <v>0</v>
      </c>
      <c r="P77" s="4">
        <f>'תקציב הנדסה 2019'!P75</f>
        <v>117052</v>
      </c>
      <c r="Q77" s="4">
        <f>'תקציב הנדסה 2019'!Q75</f>
        <v>0</v>
      </c>
      <c r="R77" s="4">
        <f>'תקציב הנדסה 2019'!R75</f>
        <v>0</v>
      </c>
      <c r="S77" s="4">
        <f>'תקציב הנדסה 2019'!S75</f>
        <v>0</v>
      </c>
      <c r="T77" s="4">
        <f>'תקציב הנדסה 2019'!T75</f>
        <v>0</v>
      </c>
      <c r="U77" s="4">
        <f>'תקציב הנדסה 2019'!U75</f>
        <v>0</v>
      </c>
      <c r="V77" s="4">
        <f>'תקציב הנדסה 2019'!V75</f>
        <v>0</v>
      </c>
      <c r="W77" s="4">
        <f>'תקציב הנדסה 2019'!W75</f>
        <v>0</v>
      </c>
      <c r="X77" s="4">
        <f>'תקציב הנדסה 2019'!X75</f>
        <v>0</v>
      </c>
      <c r="Y77" s="4">
        <f>'תקציב הנדסה 2019'!Y75</f>
        <v>0</v>
      </c>
      <c r="Z77" s="4">
        <f>'תקציב הנדסה 2019'!Z75</f>
        <v>0</v>
      </c>
      <c r="AA77" s="3" t="s">
        <v>671</v>
      </c>
      <c r="AB77" s="3">
        <f>'תקציב הנדסה 2019'!AB75</f>
        <v>742000</v>
      </c>
      <c r="AC77" s="21"/>
    </row>
    <row r="78" spans="1:31" s="5" customFormat="1" ht="28">
      <c r="A78" s="3">
        <f t="shared" si="3"/>
        <v>72</v>
      </c>
      <c r="B78" s="3">
        <v>2009</v>
      </c>
      <c r="C78" s="3" t="s">
        <v>527</v>
      </c>
      <c r="D78" s="4">
        <f>'תקציב הנדסה 2019'!D76</f>
        <v>9000000</v>
      </c>
      <c r="E78" s="4">
        <f>'תקציב הנדסה 2019'!E76</f>
        <v>9000000</v>
      </c>
      <c r="F78" s="4">
        <f>'תקציב הנדסה 2019'!F76</f>
        <v>0</v>
      </c>
      <c r="G78" s="4">
        <f>'תקציב הנדסה 2019'!G76</f>
        <v>0</v>
      </c>
      <c r="H78" s="4">
        <f>'תקציב הנדסה 2019'!H76</f>
        <v>0</v>
      </c>
      <c r="I78" s="4">
        <f>'תקציב הנדסה 2019'!I76</f>
        <v>0</v>
      </c>
      <c r="J78" s="4">
        <f>'תקציב הנדסה 2019'!J76</f>
        <v>0</v>
      </c>
      <c r="K78" s="4">
        <f>'תקציב הנדסה 2019'!K76</f>
        <v>0</v>
      </c>
      <c r="L78" s="4">
        <f>'תקציב הנדסה 2019'!L76</f>
        <v>0</v>
      </c>
      <c r="M78" s="4">
        <f>'תקציב הנדסה 2019'!M76</f>
        <v>0</v>
      </c>
      <c r="N78" s="4">
        <f>'תקציב הנדסה 2019'!N76</f>
        <v>1000000</v>
      </c>
      <c r="O78" s="4">
        <f>'תקציב הנדסה 2019'!O76</f>
        <v>8000000</v>
      </c>
      <c r="P78" s="4">
        <f>'תקציב הנדסה 2019'!P76</f>
        <v>0</v>
      </c>
      <c r="Q78" s="4">
        <f>'תקציב הנדסה 2019'!Q76</f>
        <v>0</v>
      </c>
      <c r="R78" s="4">
        <f>'תקציב הנדסה 2019'!R76</f>
        <v>0</v>
      </c>
      <c r="S78" s="4">
        <f>'תקציב הנדסה 2019'!S76</f>
        <v>0</v>
      </c>
      <c r="T78" s="4">
        <f>'תקציב הנדסה 2019'!T76</f>
        <v>0</v>
      </c>
      <c r="U78" s="4">
        <f>'תקציב הנדסה 2019'!U76</f>
        <v>1000000</v>
      </c>
      <c r="V78" s="4">
        <f>'תקציב הנדסה 2019'!V76</f>
        <v>1000000</v>
      </c>
      <c r="W78" s="4">
        <f>'תקציב הנדסה 2019'!W76</f>
        <v>0</v>
      </c>
      <c r="X78" s="4">
        <f>'תקציב הנדסה 2019'!X76</f>
        <v>0</v>
      </c>
      <c r="Y78" s="4">
        <f>'תקציב הנדסה 2019'!Y76</f>
        <v>0</v>
      </c>
      <c r="Z78" s="4">
        <f>'תקציב הנדסה 2019'!Z76</f>
        <v>0</v>
      </c>
      <c r="AA78" s="3" t="s">
        <v>1110</v>
      </c>
      <c r="AB78" s="3">
        <f>'תקציב הנדסה 2019'!AB76</f>
        <v>742000</v>
      </c>
      <c r="AC78" s="21"/>
    </row>
    <row r="79" spans="1:31" s="5" customFormat="1" ht="42">
      <c r="A79" s="3">
        <f t="shared" si="3"/>
        <v>73</v>
      </c>
      <c r="B79" s="3">
        <v>2010</v>
      </c>
      <c r="C79" s="3" t="s">
        <v>673</v>
      </c>
      <c r="D79" s="4">
        <f>'תקציב הנדסה 2019'!D77</f>
        <v>8000000</v>
      </c>
      <c r="E79" s="4">
        <f>'תקציב הנדסה 2019'!E77</f>
        <v>8000000</v>
      </c>
      <c r="F79" s="4">
        <f>'תקציב הנדסה 2019'!F77</f>
        <v>0</v>
      </c>
      <c r="G79" s="4">
        <f>'תקציב הנדסה 2019'!G77</f>
        <v>500000</v>
      </c>
      <c r="H79" s="4">
        <f>'תקציב הנדסה 2019'!H77</f>
        <v>0</v>
      </c>
      <c r="I79" s="4">
        <f>'תקציב הנדסה 2019'!I77</f>
        <v>0</v>
      </c>
      <c r="J79" s="4">
        <f>'תקציב הנדסה 2019'!J77</f>
        <v>0</v>
      </c>
      <c r="K79" s="4">
        <f>'תקציב הנדסה 2019'!K77</f>
        <v>0</v>
      </c>
      <c r="L79" s="4">
        <f>'תקציב הנדסה 2019'!L77</f>
        <v>0</v>
      </c>
      <c r="M79" s="4">
        <f>'תקציב הנדסה 2019'!M77</f>
        <v>0</v>
      </c>
      <c r="N79" s="4">
        <f>'תקציב הנדסה 2019'!N77</f>
        <v>960000</v>
      </c>
      <c r="O79" s="4">
        <f>'תקציב הנדסה 2019'!O77</f>
        <v>7040000</v>
      </c>
      <c r="P79" s="4">
        <f>'תקציב הנדסה 2019'!P77</f>
        <v>500000</v>
      </c>
      <c r="Q79" s="4">
        <f>'תקציב הנדסה 2019'!Q77</f>
        <v>0</v>
      </c>
      <c r="R79" s="4">
        <f>'תקציב הנדסה 2019'!R77</f>
        <v>0</v>
      </c>
      <c r="S79" s="4">
        <f>'תקציב הנדסה 2019'!S77</f>
        <v>0</v>
      </c>
      <c r="T79" s="4">
        <f>'תקציב הנדסה 2019'!T77</f>
        <v>500000</v>
      </c>
      <c r="U79" s="4">
        <f>'תקציב הנדסה 2019'!U77</f>
        <v>460000</v>
      </c>
      <c r="V79" s="4">
        <f>'תקציב הנדסה 2019'!V77</f>
        <v>460000</v>
      </c>
      <c r="W79" s="4">
        <f>'תקציב הנדסה 2019'!W77</f>
        <v>0</v>
      </c>
      <c r="X79" s="4">
        <f>'תקציב הנדסה 2019'!X77</f>
        <v>0</v>
      </c>
      <c r="Y79" s="4">
        <f>'תקציב הנדסה 2019'!Y77</f>
        <v>0</v>
      </c>
      <c r="Z79" s="4">
        <f>'תקציב הנדסה 2019'!Z77</f>
        <v>0</v>
      </c>
      <c r="AA79" s="3" t="s">
        <v>1111</v>
      </c>
      <c r="AB79" s="3">
        <f>'תקציב הנדסה 2019'!AB77</f>
        <v>742000</v>
      </c>
      <c r="AC79" s="21"/>
      <c r="AD79" s="6"/>
      <c r="AE79" s="6"/>
    </row>
    <row r="80" spans="1:31" s="5" customFormat="1" ht="28">
      <c r="A80" s="3">
        <f t="shared" si="3"/>
        <v>74</v>
      </c>
      <c r="B80" s="3">
        <v>2011</v>
      </c>
      <c r="C80" s="3" t="s">
        <v>529</v>
      </c>
      <c r="D80" s="4">
        <f>'תקציב הנדסה 2019'!D78</f>
        <v>80000000</v>
      </c>
      <c r="E80" s="4">
        <f>'תקציב הנדסה 2019'!E78</f>
        <v>80000000</v>
      </c>
      <c r="F80" s="4">
        <f>'תקציב הנדסה 2019'!F78</f>
        <v>0</v>
      </c>
      <c r="G80" s="4">
        <f>'תקציב הנדסה 2019'!G78</f>
        <v>0</v>
      </c>
      <c r="H80" s="4">
        <f>'תקציב הנדסה 2019'!H78</f>
        <v>0</v>
      </c>
      <c r="I80" s="4">
        <f>'תקציב הנדסה 2019'!I78</f>
        <v>0</v>
      </c>
      <c r="J80" s="4">
        <f>'תקציב הנדסה 2019'!J78</f>
        <v>0</v>
      </c>
      <c r="K80" s="4">
        <f>'תקציב הנדסה 2019'!K78</f>
        <v>0</v>
      </c>
      <c r="L80" s="4">
        <f>'תקציב הנדסה 2019'!L78</f>
        <v>0</v>
      </c>
      <c r="M80" s="4">
        <f>'תקציב הנדסה 2019'!M78</f>
        <v>0</v>
      </c>
      <c r="N80" s="4">
        <f>'תקציב הנדסה 2019'!N78</f>
        <v>2000000</v>
      </c>
      <c r="O80" s="4">
        <f>'תקציב הנדסה 2019'!O78</f>
        <v>78000000</v>
      </c>
      <c r="P80" s="4">
        <f>'תקציב הנדסה 2019'!P78</f>
        <v>0</v>
      </c>
      <c r="Q80" s="4">
        <f>'תקציב הנדסה 2019'!Q78</f>
        <v>0</v>
      </c>
      <c r="R80" s="4">
        <f>'תקציב הנדסה 2019'!R78</f>
        <v>0</v>
      </c>
      <c r="S80" s="4">
        <f>'תקציב הנדסה 2019'!S78</f>
        <v>0</v>
      </c>
      <c r="T80" s="4">
        <f>'תקציב הנדסה 2019'!T78</f>
        <v>0</v>
      </c>
      <c r="U80" s="4">
        <f>'תקציב הנדסה 2019'!U78</f>
        <v>2000000</v>
      </c>
      <c r="V80" s="4">
        <f>'תקציב הנדסה 2019'!V78</f>
        <v>2000000</v>
      </c>
      <c r="W80" s="4">
        <f>'תקציב הנדסה 2019'!W78</f>
        <v>0</v>
      </c>
      <c r="X80" s="4">
        <f>'תקציב הנדסה 2019'!X78</f>
        <v>0</v>
      </c>
      <c r="Y80" s="4">
        <f>'תקציב הנדסה 2019'!Y78</f>
        <v>0</v>
      </c>
      <c r="Z80" s="4">
        <f>'תקציב הנדסה 2019'!Z78</f>
        <v>0</v>
      </c>
      <c r="AA80" s="47" t="s">
        <v>1112</v>
      </c>
      <c r="AB80" s="3">
        <f>'תקציב הנדסה 2019'!AB78</f>
        <v>742000</v>
      </c>
      <c r="AC80" s="21"/>
    </row>
    <row r="81" spans="1:31" s="5" customFormat="1" ht="42">
      <c r="A81" s="3">
        <f t="shared" si="3"/>
        <v>75</v>
      </c>
      <c r="B81" s="3">
        <v>2012</v>
      </c>
      <c r="C81" s="3" t="s">
        <v>530</v>
      </c>
      <c r="D81" s="4">
        <f>'תקציב הנדסה 2019'!D79</f>
        <v>5000000</v>
      </c>
      <c r="E81" s="4">
        <f>'תקציב הנדסה 2019'!E79</f>
        <v>5000000</v>
      </c>
      <c r="F81" s="4">
        <f>'תקציב הנדסה 2019'!F79</f>
        <v>0</v>
      </c>
      <c r="G81" s="4">
        <f>'תקציב הנדסה 2019'!G79</f>
        <v>0</v>
      </c>
      <c r="H81" s="4">
        <f>'תקציב הנדסה 2019'!H79</f>
        <v>0</v>
      </c>
      <c r="I81" s="4">
        <f>'תקציב הנדסה 2019'!I79</f>
        <v>0</v>
      </c>
      <c r="J81" s="4">
        <f>'תקציב הנדסה 2019'!J79</f>
        <v>0</v>
      </c>
      <c r="K81" s="4">
        <f>'תקציב הנדסה 2019'!K79</f>
        <v>0</v>
      </c>
      <c r="L81" s="4">
        <f>'תקציב הנדסה 2019'!L79</f>
        <v>0</v>
      </c>
      <c r="M81" s="4">
        <f>'תקציב הנדסה 2019'!M79</f>
        <v>0</v>
      </c>
      <c r="N81" s="4">
        <f>'תקציב הנדסה 2019'!N79</f>
        <v>200000</v>
      </c>
      <c r="O81" s="4">
        <f>'תקציב הנדסה 2019'!O79</f>
        <v>4800000</v>
      </c>
      <c r="P81" s="4">
        <f>'תקציב הנדסה 2019'!P79</f>
        <v>0</v>
      </c>
      <c r="Q81" s="4">
        <f>'תקציב הנדסה 2019'!Q79</f>
        <v>200000</v>
      </c>
      <c r="R81" s="4">
        <f>'תקציב הנדסה 2019'!R79</f>
        <v>0</v>
      </c>
      <c r="S81" s="4">
        <f>'תקציב הנדסה 2019'!S79</f>
        <v>200000</v>
      </c>
      <c r="T81" s="4">
        <f>'תקציב הנדסה 2019'!T79</f>
        <v>200000</v>
      </c>
      <c r="U81" s="4">
        <f>'תקציב הנדסה 2019'!U79</f>
        <v>0</v>
      </c>
      <c r="V81" s="4">
        <f>'תקציב הנדסה 2019'!V79</f>
        <v>0</v>
      </c>
      <c r="W81" s="4">
        <f>'תקציב הנדסה 2019'!W79</f>
        <v>0</v>
      </c>
      <c r="X81" s="4">
        <f>'תקציב הנדסה 2019'!X79</f>
        <v>0</v>
      </c>
      <c r="Y81" s="4">
        <f>'תקציב הנדסה 2019'!Y79</f>
        <v>0</v>
      </c>
      <c r="Z81" s="4">
        <f>'תקציב הנדסה 2019'!Z79</f>
        <v>0</v>
      </c>
      <c r="AA81" s="3" t="s">
        <v>1099</v>
      </c>
      <c r="AB81" s="3">
        <f>'תקציב הנדסה 2019'!AB79</f>
        <v>742000</v>
      </c>
      <c r="AC81" s="21"/>
    </row>
    <row r="82" spans="1:31" s="5" customFormat="1" ht="28">
      <c r="A82" s="3">
        <f t="shared" si="3"/>
        <v>76</v>
      </c>
      <c r="B82" s="42">
        <v>2077</v>
      </c>
      <c r="C82" s="3" t="s">
        <v>679</v>
      </c>
      <c r="D82" s="4">
        <f>'תקציב הנדסה 2019'!D82</f>
        <v>4000000</v>
      </c>
      <c r="E82" s="4">
        <f>'תקציב הנדסה 2019'!E82</f>
        <v>4000000</v>
      </c>
      <c r="F82" s="4">
        <f>'תקציב הנדסה 2019'!F82</f>
        <v>0</v>
      </c>
      <c r="G82" s="4">
        <f>'תקציב הנדסה 2019'!G82</f>
        <v>0</v>
      </c>
      <c r="H82" s="4">
        <f>'תקציב הנדסה 2019'!H82</f>
        <v>0</v>
      </c>
      <c r="I82" s="4">
        <f>'תקציב הנדסה 2019'!I82</f>
        <v>0</v>
      </c>
      <c r="J82" s="4">
        <f>'תקציב הנדסה 2019'!J82</f>
        <v>0</v>
      </c>
      <c r="K82" s="4">
        <f>'תקציב הנדסה 2019'!K82</f>
        <v>0</v>
      </c>
      <c r="L82" s="4">
        <f>'תקציב הנדסה 2019'!L82</f>
        <v>0</v>
      </c>
      <c r="M82" s="4">
        <f>'תקציב הנדסה 2019'!M82</f>
        <v>0</v>
      </c>
      <c r="N82" s="4">
        <f>'תקציב הנדסה 2019'!N82</f>
        <v>0</v>
      </c>
      <c r="O82" s="4">
        <f>'תקציב הנדסה 2019'!O82</f>
        <v>4000000</v>
      </c>
      <c r="P82" s="4">
        <f>'תקציב הנדסה 2019'!P82</f>
        <v>0</v>
      </c>
      <c r="Q82" s="4">
        <f>'תקציב הנדסה 2019'!Q82</f>
        <v>0</v>
      </c>
      <c r="R82" s="4">
        <f>'תקציב הנדסה 2019'!R82</f>
        <v>0</v>
      </c>
      <c r="S82" s="4">
        <f>'תקציב הנדסה 2019'!S82</f>
        <v>0</v>
      </c>
      <c r="T82" s="4">
        <f>'תקציב הנדסה 2019'!T82</f>
        <v>0</v>
      </c>
      <c r="U82" s="4">
        <f>'תקציב הנדסה 2019'!U82</f>
        <v>0</v>
      </c>
      <c r="V82" s="4">
        <f>'תקציב הנדסה 2019'!V82</f>
        <v>0</v>
      </c>
      <c r="W82" s="4">
        <f>'תקציב הנדסה 2019'!W82</f>
        <v>0</v>
      </c>
      <c r="X82" s="4">
        <f>'תקציב הנדסה 2019'!X82</f>
        <v>0</v>
      </c>
      <c r="Y82" s="4">
        <f>'תקציב הנדסה 2019'!Y82</f>
        <v>0</v>
      </c>
      <c r="Z82" s="4">
        <f>'תקציב הנדסה 2019'!Z82</f>
        <v>0</v>
      </c>
      <c r="AA82" s="410" t="s">
        <v>680</v>
      </c>
      <c r="AB82" s="3">
        <f>'תקציב הנדסה 2019'!AB82</f>
        <v>742000</v>
      </c>
      <c r="AC82" s="21"/>
    </row>
    <row r="83" spans="1:31" s="6" customFormat="1" ht="28">
      <c r="A83" s="3">
        <f>A81+1</f>
        <v>76</v>
      </c>
      <c r="B83" s="3">
        <v>2078</v>
      </c>
      <c r="C83" s="3" t="s">
        <v>681</v>
      </c>
      <c r="D83" s="4">
        <f>'תקציב הנדסה 2019'!D83</f>
        <v>2260000</v>
      </c>
      <c r="E83" s="4">
        <f>'תקציב הנדסה 2019'!E83</f>
        <v>2260000</v>
      </c>
      <c r="F83" s="4">
        <f>'תקציב הנדסה 2019'!F83</f>
        <v>0</v>
      </c>
      <c r="G83" s="4">
        <f>'תקציב הנדסה 2019'!G83</f>
        <v>150000</v>
      </c>
      <c r="H83" s="4">
        <f>'תקציב הנדסה 2019'!H83</f>
        <v>0</v>
      </c>
      <c r="I83" s="4">
        <f>'תקציב הנדסה 2019'!I83</f>
        <v>0</v>
      </c>
      <c r="J83" s="4">
        <f>'תקציב הנדסה 2019'!J83</f>
        <v>0</v>
      </c>
      <c r="K83" s="4">
        <f>'תקציב הנדסה 2019'!K83</f>
        <v>0</v>
      </c>
      <c r="L83" s="4">
        <f>'תקציב הנדסה 2019'!L83</f>
        <v>0</v>
      </c>
      <c r="M83" s="4">
        <f>'תקציב הנדסה 2019'!M83</f>
        <v>150000</v>
      </c>
      <c r="N83" s="4">
        <f>'תקציב הנדסה 2019'!N83</f>
        <v>300000</v>
      </c>
      <c r="O83" s="4">
        <f>'תקציב הנדסה 2019'!O83</f>
        <v>1810000</v>
      </c>
      <c r="P83" s="4">
        <f>'תקציב הנדסה 2019'!P83</f>
        <v>150000</v>
      </c>
      <c r="Q83" s="4">
        <f>'תקציב הנדסה 2019'!Q83</f>
        <v>0</v>
      </c>
      <c r="R83" s="4">
        <f>'תקציב הנדסה 2019'!R83</f>
        <v>0</v>
      </c>
      <c r="S83" s="4">
        <f>'תקציב הנדסה 2019'!S83</f>
        <v>0</v>
      </c>
      <c r="T83" s="4">
        <f>'תקציב הנדסה 2019'!T83</f>
        <v>0</v>
      </c>
      <c r="U83" s="4">
        <f>'תקציב הנדסה 2019'!U83</f>
        <v>300000</v>
      </c>
      <c r="V83" s="4">
        <f>'תקציב הנדסה 2019'!V83</f>
        <v>300000</v>
      </c>
      <c r="W83" s="4">
        <f>'תקציב הנדסה 2019'!W83</f>
        <v>0</v>
      </c>
      <c r="X83" s="4">
        <f>'תקציב הנדסה 2019'!X83</f>
        <v>0</v>
      </c>
      <c r="Y83" s="4">
        <f>'תקציב הנדסה 2019'!Y83</f>
        <v>0</v>
      </c>
      <c r="Z83" s="4">
        <f>'תקציב הנדסה 2019'!Z83</f>
        <v>0</v>
      </c>
      <c r="AA83" s="3" t="s">
        <v>682</v>
      </c>
      <c r="AB83" s="3">
        <f>'תקציב הנדסה 2019'!AB83</f>
        <v>742000</v>
      </c>
      <c r="AC83" s="21"/>
      <c r="AD83" s="5"/>
      <c r="AE83" s="5"/>
    </row>
    <row r="84" spans="1:31" s="5" customFormat="1">
      <c r="A84" s="3">
        <f>A83+1</f>
        <v>77</v>
      </c>
      <c r="B84" s="3">
        <f>'תקציב הנדסה 2019'!B84</f>
        <v>2104</v>
      </c>
      <c r="C84" s="3" t="s">
        <v>683</v>
      </c>
      <c r="D84" s="4">
        <f>'תקציב הנדסה 2019'!D84</f>
        <v>18500000</v>
      </c>
      <c r="E84" s="4">
        <f>'תקציב הנדסה 2019'!E84</f>
        <v>0</v>
      </c>
      <c r="F84" s="4">
        <f>'תקציב הנדסה 2019'!F84</f>
        <v>18500000</v>
      </c>
      <c r="G84" s="4">
        <f>'תקציב הנדסה 2019'!G84</f>
        <v>0</v>
      </c>
      <c r="H84" s="4">
        <f>'תקציב הנדסה 2019'!H84</f>
        <v>0</v>
      </c>
      <c r="I84" s="4">
        <f>'תקציב הנדסה 2019'!I84</f>
        <v>0</v>
      </c>
      <c r="J84" s="4">
        <f>'תקציב הנדסה 2019'!J84</f>
        <v>0</v>
      </c>
      <c r="K84" s="4">
        <f>'תקציב הנדסה 2019'!K84</f>
        <v>0</v>
      </c>
      <c r="L84" s="4">
        <f>'תקציב הנדסה 2019'!L84</f>
        <v>0</v>
      </c>
      <c r="M84" s="4">
        <f>'תקציב הנדסה 2019'!M84</f>
        <v>0</v>
      </c>
      <c r="N84" s="4">
        <f>'תקציב הנדסה 2019'!N84</f>
        <v>7500000</v>
      </c>
      <c r="O84" s="4">
        <f>'תקציב הנדסה 2019'!O84</f>
        <v>11000000</v>
      </c>
      <c r="P84" s="4">
        <f>'תקציב הנדסה 2019'!P84</f>
        <v>0</v>
      </c>
      <c r="Q84" s="4">
        <f>'תקציב הנדסה 2019'!Q84</f>
        <v>0</v>
      </c>
      <c r="R84" s="4">
        <f>'תקציב הנדסה 2019'!R84</f>
        <v>0</v>
      </c>
      <c r="S84" s="4">
        <f>'תקציב הנדסה 2019'!S84</f>
        <v>0</v>
      </c>
      <c r="T84" s="4">
        <f>'תקציב הנדסה 2019'!T84</f>
        <v>0</v>
      </c>
      <c r="U84" s="4">
        <f>'תקציב הנדסה 2019'!U84</f>
        <v>7500000</v>
      </c>
      <c r="V84" s="4">
        <f>'תקציב הנדסה 2019'!V84</f>
        <v>7500000</v>
      </c>
      <c r="W84" s="4">
        <f>'תקציב הנדסה 2019'!W84</f>
        <v>0</v>
      </c>
      <c r="X84" s="4">
        <f>'תקציב הנדסה 2019'!X84</f>
        <v>0</v>
      </c>
      <c r="Y84" s="4">
        <f>'תקציב הנדסה 2019'!Y84</f>
        <v>0</v>
      </c>
      <c r="Z84" s="4">
        <f>'תקציב הנדסה 2019'!Z84</f>
        <v>0</v>
      </c>
      <c r="AA84" s="47" t="s">
        <v>1114</v>
      </c>
      <c r="AB84" s="3">
        <f>'תקציב הנדסה 2019'!AB84</f>
        <v>742000</v>
      </c>
      <c r="AC84" s="21"/>
    </row>
    <row r="85" spans="1:31" s="5" customFormat="1" ht="42">
      <c r="A85" s="3">
        <f>A84+1</f>
        <v>78</v>
      </c>
      <c r="B85" s="3">
        <f>'תקציב הנדסה 2019'!B85</f>
        <v>2105</v>
      </c>
      <c r="C85" s="3" t="s">
        <v>1237</v>
      </c>
      <c r="D85" s="4">
        <f>'תקציב הנדסה 2019'!D85</f>
        <v>60000000</v>
      </c>
      <c r="E85" s="4">
        <f>'תקציב הנדסה 2019'!E85</f>
        <v>0</v>
      </c>
      <c r="F85" s="4">
        <f>'תקציב הנדסה 2019'!F85</f>
        <v>60000000</v>
      </c>
      <c r="G85" s="4">
        <f>'תקציב הנדסה 2019'!G85</f>
        <v>0</v>
      </c>
      <c r="H85" s="4">
        <f>'תקציב הנדסה 2019'!H85</f>
        <v>0</v>
      </c>
      <c r="I85" s="4">
        <f>'תקציב הנדסה 2019'!I85</f>
        <v>0</v>
      </c>
      <c r="J85" s="4">
        <f>'תקציב הנדסה 2019'!J85</f>
        <v>0</v>
      </c>
      <c r="K85" s="4">
        <f>'תקציב הנדסה 2019'!K85</f>
        <v>0</v>
      </c>
      <c r="L85" s="4">
        <f>'תקציב הנדסה 2019'!L85</f>
        <v>0</v>
      </c>
      <c r="M85" s="4">
        <f>'תקציב הנדסה 2019'!M85</f>
        <v>0</v>
      </c>
      <c r="N85" s="4">
        <f>'תקציב הנדסה 2019'!N85</f>
        <v>1000000</v>
      </c>
      <c r="O85" s="4">
        <f>'תקציב הנדסה 2019'!O85</f>
        <v>59000000</v>
      </c>
      <c r="P85" s="4">
        <f>'תקציב הנדסה 2019'!P85</f>
        <v>0</v>
      </c>
      <c r="Q85" s="4">
        <f>'תקציב הנדסה 2019'!Q85</f>
        <v>0</v>
      </c>
      <c r="R85" s="4">
        <f>'תקציב הנדסה 2019'!R85</f>
        <v>0</v>
      </c>
      <c r="S85" s="4">
        <f>'תקציב הנדסה 2019'!S85</f>
        <v>0</v>
      </c>
      <c r="T85" s="4">
        <f>'תקציב הנדסה 2019'!T85</f>
        <v>0</v>
      </c>
      <c r="U85" s="4">
        <f>'תקציב הנדסה 2019'!U85</f>
        <v>1000000</v>
      </c>
      <c r="V85" s="4">
        <f>'תקציב הנדסה 2019'!V85</f>
        <v>1000000</v>
      </c>
      <c r="W85" s="4">
        <f>'תקציב הנדסה 2019'!W85</f>
        <v>0</v>
      </c>
      <c r="X85" s="4">
        <f>'תקציב הנדסה 2019'!X85</f>
        <v>0</v>
      </c>
      <c r="Y85" s="4">
        <f>'תקציב הנדסה 2019'!Y85</f>
        <v>0</v>
      </c>
      <c r="Z85" s="4">
        <f>'תקציב הנדסה 2019'!Z85</f>
        <v>0</v>
      </c>
      <c r="AA85" s="3" t="s">
        <v>1236</v>
      </c>
      <c r="AB85" s="3">
        <f>'תקציב הנדסה 2019'!AB85</f>
        <v>742000</v>
      </c>
      <c r="AC85" s="21"/>
    </row>
    <row r="86" spans="1:31" s="5" customFormat="1" ht="42">
      <c r="A86" s="3">
        <f>A85+1</f>
        <v>79</v>
      </c>
      <c r="B86" s="3">
        <f>'תקציב הנדסה 2019'!B86</f>
        <v>2106</v>
      </c>
      <c r="C86" s="3" t="s">
        <v>684</v>
      </c>
      <c r="D86" s="4">
        <f>'תקציב הנדסה 2019'!D86</f>
        <v>15000000</v>
      </c>
      <c r="E86" s="4">
        <f>'תקציב הנדסה 2019'!E86</f>
        <v>0</v>
      </c>
      <c r="F86" s="4">
        <f>'תקציב הנדסה 2019'!F86</f>
        <v>15000000</v>
      </c>
      <c r="G86" s="4">
        <f>'תקציב הנדסה 2019'!G86</f>
        <v>0</v>
      </c>
      <c r="H86" s="4">
        <f>'תקציב הנדסה 2019'!H86</f>
        <v>0</v>
      </c>
      <c r="I86" s="4">
        <f>'תקציב הנדסה 2019'!I86</f>
        <v>0</v>
      </c>
      <c r="J86" s="4">
        <f>'תקציב הנדסה 2019'!J86</f>
        <v>0</v>
      </c>
      <c r="K86" s="4">
        <f>'תקציב הנדסה 2019'!K86</f>
        <v>0</v>
      </c>
      <c r="L86" s="4">
        <f>'תקציב הנדסה 2019'!L86</f>
        <v>0</v>
      </c>
      <c r="M86" s="4">
        <f>'תקציב הנדסה 2019'!M86</f>
        <v>0</v>
      </c>
      <c r="N86" s="4">
        <f>'תקציב הנדסה 2019'!N86</f>
        <v>500000</v>
      </c>
      <c r="O86" s="4">
        <f>'תקציב הנדסה 2019'!O86</f>
        <v>14500000</v>
      </c>
      <c r="P86" s="4">
        <f>'תקציב הנדסה 2019'!P86</f>
        <v>0</v>
      </c>
      <c r="Q86" s="4">
        <f>'תקציב הנדסה 2019'!Q86</f>
        <v>0</v>
      </c>
      <c r="R86" s="4">
        <f>'תקציב הנדסה 2019'!R86</f>
        <v>0</v>
      </c>
      <c r="S86" s="4">
        <f>'תקציב הנדסה 2019'!S86</f>
        <v>0</v>
      </c>
      <c r="T86" s="4">
        <f>'תקציב הנדסה 2019'!T86</f>
        <v>0</v>
      </c>
      <c r="U86" s="4">
        <f>'תקציב הנדסה 2019'!U86</f>
        <v>500000</v>
      </c>
      <c r="V86" s="4">
        <f>'תקציב הנדסה 2019'!V86</f>
        <v>500000</v>
      </c>
      <c r="W86" s="4">
        <f>'תקציב הנדסה 2019'!W86</f>
        <v>0</v>
      </c>
      <c r="X86" s="4">
        <f>'תקציב הנדסה 2019'!X86</f>
        <v>0</v>
      </c>
      <c r="Y86" s="4">
        <f>'תקציב הנדסה 2019'!Y86</f>
        <v>0</v>
      </c>
      <c r="Z86" s="4">
        <f>'תקציב הנדסה 2019'!Z86</f>
        <v>0</v>
      </c>
      <c r="AA86" s="3" t="s">
        <v>1245</v>
      </c>
      <c r="AB86" s="3">
        <f>'תקציב הנדסה 2019'!AB86</f>
        <v>742000</v>
      </c>
      <c r="AC86" s="21"/>
      <c r="AD86" s="6"/>
      <c r="AE86" s="6"/>
    </row>
    <row r="87" spans="1:31" s="6" customFormat="1" ht="28">
      <c r="A87" s="3">
        <f>A86+1</f>
        <v>80</v>
      </c>
      <c r="B87" s="3">
        <f>'תקציב הנדסה 2019'!B87</f>
        <v>2107</v>
      </c>
      <c r="C87" s="3" t="s">
        <v>685</v>
      </c>
      <c r="D87" s="4">
        <f>'תקציב הנדסה 2019'!D87</f>
        <v>340000</v>
      </c>
      <c r="E87" s="4">
        <f>'תקציב הנדסה 2019'!E87</f>
        <v>0</v>
      </c>
      <c r="F87" s="4">
        <f>'תקציב הנדסה 2019'!F87</f>
        <v>340000</v>
      </c>
      <c r="G87" s="4">
        <f>'תקציב הנדסה 2019'!G87</f>
        <v>0</v>
      </c>
      <c r="H87" s="4">
        <f>'תקציב הנדסה 2019'!H87</f>
        <v>0</v>
      </c>
      <c r="I87" s="4">
        <f>'תקציב הנדסה 2019'!I87</f>
        <v>0</v>
      </c>
      <c r="J87" s="4">
        <f>'תקציב הנדסה 2019'!J87</f>
        <v>0</v>
      </c>
      <c r="K87" s="4">
        <f>'תקציב הנדסה 2019'!K87</f>
        <v>0</v>
      </c>
      <c r="L87" s="4">
        <f>'תקציב הנדסה 2019'!L87</f>
        <v>0</v>
      </c>
      <c r="M87" s="4">
        <f>'תקציב הנדסה 2019'!M87</f>
        <v>0</v>
      </c>
      <c r="N87" s="4">
        <f>'תקציב הנדסה 2019'!N87</f>
        <v>340000</v>
      </c>
      <c r="O87" s="4">
        <f>'תקציב הנדסה 2019'!O87</f>
        <v>0</v>
      </c>
      <c r="P87" s="4">
        <f>'תקציב הנדסה 2019'!P87</f>
        <v>0</v>
      </c>
      <c r="Q87" s="4">
        <f>'תקציב הנדסה 2019'!Q87</f>
        <v>0</v>
      </c>
      <c r="R87" s="4">
        <f>'תקציב הנדסה 2019'!R87</f>
        <v>0</v>
      </c>
      <c r="S87" s="4">
        <f>'תקציב הנדסה 2019'!S87</f>
        <v>0</v>
      </c>
      <c r="T87" s="4">
        <f>'תקציב הנדסה 2019'!T87</f>
        <v>0</v>
      </c>
      <c r="U87" s="4">
        <f>'תקציב הנדסה 2019'!U87</f>
        <v>340000</v>
      </c>
      <c r="V87" s="4">
        <f>'תקציב הנדסה 2019'!V87</f>
        <v>340000</v>
      </c>
      <c r="W87" s="4">
        <f>'תקציב הנדסה 2019'!W87</f>
        <v>0</v>
      </c>
      <c r="X87" s="4">
        <f>'תקציב הנדסה 2019'!X87</f>
        <v>0</v>
      </c>
      <c r="Y87" s="4">
        <f>'תקציב הנדסה 2019'!Y87</f>
        <v>0</v>
      </c>
      <c r="Z87" s="4">
        <f>'תקציב הנדסה 2019'!Z87</f>
        <v>0</v>
      </c>
      <c r="AA87" s="3" t="s">
        <v>1113</v>
      </c>
      <c r="AB87" s="3">
        <f>'תקציב הנדסה 2019'!AB87</f>
        <v>742000</v>
      </c>
      <c r="AC87" s="21"/>
      <c r="AD87" s="5"/>
      <c r="AE87" s="5"/>
    </row>
    <row r="88" spans="1:31" s="6" customFormat="1">
      <c r="A88" s="3">
        <f t="shared" ref="A88:A94" si="4">1+A87</f>
        <v>81</v>
      </c>
      <c r="B88" s="3">
        <f>'תקציב הנדסה 2019'!B89</f>
        <v>2109</v>
      </c>
      <c r="C88" s="3" t="s">
        <v>687</v>
      </c>
      <c r="D88" s="4">
        <f>'תקציב הנדסה 2019'!D89</f>
        <v>2000000</v>
      </c>
      <c r="E88" s="4">
        <f>'תקציב הנדסה 2019'!E89</f>
        <v>0</v>
      </c>
      <c r="F88" s="4">
        <f>'תקציב הנדסה 2019'!F89</f>
        <v>2000000</v>
      </c>
      <c r="G88" s="4">
        <f>'תקציב הנדסה 2019'!G89</f>
        <v>0</v>
      </c>
      <c r="H88" s="4">
        <f>'תקציב הנדסה 2019'!H89</f>
        <v>0</v>
      </c>
      <c r="I88" s="4">
        <f>'תקציב הנדסה 2019'!I89</f>
        <v>0</v>
      </c>
      <c r="J88" s="4">
        <f>'תקציב הנדסה 2019'!J89</f>
        <v>0</v>
      </c>
      <c r="K88" s="4">
        <f>'תקציב הנדסה 2019'!K89</f>
        <v>0</v>
      </c>
      <c r="L88" s="4">
        <f>'תקציב הנדסה 2019'!L89</f>
        <v>0</v>
      </c>
      <c r="M88" s="4">
        <f>'תקציב הנדסה 2019'!M89</f>
        <v>0</v>
      </c>
      <c r="N88" s="4">
        <f>'תקציב הנדסה 2019'!N89</f>
        <v>500000</v>
      </c>
      <c r="O88" s="4">
        <f>'תקציב הנדסה 2019'!O89</f>
        <v>1500000</v>
      </c>
      <c r="P88" s="4">
        <f>'תקציב הנדסה 2019'!P89</f>
        <v>0</v>
      </c>
      <c r="Q88" s="4">
        <f>'תקציב הנדסה 2019'!Q89</f>
        <v>0</v>
      </c>
      <c r="R88" s="4">
        <f>'תקציב הנדסה 2019'!R89</f>
        <v>0</v>
      </c>
      <c r="S88" s="4">
        <f>'תקציב הנדסה 2019'!S89</f>
        <v>0</v>
      </c>
      <c r="T88" s="4">
        <f>'תקציב הנדסה 2019'!T89</f>
        <v>0</v>
      </c>
      <c r="U88" s="4">
        <f>'תקציב הנדסה 2019'!U89</f>
        <v>500000</v>
      </c>
      <c r="V88" s="4">
        <f>'תקציב הנדסה 2019'!V89</f>
        <v>500000</v>
      </c>
      <c r="W88" s="4">
        <f>'תקציב הנדסה 2019'!W89</f>
        <v>0</v>
      </c>
      <c r="X88" s="4">
        <f>'תקציב הנדסה 2019'!X89</f>
        <v>0</v>
      </c>
      <c r="Y88" s="4">
        <f>'תקציב הנדסה 2019'!Y89</f>
        <v>0</v>
      </c>
      <c r="Z88" s="4">
        <f>'תקציב הנדסה 2019'!Z89</f>
        <v>0</v>
      </c>
      <c r="AA88" s="3" t="s">
        <v>1113</v>
      </c>
      <c r="AB88" s="3">
        <f>'תקציב הנדסה 2019'!AB89</f>
        <v>742000</v>
      </c>
      <c r="AC88" s="21"/>
      <c r="AD88" s="5"/>
      <c r="AE88" s="5"/>
    </row>
    <row r="89" spans="1:31" s="6" customFormat="1">
      <c r="A89" s="3">
        <f t="shared" si="4"/>
        <v>82</v>
      </c>
      <c r="B89" s="3">
        <f>'תקציב הנדסה 2019'!B90</f>
        <v>2110</v>
      </c>
      <c r="C89" s="3" t="s">
        <v>688</v>
      </c>
      <c r="D89" s="4">
        <f>'תקציב הנדסה 2019'!D90</f>
        <v>16000000</v>
      </c>
      <c r="E89" s="4">
        <f>'תקציב הנדסה 2019'!E90</f>
        <v>0</v>
      </c>
      <c r="F89" s="4">
        <f>'תקציב הנדסה 2019'!F90</f>
        <v>16000000</v>
      </c>
      <c r="G89" s="4">
        <f>'תקציב הנדסה 2019'!G90</f>
        <v>0</v>
      </c>
      <c r="H89" s="4">
        <f>'תקציב הנדסה 2019'!H90</f>
        <v>0</v>
      </c>
      <c r="I89" s="4">
        <f>'תקציב הנדסה 2019'!I90</f>
        <v>0</v>
      </c>
      <c r="J89" s="4">
        <f>'תקציב הנדסה 2019'!J90</f>
        <v>0</v>
      </c>
      <c r="K89" s="4">
        <f>'תקציב הנדסה 2019'!K90</f>
        <v>0</v>
      </c>
      <c r="L89" s="4">
        <f>'תקציב הנדסה 2019'!L90</f>
        <v>0</v>
      </c>
      <c r="M89" s="4">
        <f>'תקציב הנדסה 2019'!M90</f>
        <v>0</v>
      </c>
      <c r="N89" s="4">
        <f>'תקציב הנדסה 2019'!N90</f>
        <v>500000</v>
      </c>
      <c r="O89" s="4">
        <f>'תקציב הנדסה 2019'!O90</f>
        <v>15500000</v>
      </c>
      <c r="P89" s="4">
        <f>'תקציב הנדסה 2019'!P90</f>
        <v>0</v>
      </c>
      <c r="Q89" s="4">
        <f>'תקציב הנדסה 2019'!Q90</f>
        <v>0</v>
      </c>
      <c r="R89" s="4">
        <f>'תקציב הנדסה 2019'!R90</f>
        <v>0</v>
      </c>
      <c r="S89" s="4">
        <f>'תקציב הנדסה 2019'!S90</f>
        <v>0</v>
      </c>
      <c r="T89" s="4">
        <f>'תקציב הנדסה 2019'!T90</f>
        <v>0</v>
      </c>
      <c r="U89" s="4">
        <f>'תקציב הנדסה 2019'!U90</f>
        <v>500000</v>
      </c>
      <c r="V89" s="4">
        <f>'תקציב הנדסה 2019'!V90</f>
        <v>500000</v>
      </c>
      <c r="W89" s="4">
        <f>'תקציב הנדסה 2019'!W90</f>
        <v>0</v>
      </c>
      <c r="X89" s="4">
        <f>'תקציב הנדסה 2019'!X90</f>
        <v>0</v>
      </c>
      <c r="Y89" s="4">
        <f>'תקציב הנדסה 2019'!Y90</f>
        <v>0</v>
      </c>
      <c r="Z89" s="4">
        <f>'תקציב הנדסה 2019'!Z90</f>
        <v>0</v>
      </c>
      <c r="AA89" s="3" t="s">
        <v>1113</v>
      </c>
      <c r="AB89" s="3">
        <f>'תקציב הנדסה 2019'!AB90</f>
        <v>742000</v>
      </c>
      <c r="AC89" s="21"/>
      <c r="AD89" s="5"/>
      <c r="AE89" s="5"/>
    </row>
    <row r="90" spans="1:31" s="5" customFormat="1">
      <c r="A90" s="3">
        <f t="shared" si="4"/>
        <v>83</v>
      </c>
      <c r="B90" s="3">
        <f>'תקציב הנדסה 2019'!B91</f>
        <v>2111</v>
      </c>
      <c r="C90" s="3" t="s">
        <v>689</v>
      </c>
      <c r="D90" s="4">
        <f>'תקציב הנדסה 2019'!D91</f>
        <v>10240000</v>
      </c>
      <c r="E90" s="4">
        <f>'תקציב הנדסה 2019'!E91</f>
        <v>0</v>
      </c>
      <c r="F90" s="4">
        <f>'תקציב הנדסה 2019'!F91</f>
        <v>10240000</v>
      </c>
      <c r="G90" s="4">
        <f>'תקציב הנדסה 2019'!G91</f>
        <v>0</v>
      </c>
      <c r="H90" s="4">
        <f>'תקציב הנדסה 2019'!H91</f>
        <v>0</v>
      </c>
      <c r="I90" s="4">
        <f>'תקציב הנדסה 2019'!I91</f>
        <v>0</v>
      </c>
      <c r="J90" s="4">
        <f>'תקציב הנדסה 2019'!J91</f>
        <v>0</v>
      </c>
      <c r="K90" s="4">
        <f>'תקציב הנדסה 2019'!K91</f>
        <v>0</v>
      </c>
      <c r="L90" s="4">
        <f>'תקציב הנדסה 2019'!L91</f>
        <v>0</v>
      </c>
      <c r="M90" s="4">
        <f>'תקציב הנדסה 2019'!M91</f>
        <v>0</v>
      </c>
      <c r="N90" s="4">
        <f>'תקציב הנדסה 2019'!N91</f>
        <v>500000</v>
      </c>
      <c r="O90" s="4">
        <f>'תקציב הנדסה 2019'!O91</f>
        <v>9740000</v>
      </c>
      <c r="P90" s="4">
        <f>'תקציב הנדסה 2019'!P91</f>
        <v>0</v>
      </c>
      <c r="Q90" s="4">
        <f>'תקציב הנדסה 2019'!Q91</f>
        <v>0</v>
      </c>
      <c r="R90" s="4">
        <f>'תקציב הנדסה 2019'!R91</f>
        <v>0</v>
      </c>
      <c r="S90" s="4">
        <f>'תקציב הנדסה 2019'!S91</f>
        <v>0</v>
      </c>
      <c r="T90" s="4">
        <f>'תקציב הנדסה 2019'!T91</f>
        <v>0</v>
      </c>
      <c r="U90" s="4">
        <f>'תקציב הנדסה 2019'!U91</f>
        <v>500000</v>
      </c>
      <c r="V90" s="4">
        <f>'תקציב הנדסה 2019'!V91</f>
        <v>500000</v>
      </c>
      <c r="W90" s="4">
        <f>'תקציב הנדסה 2019'!W91</f>
        <v>0</v>
      </c>
      <c r="X90" s="4">
        <f>'תקציב הנדסה 2019'!X91</f>
        <v>0</v>
      </c>
      <c r="Y90" s="4">
        <f>'תקציב הנדסה 2019'!Y91</f>
        <v>0</v>
      </c>
      <c r="Z90" s="4">
        <f>'תקציב הנדסה 2019'!Z91</f>
        <v>0</v>
      </c>
      <c r="AA90" s="3" t="s">
        <v>1113</v>
      </c>
      <c r="AB90" s="3">
        <f>'תקציב הנדסה 2019'!AB91</f>
        <v>742000</v>
      </c>
      <c r="AC90" s="21"/>
    </row>
    <row r="91" spans="1:31" s="5" customFormat="1" ht="42">
      <c r="A91" s="3">
        <f t="shared" si="4"/>
        <v>84</v>
      </c>
      <c r="B91" s="3">
        <f>'תקציב הנדסה 2019'!B99</f>
        <v>2119</v>
      </c>
      <c r="C91" s="3" t="s">
        <v>698</v>
      </c>
      <c r="D91" s="4">
        <f>'תקציב הנדסה 2019'!D99</f>
        <v>1400000</v>
      </c>
      <c r="E91" s="4">
        <f>'תקציב הנדסה 2019'!E99</f>
        <v>0</v>
      </c>
      <c r="F91" s="4">
        <f>'תקציב הנדסה 2019'!F99</f>
        <v>1400000</v>
      </c>
      <c r="G91" s="4">
        <f>'תקציב הנדסה 2019'!G99</f>
        <v>0</v>
      </c>
      <c r="H91" s="4">
        <f>'תקציב הנדסה 2019'!H99</f>
        <v>0</v>
      </c>
      <c r="I91" s="4">
        <f>'תקציב הנדסה 2019'!I99</f>
        <v>0</v>
      </c>
      <c r="J91" s="4">
        <f>'תקציב הנדסה 2019'!J99</f>
        <v>0</v>
      </c>
      <c r="K91" s="4">
        <f>'תקציב הנדסה 2019'!K99</f>
        <v>0</v>
      </c>
      <c r="L91" s="4">
        <f>'תקציב הנדסה 2019'!L99</f>
        <v>0</v>
      </c>
      <c r="M91" s="4">
        <f>'תקציב הנדסה 2019'!M99</f>
        <v>0</v>
      </c>
      <c r="N91" s="4">
        <f>'תקציב הנדסה 2019'!N99</f>
        <v>150000</v>
      </c>
      <c r="O91" s="4">
        <f>'תקציב הנדסה 2019'!O99</f>
        <v>1250000</v>
      </c>
      <c r="P91" s="4">
        <f>'תקציב הנדסה 2019'!P99</f>
        <v>0</v>
      </c>
      <c r="Q91" s="4">
        <f>'תקציב הנדסה 2019'!Q99</f>
        <v>0</v>
      </c>
      <c r="R91" s="4">
        <f>'תקציב הנדסה 2019'!R99</f>
        <v>0</v>
      </c>
      <c r="S91" s="4">
        <f>'תקציב הנדסה 2019'!S99</f>
        <v>0</v>
      </c>
      <c r="T91" s="4">
        <f>'תקציב הנדסה 2019'!T99</f>
        <v>0</v>
      </c>
      <c r="U91" s="4">
        <f>'תקציב הנדסה 2019'!U99</f>
        <v>150000</v>
      </c>
      <c r="V91" s="4">
        <f>'תקציב הנדסה 2019'!V99</f>
        <v>150000</v>
      </c>
      <c r="W91" s="4">
        <f>'תקציב הנדסה 2019'!W99</f>
        <v>0</v>
      </c>
      <c r="X91" s="4">
        <f>'תקציב הנדסה 2019'!X99</f>
        <v>0</v>
      </c>
      <c r="Y91" s="4">
        <f>'תקציב הנדסה 2019'!Y99</f>
        <v>0</v>
      </c>
      <c r="Z91" s="4">
        <f>'תקציב הנדסה 2019'!Z99</f>
        <v>0</v>
      </c>
      <c r="AA91" s="3" t="s">
        <v>699</v>
      </c>
      <c r="AB91" s="3">
        <f>'תקציב הנדסה 2019'!AB99</f>
        <v>742000</v>
      </c>
      <c r="AC91" s="21"/>
      <c r="AD91" s="6"/>
      <c r="AE91" s="6"/>
    </row>
    <row r="92" spans="1:31" s="5" customFormat="1" ht="56">
      <c r="A92" s="3">
        <f t="shared" si="4"/>
        <v>85</v>
      </c>
      <c r="B92" s="3">
        <f>'תקציב הנדסה 2019'!B101</f>
        <v>2121</v>
      </c>
      <c r="C92" s="3" t="s">
        <v>1238</v>
      </c>
      <c r="D92" s="4">
        <f>'תקציב הנדסה 2019'!D101</f>
        <v>300000</v>
      </c>
      <c r="E92" s="4">
        <f>'תקציב הנדסה 2019'!E101</f>
        <v>0</v>
      </c>
      <c r="F92" s="4">
        <f>'תקציב הנדסה 2019'!F101</f>
        <v>300000</v>
      </c>
      <c r="G92" s="4">
        <f>'תקציב הנדסה 2019'!G101</f>
        <v>0</v>
      </c>
      <c r="H92" s="4">
        <f>'תקציב הנדסה 2019'!H101</f>
        <v>0</v>
      </c>
      <c r="I92" s="4">
        <f>'תקציב הנדסה 2019'!I101</f>
        <v>0</v>
      </c>
      <c r="J92" s="4">
        <f>'תקציב הנדסה 2019'!J101</f>
        <v>0</v>
      </c>
      <c r="K92" s="4">
        <f>'תקציב הנדסה 2019'!K101</f>
        <v>0</v>
      </c>
      <c r="L92" s="4">
        <f>'תקציב הנדסה 2019'!L101</f>
        <v>0</v>
      </c>
      <c r="M92" s="4">
        <f>'תקציב הנדסה 2019'!M101</f>
        <v>0</v>
      </c>
      <c r="N92" s="4">
        <f>'תקציב הנדסה 2019'!N101</f>
        <v>300000</v>
      </c>
      <c r="O92" s="4">
        <f>'תקציב הנדסה 2019'!O101</f>
        <v>0</v>
      </c>
      <c r="P92" s="4">
        <f>'תקציב הנדסה 2019'!P101</f>
        <v>0</v>
      </c>
      <c r="Q92" s="4">
        <f>'תקציב הנדסה 2019'!Q101</f>
        <v>0</v>
      </c>
      <c r="R92" s="4">
        <f>'תקציב הנדסה 2019'!R101</f>
        <v>0</v>
      </c>
      <c r="S92" s="4">
        <f>'תקציב הנדסה 2019'!S101</f>
        <v>0</v>
      </c>
      <c r="T92" s="4">
        <f>'תקציב הנדסה 2019'!T101</f>
        <v>0</v>
      </c>
      <c r="U92" s="4">
        <f>'תקציב הנדסה 2019'!U101</f>
        <v>300000</v>
      </c>
      <c r="V92" s="4">
        <f>'תקציב הנדסה 2019'!V101</f>
        <v>90000</v>
      </c>
      <c r="W92" s="4">
        <f>'תקציב הנדסה 2019'!W101</f>
        <v>0</v>
      </c>
      <c r="X92" s="4">
        <f>'תקציב הנדסה 2019'!X101</f>
        <v>0</v>
      </c>
      <c r="Y92" s="4">
        <f>'תקציב הנדסה 2019'!Y101</f>
        <v>0</v>
      </c>
      <c r="Z92" s="4">
        <f>'תקציב הנדסה 2019'!Z101</f>
        <v>210000</v>
      </c>
      <c r="AA92" s="3" t="s">
        <v>1241</v>
      </c>
      <c r="AB92" s="3">
        <f>'תקציב הנדסה 2019'!AB101</f>
        <v>742000</v>
      </c>
      <c r="AC92" s="21"/>
      <c r="AD92" s="6"/>
      <c r="AE92" s="6"/>
    </row>
    <row r="93" spans="1:31" s="5" customFormat="1" ht="42">
      <c r="A93" s="3">
        <f t="shared" si="4"/>
        <v>86</v>
      </c>
      <c r="B93" s="3">
        <f>'תקציב הנדסה 2019'!B102</f>
        <v>2122</v>
      </c>
      <c r="C93" s="3" t="s">
        <v>1239</v>
      </c>
      <c r="D93" s="4">
        <f>'תקציב הנדסה 2019'!D102</f>
        <v>300000</v>
      </c>
      <c r="E93" s="4">
        <f>'תקציב הנדסה 2019'!E102</f>
        <v>0</v>
      </c>
      <c r="F93" s="4">
        <f>'תקציב הנדסה 2019'!F102</f>
        <v>300000</v>
      </c>
      <c r="G93" s="4">
        <f>'תקציב הנדסה 2019'!G102</f>
        <v>0</v>
      </c>
      <c r="H93" s="4">
        <f>'תקציב הנדסה 2019'!H102</f>
        <v>0</v>
      </c>
      <c r="I93" s="4">
        <f>'תקציב הנדסה 2019'!I102</f>
        <v>0</v>
      </c>
      <c r="J93" s="4">
        <f>'תקציב הנדסה 2019'!J102</f>
        <v>0</v>
      </c>
      <c r="K93" s="4">
        <f>'תקציב הנדסה 2019'!K102</f>
        <v>0</v>
      </c>
      <c r="L93" s="4">
        <f>'תקציב הנדסה 2019'!L102</f>
        <v>0</v>
      </c>
      <c r="M93" s="4">
        <f>'תקציב הנדסה 2019'!M102</f>
        <v>0</v>
      </c>
      <c r="N93" s="4">
        <f>'תקציב הנדסה 2019'!N102</f>
        <v>300000</v>
      </c>
      <c r="O93" s="4">
        <f>'תקציב הנדסה 2019'!O102</f>
        <v>0</v>
      </c>
      <c r="P93" s="4">
        <f>'תקציב הנדסה 2019'!P102</f>
        <v>0</v>
      </c>
      <c r="Q93" s="4">
        <f>'תקציב הנדסה 2019'!Q102</f>
        <v>0</v>
      </c>
      <c r="R93" s="4">
        <f>'תקציב הנדסה 2019'!R102</f>
        <v>0</v>
      </c>
      <c r="S93" s="4">
        <f>'תקציב הנדסה 2019'!S102</f>
        <v>0</v>
      </c>
      <c r="T93" s="4">
        <f>'תקציב הנדסה 2019'!T102</f>
        <v>0</v>
      </c>
      <c r="U93" s="4">
        <f>'תקציב הנדסה 2019'!U102</f>
        <v>300000</v>
      </c>
      <c r="V93" s="4">
        <f>'תקציב הנדסה 2019'!V102</f>
        <v>90000</v>
      </c>
      <c r="W93" s="4">
        <f>'תקציב הנדסה 2019'!W102</f>
        <v>0</v>
      </c>
      <c r="X93" s="4">
        <f>'תקציב הנדסה 2019'!X102</f>
        <v>0</v>
      </c>
      <c r="Y93" s="4">
        <f>'תקציב הנדסה 2019'!Y102</f>
        <v>0</v>
      </c>
      <c r="Z93" s="4">
        <f>'תקציב הנדסה 2019'!Z102</f>
        <v>210000</v>
      </c>
      <c r="AA93" s="3" t="s">
        <v>1242</v>
      </c>
      <c r="AB93" s="3">
        <f>'תקציב הנדסה 2019'!AB102</f>
        <v>742000</v>
      </c>
      <c r="AC93" s="21"/>
      <c r="AD93" s="6"/>
      <c r="AE93" s="6"/>
    </row>
    <row r="94" spans="1:31" s="5" customFormat="1" ht="42">
      <c r="A94" s="3">
        <f t="shared" si="4"/>
        <v>87</v>
      </c>
      <c r="B94" s="3">
        <f>'תקציב הנדסה 2019'!B103</f>
        <v>2123</v>
      </c>
      <c r="C94" s="3" t="s">
        <v>1240</v>
      </c>
      <c r="D94" s="4">
        <f>'תקציב הנדסה 2019'!D103</f>
        <v>750000</v>
      </c>
      <c r="E94" s="4">
        <f>'תקציב הנדסה 2019'!E103</f>
        <v>0</v>
      </c>
      <c r="F94" s="4">
        <f>'תקציב הנדסה 2019'!F103</f>
        <v>750000</v>
      </c>
      <c r="G94" s="4">
        <f>'תקציב הנדסה 2019'!G103</f>
        <v>0</v>
      </c>
      <c r="H94" s="4">
        <f>'תקציב הנדסה 2019'!H103</f>
        <v>0</v>
      </c>
      <c r="I94" s="4">
        <f>'תקציב הנדסה 2019'!I103</f>
        <v>0</v>
      </c>
      <c r="J94" s="4">
        <f>'תקציב הנדסה 2019'!J103</f>
        <v>0</v>
      </c>
      <c r="K94" s="4">
        <f>'תקציב הנדסה 2019'!K103</f>
        <v>0</v>
      </c>
      <c r="L94" s="4">
        <f>'תקציב הנדסה 2019'!L103</f>
        <v>0</v>
      </c>
      <c r="M94" s="4">
        <f>'תקציב הנדסה 2019'!M103</f>
        <v>0</v>
      </c>
      <c r="N94" s="4">
        <f>'תקציב הנדסה 2019'!N103</f>
        <v>750000</v>
      </c>
      <c r="O94" s="4">
        <f>'תקציב הנדסה 2019'!O103</f>
        <v>0</v>
      </c>
      <c r="P94" s="4">
        <f>'תקציב הנדסה 2019'!P103</f>
        <v>0</v>
      </c>
      <c r="Q94" s="4">
        <f>'תקציב הנדסה 2019'!Q103</f>
        <v>0</v>
      </c>
      <c r="R94" s="4">
        <f>'תקציב הנדסה 2019'!R103</f>
        <v>0</v>
      </c>
      <c r="S94" s="4">
        <f>'תקציב הנדסה 2019'!S103</f>
        <v>0</v>
      </c>
      <c r="T94" s="4">
        <f>'תקציב הנדסה 2019'!T103</f>
        <v>0</v>
      </c>
      <c r="U94" s="4">
        <f>'תקציב הנדסה 2019'!U103</f>
        <v>750000</v>
      </c>
      <c r="V94" s="4">
        <f>'תקציב הנדסה 2019'!V103</f>
        <v>225000</v>
      </c>
      <c r="W94" s="4">
        <f>'תקציב הנדסה 2019'!W103</f>
        <v>0</v>
      </c>
      <c r="X94" s="4">
        <f>'תקציב הנדסה 2019'!X103</f>
        <v>0</v>
      </c>
      <c r="Y94" s="4">
        <f>'תקציב הנדסה 2019'!Y103</f>
        <v>0</v>
      </c>
      <c r="Z94" s="4">
        <f>'תקציב הנדסה 2019'!Z103</f>
        <v>525000</v>
      </c>
      <c r="AA94" s="3" t="s">
        <v>1243</v>
      </c>
      <c r="AB94" s="3">
        <f>'תקציב הנדסה 2019'!AB103</f>
        <v>742000</v>
      </c>
      <c r="AC94" s="21"/>
      <c r="AD94" s="6"/>
      <c r="AE94" s="6"/>
    </row>
    <row r="95" spans="1:31" s="6" customFormat="1" ht="42">
      <c r="A95" s="3">
        <f t="shared" ref="A95:A100" si="5">A94+1</f>
        <v>88</v>
      </c>
      <c r="B95" s="3">
        <v>1943</v>
      </c>
      <c r="C95" s="3" t="s">
        <v>304</v>
      </c>
      <c r="D95" s="4">
        <f>'תקציב הנדסה 2019'!D71</f>
        <v>6750000</v>
      </c>
      <c r="E95" s="4">
        <f>'תקציב הנדסה 2019'!E71</f>
        <v>6500000</v>
      </c>
      <c r="F95" s="4">
        <f>'תקציב הנדסה 2019'!F71</f>
        <v>250000</v>
      </c>
      <c r="G95" s="4">
        <f>'תקציב הנדסה 2019'!G71</f>
        <v>6500000</v>
      </c>
      <c r="H95" s="4">
        <f>'תקציב הנדסה 2019'!H71</f>
        <v>3839511</v>
      </c>
      <c r="I95" s="4">
        <f>'תקציב הנדסה 2019'!I71</f>
        <v>208106</v>
      </c>
      <c r="J95" s="4">
        <f>'תקציב הנדסה 2019'!J71</f>
        <v>2351722</v>
      </c>
      <c r="K95" s="4">
        <f>'תקציב הנדסה 2019'!K71</f>
        <v>2559828</v>
      </c>
      <c r="L95" s="4">
        <f>'תקציב הנדסה 2019'!L71</f>
        <v>6399339</v>
      </c>
      <c r="M95" s="4">
        <f>'תקציב הנדסה 2019'!M71</f>
        <v>100661</v>
      </c>
      <c r="N95" s="4">
        <f>'תקציב הנדסה 2019'!N71</f>
        <v>250000</v>
      </c>
      <c r="O95" s="4">
        <f>'תקציב הנדסה 2019'!O71</f>
        <v>0</v>
      </c>
      <c r="P95" s="4">
        <f>'תקציב הנדסה 2019'!P71</f>
        <v>100661</v>
      </c>
      <c r="Q95" s="4">
        <f>'תקציב הנדסה 2019'!Q71</f>
        <v>0</v>
      </c>
      <c r="R95" s="4">
        <f>'תקציב הנדסה 2019'!R71</f>
        <v>0</v>
      </c>
      <c r="S95" s="4">
        <f>'תקציב הנדסה 2019'!S71</f>
        <v>0</v>
      </c>
      <c r="T95" s="4">
        <f>'תקציב הנדסה 2019'!T71</f>
        <v>0</v>
      </c>
      <c r="U95" s="4">
        <f>'תקציב הנדסה 2019'!U71</f>
        <v>250000</v>
      </c>
      <c r="V95" s="4">
        <f>'תקציב הנדסה 2019'!V71</f>
        <v>250000</v>
      </c>
      <c r="W95" s="4">
        <f>'תקציב הנדסה 2019'!W71</f>
        <v>0</v>
      </c>
      <c r="X95" s="4">
        <f>'תקציב הנדסה 2019'!X71</f>
        <v>0</v>
      </c>
      <c r="Y95" s="4">
        <f>'תקציב הנדסה 2019'!Y71</f>
        <v>0</v>
      </c>
      <c r="Z95" s="4">
        <f>'תקציב הנדסה 2019'!Z71</f>
        <v>0</v>
      </c>
      <c r="AA95" s="3" t="s">
        <v>665</v>
      </c>
      <c r="AB95" s="3">
        <f>'תקציב הנדסה 2019'!AB71</f>
        <v>744000</v>
      </c>
      <c r="AC95" s="21"/>
      <c r="AD95" s="5"/>
      <c r="AE95" s="5"/>
    </row>
    <row r="96" spans="1:31" s="6" customFormat="1">
      <c r="A96" s="3">
        <f t="shared" si="5"/>
        <v>89</v>
      </c>
      <c r="B96" s="3">
        <v>608</v>
      </c>
      <c r="C96" s="3" t="s">
        <v>37</v>
      </c>
      <c r="D96" s="4">
        <f>'תקציב הנדסה 2019'!D11</f>
        <v>8300000</v>
      </c>
      <c r="E96" s="4">
        <f>'תקציב הנדסה 2019'!E11</f>
        <v>8300000</v>
      </c>
      <c r="F96" s="4">
        <f>'תקציב הנדסה 2019'!F11</f>
        <v>0</v>
      </c>
      <c r="G96" s="4">
        <f>'תקציב הנדסה 2019'!G11</f>
        <v>6250000</v>
      </c>
      <c r="H96" s="4">
        <f>'תקציב הנדסה 2019'!H11</f>
        <v>5146280</v>
      </c>
      <c r="I96" s="4">
        <f>'תקציב הנדסה 2019'!I11</f>
        <v>0</v>
      </c>
      <c r="J96" s="4">
        <f>'תקציב הנדסה 2019'!J11</f>
        <v>76278</v>
      </c>
      <c r="K96" s="4">
        <f>'תקציב הנדסה 2019'!K11</f>
        <v>76278</v>
      </c>
      <c r="L96" s="4">
        <f>'תקציב הנדסה 2019'!L11</f>
        <v>5222558</v>
      </c>
      <c r="M96" s="4">
        <f>'תקציב הנדסה 2019'!M11</f>
        <v>377442</v>
      </c>
      <c r="N96" s="4">
        <f>'תקציב הנדסה 2019'!N11</f>
        <v>600000</v>
      </c>
      <c r="O96" s="4">
        <f>'תקציב הנדסה 2019'!O11</f>
        <v>2100000</v>
      </c>
      <c r="P96" s="4">
        <f>'תקציב הנדסה 2019'!P11</f>
        <v>1027442</v>
      </c>
      <c r="Q96" s="4">
        <f>'תקציב הנדסה 2019'!Q11</f>
        <v>0</v>
      </c>
      <c r="R96" s="4">
        <f>'תקציב הנדסה 2019'!R11</f>
        <v>0</v>
      </c>
      <c r="S96" s="4">
        <f>'תקציב הנדסה 2019'!S11</f>
        <v>0</v>
      </c>
      <c r="T96" s="4">
        <f>'תקציב הנדסה 2019'!T11</f>
        <v>650000</v>
      </c>
      <c r="U96" s="4">
        <f>'תקציב הנדסה 2019'!U11</f>
        <v>-50000</v>
      </c>
      <c r="V96" s="4">
        <f>'תקציב הנדסה 2019'!V11</f>
        <v>-50000</v>
      </c>
      <c r="W96" s="4">
        <f>'תקציב הנדסה 2019'!W11</f>
        <v>0</v>
      </c>
      <c r="X96" s="4">
        <f>'תקציב הנדסה 2019'!X11</f>
        <v>0</v>
      </c>
      <c r="Y96" s="4">
        <f>'תקציב הנדסה 2019'!Y11</f>
        <v>0</v>
      </c>
      <c r="Z96" s="4">
        <f>'תקציב הנדסה 2019'!Z11</f>
        <v>0</v>
      </c>
      <c r="AA96" s="3" t="s">
        <v>639</v>
      </c>
      <c r="AB96" s="3">
        <f>'תקציב הנדסה 2019'!AB11</f>
        <v>745000</v>
      </c>
      <c r="AC96" s="21"/>
      <c r="AD96" s="5"/>
      <c r="AE96" s="5"/>
    </row>
    <row r="97" spans="1:31" s="6" customFormat="1">
      <c r="A97" s="3">
        <f t="shared" si="5"/>
        <v>90</v>
      </c>
      <c r="B97" s="3">
        <v>304</v>
      </c>
      <c r="C97" s="3" t="s">
        <v>65</v>
      </c>
      <c r="D97" s="4">
        <f>'תקציב הנדסה 2019'!D7</f>
        <v>54930000</v>
      </c>
      <c r="E97" s="4">
        <f>'תקציב הנדסה 2019'!E7</f>
        <v>54950000</v>
      </c>
      <c r="F97" s="4">
        <f>'תקציב הנדסה 2019'!F7</f>
        <v>-20000</v>
      </c>
      <c r="G97" s="4">
        <f>'תקציב הנדסה 2019'!G7</f>
        <v>54950000</v>
      </c>
      <c r="H97" s="4">
        <f>'תקציב הנדסה 2019'!H7</f>
        <v>54780522.609999999</v>
      </c>
      <c r="I97" s="4">
        <f>'תקציב הנדסה 2019'!I7</f>
        <v>149074.13</v>
      </c>
      <c r="J97" s="4">
        <f>'תקציב הנדסה 2019'!J7</f>
        <v>0</v>
      </c>
      <c r="K97" s="4">
        <f>'תקציב הנדסה 2019'!K7</f>
        <v>149074.13</v>
      </c>
      <c r="L97" s="4">
        <f>'תקציב הנדסה 2019'!L7</f>
        <v>54929596.740000002</v>
      </c>
      <c r="M97" s="4">
        <f>'תקציב הנדסה 2019'!M7</f>
        <v>403.25999999791384</v>
      </c>
      <c r="N97" s="4">
        <f>'תקציב הנדסה 2019'!N7</f>
        <v>0</v>
      </c>
      <c r="O97" s="4">
        <f>'תקציב הנדסה 2019'!O7</f>
        <v>0</v>
      </c>
      <c r="P97" s="4">
        <f>'תקציב הנדסה 2019'!P7</f>
        <v>20403.259999997914</v>
      </c>
      <c r="Q97" s="4">
        <f>'תקציב הנדסה 2019'!Q7</f>
        <v>0</v>
      </c>
      <c r="R97" s="4">
        <f>'תקציב הנדסה 2019'!R7</f>
        <v>0</v>
      </c>
      <c r="S97" s="4">
        <f>'תקציב הנדסה 2019'!S7</f>
        <v>0</v>
      </c>
      <c r="T97" s="4">
        <f>'תקציב הנדסה 2019'!T7</f>
        <v>20000</v>
      </c>
      <c r="U97" s="4">
        <f>'תקציב הנדסה 2019'!U7</f>
        <v>-20000</v>
      </c>
      <c r="V97" s="4">
        <f>'תקציב הנדסה 2019'!V7</f>
        <v>-20000</v>
      </c>
      <c r="W97" s="4">
        <f>'תקציב הנדסה 2019'!W7</f>
        <v>0</v>
      </c>
      <c r="X97" s="4">
        <f>'תקציב הנדסה 2019'!X7</f>
        <v>0</v>
      </c>
      <c r="Y97" s="4">
        <f>'תקציב הנדסה 2019'!Y7</f>
        <v>0</v>
      </c>
      <c r="Z97" s="4">
        <f>'תקציב הנדסה 2019'!Z7</f>
        <v>0</v>
      </c>
      <c r="AA97" s="3"/>
      <c r="AB97" s="3">
        <f>'תקציב הנדסה 2019'!AB7</f>
        <v>746000</v>
      </c>
      <c r="AC97" s="21"/>
      <c r="AD97" s="5"/>
      <c r="AE97" s="5"/>
    </row>
    <row r="98" spans="1:31" s="6" customFormat="1">
      <c r="A98" s="3">
        <f t="shared" si="5"/>
        <v>91</v>
      </c>
      <c r="B98" s="3">
        <v>1320</v>
      </c>
      <c r="C98" s="3" t="s">
        <v>58</v>
      </c>
      <c r="D98" s="4">
        <f>'תקציב הנדסה 2019'!D20</f>
        <v>23500000</v>
      </c>
      <c r="E98" s="4">
        <f>'תקציב הנדסה 2019'!E20</f>
        <v>23500000</v>
      </c>
      <c r="F98" s="4">
        <f>'תקציב הנדסה 2019'!F20</f>
        <v>0</v>
      </c>
      <c r="G98" s="4">
        <f>'תקציב הנדסה 2019'!G20</f>
        <v>21550000</v>
      </c>
      <c r="H98" s="4">
        <f>'תקציב הנדסה 2019'!H20</f>
        <v>21339439.079999998</v>
      </c>
      <c r="I98" s="4">
        <f>'תקציב הנדסה 2019'!I20</f>
        <v>204226.2</v>
      </c>
      <c r="J98" s="4">
        <f>'תקציב הנדסה 2019'!J20</f>
        <v>0</v>
      </c>
      <c r="K98" s="4">
        <f>'תקציב הנדסה 2019'!K20</f>
        <v>204226.2</v>
      </c>
      <c r="L98" s="4">
        <f>'תקציב הנדסה 2019'!L20</f>
        <v>21543665.279999997</v>
      </c>
      <c r="M98" s="4">
        <f>'תקציב הנדסה 2019'!M20</f>
        <v>6334.7200000025332</v>
      </c>
      <c r="N98" s="4">
        <f>'תקציב הנדסה 2019'!N20</f>
        <v>0</v>
      </c>
      <c r="O98" s="4">
        <f>'תקציב הנדסה 2019'!O20</f>
        <v>1950000</v>
      </c>
      <c r="P98" s="4">
        <f>'תקציב הנדסה 2019'!P20</f>
        <v>6334.7200000025332</v>
      </c>
      <c r="Q98" s="4">
        <f>'תקציב הנדסה 2019'!Q20</f>
        <v>0</v>
      </c>
      <c r="R98" s="4">
        <f>'תקציב הנדסה 2019'!R20</f>
        <v>0</v>
      </c>
      <c r="S98" s="4">
        <f>'תקציב הנדסה 2019'!S20</f>
        <v>0</v>
      </c>
      <c r="T98" s="4">
        <f>'תקציב הנדסה 2019'!T20</f>
        <v>0</v>
      </c>
      <c r="U98" s="4">
        <f>'תקציב הנדסה 2019'!U20</f>
        <v>0</v>
      </c>
      <c r="V98" s="4">
        <f>'תקציב הנדסה 2019'!V20</f>
        <v>0</v>
      </c>
      <c r="W98" s="4">
        <f>'תקציב הנדסה 2019'!W20</f>
        <v>0</v>
      </c>
      <c r="X98" s="4">
        <f>'תקציב הנדסה 2019'!X20</f>
        <v>0</v>
      </c>
      <c r="Y98" s="4">
        <f>'תקציב הנדסה 2019'!Y20</f>
        <v>0</v>
      </c>
      <c r="Z98" s="4">
        <f>'תקציב הנדסה 2019'!Z20</f>
        <v>0</v>
      </c>
      <c r="AA98" s="3"/>
      <c r="AB98" s="3">
        <f>'תקציב הנדסה 2019'!AB20</f>
        <v>746000</v>
      </c>
      <c r="AC98" s="21"/>
    </row>
    <row r="99" spans="1:31" s="6" customFormat="1">
      <c r="A99" s="3">
        <f t="shared" si="5"/>
        <v>92</v>
      </c>
      <c r="B99" s="3">
        <v>1568</v>
      </c>
      <c r="C99" s="3" t="s">
        <v>62</v>
      </c>
      <c r="D99" s="4">
        <f>'תקציב הנדסה 2019'!D36</f>
        <v>46375301</v>
      </c>
      <c r="E99" s="4">
        <f>'תקציב הנדסה 2019'!E36</f>
        <v>46375301</v>
      </c>
      <c r="F99" s="4">
        <f>'תקציב הנדסה 2019'!F36</f>
        <v>0</v>
      </c>
      <c r="G99" s="4">
        <f>'תקציב הנדסה 2019'!G36</f>
        <v>28875301</v>
      </c>
      <c r="H99" s="4">
        <f>'תקציב הנדסה 2019'!H36</f>
        <v>27763823.309999999</v>
      </c>
      <c r="I99" s="4">
        <f>'תקציב הנדסה 2019'!I36</f>
        <v>822126.24</v>
      </c>
      <c r="J99" s="4">
        <f>'תקציב הנדסה 2019'!J36</f>
        <v>55294</v>
      </c>
      <c r="K99" s="4">
        <f>'תקציב הנדסה 2019'!K36</f>
        <v>877420.24</v>
      </c>
      <c r="L99" s="4">
        <f>'תקציב הנדסה 2019'!L36</f>
        <v>28641243.549999997</v>
      </c>
      <c r="M99" s="4">
        <f>'תקציב הנדסה 2019'!M36</f>
        <v>234057.45000000298</v>
      </c>
      <c r="N99" s="4">
        <f>'תקציב הנדסה 2019'!N36</f>
        <v>0</v>
      </c>
      <c r="O99" s="4">
        <f>'תקציב הנדסה 2019'!O36</f>
        <v>17500000</v>
      </c>
      <c r="P99" s="4">
        <f>'תקציב הנדסה 2019'!P36</f>
        <v>234057.45000000298</v>
      </c>
      <c r="Q99" s="4">
        <f>'תקציב הנדסה 2019'!Q36</f>
        <v>0</v>
      </c>
      <c r="R99" s="4">
        <f>'תקציב הנדסה 2019'!R36</f>
        <v>0</v>
      </c>
      <c r="S99" s="4">
        <f>'תקציב הנדסה 2019'!S36</f>
        <v>0</v>
      </c>
      <c r="T99" s="4">
        <f>'תקציב הנדסה 2019'!T36</f>
        <v>0</v>
      </c>
      <c r="U99" s="4">
        <f>'תקציב הנדסה 2019'!U36</f>
        <v>0</v>
      </c>
      <c r="V99" s="4">
        <f>'תקציב הנדסה 2019'!V36</f>
        <v>0</v>
      </c>
      <c r="W99" s="4">
        <f>'תקציב הנדסה 2019'!W36</f>
        <v>0</v>
      </c>
      <c r="X99" s="4">
        <f>'תקציב הנדסה 2019'!X36</f>
        <v>0</v>
      </c>
      <c r="Y99" s="4">
        <f>'תקציב הנדסה 2019'!Y36</f>
        <v>0</v>
      </c>
      <c r="Z99" s="4">
        <f>'תקציב הנדסה 2019'!Z36</f>
        <v>0</v>
      </c>
      <c r="AA99" s="3"/>
      <c r="AB99" s="3">
        <f>'תקציב הנדסה 2019'!AB36</f>
        <v>746000</v>
      </c>
      <c r="AC99" s="21"/>
      <c r="AD99" s="5"/>
      <c r="AE99" s="5"/>
    </row>
    <row r="100" spans="1:31" s="5" customFormat="1" ht="42">
      <c r="A100" s="3">
        <f t="shared" si="5"/>
        <v>93</v>
      </c>
      <c r="B100" s="3">
        <f>'תקציב הנדסה 2019'!B88</f>
        <v>2108</v>
      </c>
      <c r="C100" s="3" t="s">
        <v>686</v>
      </c>
      <c r="D100" s="4">
        <f>'תקציב הנדסה 2019'!D88</f>
        <v>14100000</v>
      </c>
      <c r="E100" s="4">
        <f>'תקציב הנדסה 2019'!E88</f>
        <v>0</v>
      </c>
      <c r="F100" s="4">
        <f>'תקציב הנדסה 2019'!F88</f>
        <v>14100000</v>
      </c>
      <c r="G100" s="4">
        <f>'תקציב הנדסה 2019'!G88</f>
        <v>0</v>
      </c>
      <c r="H100" s="4">
        <f>'תקציב הנדסה 2019'!H88</f>
        <v>0</v>
      </c>
      <c r="I100" s="4">
        <f>'תקציב הנדסה 2019'!I88</f>
        <v>0</v>
      </c>
      <c r="J100" s="4">
        <f>'תקציב הנדסה 2019'!J88</f>
        <v>0</v>
      </c>
      <c r="K100" s="4">
        <f>'תקציב הנדסה 2019'!K88</f>
        <v>0</v>
      </c>
      <c r="L100" s="4">
        <f>'תקציב הנדסה 2019'!L88</f>
        <v>0</v>
      </c>
      <c r="M100" s="4">
        <f>'תקציב הנדסה 2019'!M88</f>
        <v>0</v>
      </c>
      <c r="N100" s="4">
        <f>'תקציב הנדסה 2019'!N88</f>
        <v>1200000</v>
      </c>
      <c r="O100" s="4">
        <f>'תקציב הנדסה 2019'!O88</f>
        <v>12900000</v>
      </c>
      <c r="P100" s="4">
        <f>'תקציב הנדסה 2019'!P88</f>
        <v>0</v>
      </c>
      <c r="Q100" s="4">
        <f>'תקציב הנדסה 2019'!Q88</f>
        <v>0</v>
      </c>
      <c r="R100" s="4">
        <f>'תקציב הנדסה 2019'!R88</f>
        <v>0</v>
      </c>
      <c r="S100" s="4">
        <f>'תקציב הנדסה 2019'!S88</f>
        <v>0</v>
      </c>
      <c r="T100" s="4">
        <f>'תקציב הנדסה 2019'!T88</f>
        <v>0</v>
      </c>
      <c r="U100" s="4">
        <f>'תקציב הנדסה 2019'!U88</f>
        <v>1200000</v>
      </c>
      <c r="V100" s="4">
        <f>'תקציב הנדסה 2019'!V88</f>
        <v>1200000</v>
      </c>
      <c r="W100" s="4">
        <f>'תקציב הנדסה 2019'!W88</f>
        <v>0</v>
      </c>
      <c r="X100" s="4">
        <f>'תקציב הנדסה 2019'!X88</f>
        <v>0</v>
      </c>
      <c r="Y100" s="4">
        <f>'תקציב הנדסה 2019'!Y88</f>
        <v>0</v>
      </c>
      <c r="Z100" s="4">
        <f>'תקציב הנדסה 2019'!Z88</f>
        <v>0</v>
      </c>
      <c r="AA100" s="410" t="s">
        <v>1192</v>
      </c>
      <c r="AB100" s="3">
        <f>'תקציב הנדסה 2019'!AB88</f>
        <v>746000</v>
      </c>
      <c r="AC100" s="21"/>
    </row>
    <row r="101" spans="1:31" s="5" customFormat="1" ht="28">
      <c r="A101" s="3">
        <f>1+A100</f>
        <v>94</v>
      </c>
      <c r="B101" s="3">
        <f>'תקציב הנדסה 2019'!B98</f>
        <v>2118</v>
      </c>
      <c r="C101" s="3" t="s">
        <v>697</v>
      </c>
      <c r="D101" s="4">
        <f>'תקציב הנדסה 2019'!D98</f>
        <v>1800000</v>
      </c>
      <c r="E101" s="4">
        <f>'תקציב הנדסה 2019'!E98</f>
        <v>0</v>
      </c>
      <c r="F101" s="4">
        <f>'תקציב הנדסה 2019'!F98</f>
        <v>1800000</v>
      </c>
      <c r="G101" s="4">
        <f>'תקציב הנדסה 2019'!G98</f>
        <v>0</v>
      </c>
      <c r="H101" s="4">
        <f>'תקציב הנדסה 2019'!H98</f>
        <v>0</v>
      </c>
      <c r="I101" s="4">
        <f>'תקציב הנדסה 2019'!I98</f>
        <v>0</v>
      </c>
      <c r="J101" s="4">
        <f>'תקציב הנדסה 2019'!J98</f>
        <v>0</v>
      </c>
      <c r="K101" s="4">
        <f>'תקציב הנדסה 2019'!K98</f>
        <v>0</v>
      </c>
      <c r="L101" s="4">
        <f>'תקציב הנדסה 2019'!L98</f>
        <v>0</v>
      </c>
      <c r="M101" s="4">
        <f>'תקציב הנדסה 2019'!M98</f>
        <v>0</v>
      </c>
      <c r="N101" s="4">
        <f>'תקציב הנדסה 2019'!N98</f>
        <v>200000</v>
      </c>
      <c r="O101" s="4">
        <f>'תקציב הנדסה 2019'!O98</f>
        <v>1600000</v>
      </c>
      <c r="P101" s="4">
        <f>'תקציב הנדסה 2019'!P98</f>
        <v>0</v>
      </c>
      <c r="Q101" s="4">
        <f>'תקציב הנדסה 2019'!Q98</f>
        <v>0</v>
      </c>
      <c r="R101" s="4">
        <f>'תקציב הנדסה 2019'!R98</f>
        <v>0</v>
      </c>
      <c r="S101" s="4">
        <f>'תקציב הנדסה 2019'!S98</f>
        <v>0</v>
      </c>
      <c r="T101" s="4">
        <f>'תקציב הנדסה 2019'!T98</f>
        <v>0</v>
      </c>
      <c r="U101" s="4">
        <f>'תקציב הנדסה 2019'!U98</f>
        <v>200000</v>
      </c>
      <c r="V101" s="4">
        <f>'תקציב הנדסה 2019'!V98</f>
        <v>200000</v>
      </c>
      <c r="W101" s="4">
        <f>'תקציב הנדסה 2019'!W98</f>
        <v>0</v>
      </c>
      <c r="X101" s="4">
        <f>'תקציב הנדסה 2019'!X98</f>
        <v>0</v>
      </c>
      <c r="Y101" s="4">
        <f>'תקציב הנדסה 2019'!Y98</f>
        <v>0</v>
      </c>
      <c r="Z101" s="4">
        <f>'תקציב הנדסה 2019'!Z98</f>
        <v>0</v>
      </c>
      <c r="AA101" s="411" t="s">
        <v>1119</v>
      </c>
      <c r="AB101" s="3">
        <f>'תקציב הנדסה 2019'!AB98</f>
        <v>746000</v>
      </c>
      <c r="AC101" s="21"/>
      <c r="AD101" s="6"/>
      <c r="AE101" s="6"/>
    </row>
    <row r="102" spans="1:31" s="101" customFormat="1">
      <c r="A102" s="44"/>
      <c r="B102" s="44"/>
      <c r="C102" s="44" t="s">
        <v>1202</v>
      </c>
      <c r="D102" s="125">
        <f>SUM(D51:D101)</f>
        <v>721787301</v>
      </c>
      <c r="E102" s="125">
        <f t="shared" ref="E102:Z102" si="6">SUM(E51:E101)</f>
        <v>592603301</v>
      </c>
      <c r="F102" s="125">
        <f t="shared" si="6"/>
        <v>129184000</v>
      </c>
      <c r="G102" s="125">
        <f t="shared" si="6"/>
        <v>258213072</v>
      </c>
      <c r="H102" s="125">
        <f t="shared" si="6"/>
        <v>203072466.11000001</v>
      </c>
      <c r="I102" s="125">
        <f t="shared" si="6"/>
        <v>18201383.919999994</v>
      </c>
      <c r="J102" s="125">
        <f t="shared" si="6"/>
        <v>8511848.2300000004</v>
      </c>
      <c r="K102" s="125">
        <f t="shared" si="6"/>
        <v>26713232.149999995</v>
      </c>
      <c r="L102" s="125">
        <f t="shared" si="6"/>
        <v>229785698.25999999</v>
      </c>
      <c r="M102" s="125">
        <f t="shared" si="6"/>
        <v>9711373.7400000021</v>
      </c>
      <c r="N102" s="125">
        <f t="shared" si="6"/>
        <v>46200000</v>
      </c>
      <c r="O102" s="125">
        <f t="shared" si="6"/>
        <v>436090229</v>
      </c>
      <c r="P102" s="125">
        <f t="shared" si="6"/>
        <v>28427373.74000001</v>
      </c>
      <c r="Q102" s="125">
        <f t="shared" si="6"/>
        <v>200000</v>
      </c>
      <c r="R102" s="125">
        <f t="shared" si="6"/>
        <v>0</v>
      </c>
      <c r="S102" s="125">
        <f t="shared" si="6"/>
        <v>200000</v>
      </c>
      <c r="T102" s="125">
        <f t="shared" si="6"/>
        <v>18916000</v>
      </c>
      <c r="U102" s="125">
        <f t="shared" si="6"/>
        <v>27284000</v>
      </c>
      <c r="V102" s="125">
        <f t="shared" si="6"/>
        <v>26339000</v>
      </c>
      <c r="W102" s="125">
        <f t="shared" si="6"/>
        <v>0</v>
      </c>
      <c r="X102" s="125">
        <f t="shared" si="6"/>
        <v>0</v>
      </c>
      <c r="Y102" s="125">
        <f t="shared" si="6"/>
        <v>0</v>
      </c>
      <c r="Z102" s="125">
        <f t="shared" si="6"/>
        <v>945000</v>
      </c>
      <c r="AA102" s="620"/>
      <c r="AB102" s="44"/>
      <c r="AC102" s="656"/>
    </row>
    <row r="103" spans="1:31" s="5" customFormat="1" ht="28">
      <c r="A103" s="3">
        <f>A101+1</f>
        <v>95</v>
      </c>
      <c r="B103" s="3">
        <v>1529</v>
      </c>
      <c r="C103" s="3" t="s">
        <v>61</v>
      </c>
      <c r="D103" s="4">
        <f>'תקציב הנדסה 2019'!D34</f>
        <v>400000</v>
      </c>
      <c r="E103" s="4">
        <f>'תקציב הנדסה 2019'!E34</f>
        <v>350000</v>
      </c>
      <c r="F103" s="4">
        <f>'תקציב הנדסה 2019'!F34</f>
        <v>50000</v>
      </c>
      <c r="G103" s="4">
        <f>'תקציב הנדסה 2019'!G34</f>
        <v>350000</v>
      </c>
      <c r="H103" s="4">
        <f>'תקציב הנדסה 2019'!H34</f>
        <v>183866.55</v>
      </c>
      <c r="I103" s="4">
        <f>'תקציב הנדסה 2019'!I34</f>
        <v>0</v>
      </c>
      <c r="J103" s="4">
        <f>'תקציב הנדסה 2019'!J34</f>
        <v>0</v>
      </c>
      <c r="K103" s="4">
        <f>'תקציב הנדסה 2019'!K34</f>
        <v>0</v>
      </c>
      <c r="L103" s="4">
        <f>'תקציב הנדסה 2019'!L34</f>
        <v>183866.55</v>
      </c>
      <c r="M103" s="4">
        <f>'תקציב הנדסה 2019'!M34</f>
        <v>166133.45000000001</v>
      </c>
      <c r="N103" s="4">
        <f>'תקציב הנדסה 2019'!N34</f>
        <v>50000</v>
      </c>
      <c r="O103" s="4">
        <f>'תקציב הנדסה 2019'!O34</f>
        <v>0</v>
      </c>
      <c r="P103" s="4">
        <f>'תקציב הנדסה 2019'!P34</f>
        <v>166133.45000000001</v>
      </c>
      <c r="Q103" s="4">
        <f>'תקציב הנדסה 2019'!Q34</f>
        <v>0</v>
      </c>
      <c r="R103" s="4">
        <f>'תקציב הנדסה 2019'!R34</f>
        <v>0</v>
      </c>
      <c r="S103" s="4">
        <f>'תקציב הנדסה 2019'!S34</f>
        <v>0</v>
      </c>
      <c r="T103" s="4">
        <f>'תקציב הנדסה 2019'!T34</f>
        <v>0</v>
      </c>
      <c r="U103" s="4">
        <f>'תקציב הנדסה 2019'!U34</f>
        <v>50000</v>
      </c>
      <c r="V103" s="4">
        <f>'תקציב הנדסה 2019'!V34</f>
        <v>50000</v>
      </c>
      <c r="W103" s="4">
        <f>'תקציב הנדסה 2019'!W34</f>
        <v>0</v>
      </c>
      <c r="X103" s="4">
        <f>'תקציב הנדסה 2019'!X34</f>
        <v>0</v>
      </c>
      <c r="Y103" s="4">
        <f>'תקציב הנדסה 2019'!Y34</f>
        <v>0</v>
      </c>
      <c r="Z103" s="4">
        <f>'תקציב הנדסה 2019'!Z34</f>
        <v>0</v>
      </c>
      <c r="AA103" s="3" t="s">
        <v>1104</v>
      </c>
      <c r="AB103" s="3">
        <f>'תקציב הנדסה 2019'!AB34</f>
        <v>760000</v>
      </c>
      <c r="AC103" s="21"/>
    </row>
    <row r="104" spans="1:31" s="101" customFormat="1">
      <c r="A104" s="44"/>
      <c r="B104" s="44"/>
      <c r="C104" s="44" t="s">
        <v>1203</v>
      </c>
      <c r="D104" s="125">
        <f>SUM(D103)</f>
        <v>400000</v>
      </c>
      <c r="E104" s="125">
        <f t="shared" ref="E104:Z104" si="7">SUM(E103)</f>
        <v>350000</v>
      </c>
      <c r="F104" s="125">
        <f t="shared" si="7"/>
        <v>50000</v>
      </c>
      <c r="G104" s="125">
        <f t="shared" si="7"/>
        <v>350000</v>
      </c>
      <c r="H104" s="125">
        <f t="shared" si="7"/>
        <v>183866.55</v>
      </c>
      <c r="I104" s="125">
        <f t="shared" si="7"/>
        <v>0</v>
      </c>
      <c r="J104" s="125">
        <f t="shared" si="7"/>
        <v>0</v>
      </c>
      <c r="K104" s="125">
        <f t="shared" si="7"/>
        <v>0</v>
      </c>
      <c r="L104" s="125">
        <f t="shared" si="7"/>
        <v>183866.55</v>
      </c>
      <c r="M104" s="125">
        <f t="shared" si="7"/>
        <v>166133.45000000001</v>
      </c>
      <c r="N104" s="125">
        <f t="shared" si="7"/>
        <v>50000</v>
      </c>
      <c r="O104" s="125">
        <f t="shared" si="7"/>
        <v>0</v>
      </c>
      <c r="P104" s="125">
        <f t="shared" si="7"/>
        <v>166133.45000000001</v>
      </c>
      <c r="Q104" s="125">
        <f t="shared" si="7"/>
        <v>0</v>
      </c>
      <c r="R104" s="125">
        <f t="shared" si="7"/>
        <v>0</v>
      </c>
      <c r="S104" s="125">
        <f t="shared" si="7"/>
        <v>0</v>
      </c>
      <c r="T104" s="125">
        <f t="shared" si="7"/>
        <v>0</v>
      </c>
      <c r="U104" s="125">
        <f t="shared" si="7"/>
        <v>50000</v>
      </c>
      <c r="V104" s="125">
        <f t="shared" si="7"/>
        <v>50000</v>
      </c>
      <c r="W104" s="125">
        <f t="shared" si="7"/>
        <v>0</v>
      </c>
      <c r="X104" s="125">
        <f t="shared" si="7"/>
        <v>0</v>
      </c>
      <c r="Y104" s="125">
        <f t="shared" si="7"/>
        <v>0</v>
      </c>
      <c r="Z104" s="125">
        <f t="shared" si="7"/>
        <v>0</v>
      </c>
      <c r="AA104" s="44"/>
      <c r="AB104" s="44"/>
      <c r="AC104" s="656"/>
    </row>
    <row r="105" spans="1:31" s="5" customFormat="1">
      <c r="A105" s="3">
        <f>A103+1</f>
        <v>96</v>
      </c>
      <c r="B105" s="3">
        <v>1357</v>
      </c>
      <c r="C105" s="3" t="s">
        <v>60</v>
      </c>
      <c r="D105" s="4">
        <f>'תקציב הנדסה 2019'!D23</f>
        <v>25000000</v>
      </c>
      <c r="E105" s="4">
        <f>'תקציב הנדסה 2019'!E23</f>
        <v>25000000</v>
      </c>
      <c r="F105" s="4">
        <f>'תקציב הנדסה 2019'!F23</f>
        <v>0</v>
      </c>
      <c r="G105" s="4">
        <f>'תקציב הנדסה 2019'!G23</f>
        <v>12612000</v>
      </c>
      <c r="H105" s="4">
        <f>'תקציב הנדסה 2019'!H23</f>
        <v>12420746.140000001</v>
      </c>
      <c r="I105" s="4">
        <f>'תקציב הנדסה 2019'!I23</f>
        <v>118498.13</v>
      </c>
      <c r="J105" s="4">
        <f>'תקציב הנדסה 2019'!J23</f>
        <v>0</v>
      </c>
      <c r="K105" s="4">
        <f>'תקציב הנדסה 2019'!K23</f>
        <v>118498.13</v>
      </c>
      <c r="L105" s="4">
        <f>'תקציב הנדסה 2019'!L23</f>
        <v>12539244.270000001</v>
      </c>
      <c r="M105" s="4">
        <f>'תקציב הנדסה 2019'!M23</f>
        <v>72755.729999998584</v>
      </c>
      <c r="N105" s="4">
        <f>'תקציב הנדסה 2019'!N23</f>
        <v>0</v>
      </c>
      <c r="O105" s="4">
        <f>'תקציב הנדסה 2019'!O23</f>
        <v>12388000</v>
      </c>
      <c r="P105" s="4">
        <f>'תקציב הנדסה 2019'!P23</f>
        <v>72755.729999998584</v>
      </c>
      <c r="Q105" s="4">
        <f>'תקציב הנדסה 2019'!Q23</f>
        <v>0</v>
      </c>
      <c r="R105" s="4">
        <f>'תקציב הנדסה 2019'!R23</f>
        <v>0</v>
      </c>
      <c r="S105" s="4">
        <f>'תקציב הנדסה 2019'!S23</f>
        <v>0</v>
      </c>
      <c r="T105" s="4">
        <f>'תקציב הנדסה 2019'!T23</f>
        <v>0</v>
      </c>
      <c r="U105" s="4">
        <f>'תקציב הנדסה 2019'!U23</f>
        <v>0</v>
      </c>
      <c r="V105" s="4">
        <f>'תקציב הנדסה 2019'!V23</f>
        <v>0</v>
      </c>
      <c r="W105" s="4">
        <f>'תקציב הנדסה 2019'!W23</f>
        <v>0</v>
      </c>
      <c r="X105" s="4">
        <f>'תקציב הנדסה 2019'!X23</f>
        <v>0</v>
      </c>
      <c r="Y105" s="4">
        <f>'תקציב הנדסה 2019'!Y23</f>
        <v>0</v>
      </c>
      <c r="Z105" s="4">
        <f>'תקציב הנדסה 2019'!Z23</f>
        <v>0</v>
      </c>
      <c r="AA105" s="3"/>
      <c r="AB105" s="3">
        <f>'תקציב הנדסה 2019'!AB23</f>
        <v>829000</v>
      </c>
      <c r="AC105" s="21"/>
      <c r="AD105" s="6"/>
      <c r="AE105" s="6"/>
    </row>
    <row r="106" spans="1:31" s="5" customFormat="1" ht="42">
      <c r="A106" s="3">
        <f>A105+1</f>
        <v>97</v>
      </c>
      <c r="B106" s="3">
        <v>1952</v>
      </c>
      <c r="C106" s="42" t="s">
        <v>668</v>
      </c>
      <c r="D106" s="4">
        <f>'תקציב הנדסה 2019'!D74</f>
        <v>200000</v>
      </c>
      <c r="E106" s="4">
        <f>'תקציב הנדסה 2019'!E74</f>
        <v>200000</v>
      </c>
      <c r="F106" s="4">
        <f>'תקציב הנדסה 2019'!F74</f>
        <v>0</v>
      </c>
      <c r="G106" s="4">
        <f>'תקציב הנדסה 2019'!G74</f>
        <v>100000</v>
      </c>
      <c r="H106" s="4">
        <f>'תקציב הנדסה 2019'!H74</f>
        <v>0</v>
      </c>
      <c r="I106" s="4">
        <f>'תקציב הנדסה 2019'!I74</f>
        <v>0</v>
      </c>
      <c r="J106" s="4">
        <f>'תקציב הנדסה 2019'!J74</f>
        <v>0</v>
      </c>
      <c r="K106" s="4">
        <f>'תקציב הנדסה 2019'!K74</f>
        <v>0</v>
      </c>
      <c r="L106" s="4">
        <f>'תקציב הנדסה 2019'!L74</f>
        <v>0</v>
      </c>
      <c r="M106" s="4">
        <f>'תקציב הנדסה 2019'!M74</f>
        <v>100000</v>
      </c>
      <c r="N106" s="4">
        <f>'תקציב הנדסה 2019'!N74</f>
        <v>0</v>
      </c>
      <c r="O106" s="4">
        <f>'תקציב הנדסה 2019'!O74</f>
        <v>100000</v>
      </c>
      <c r="P106" s="4">
        <f>'תקציב הנדסה 2019'!P74</f>
        <v>100000</v>
      </c>
      <c r="Q106" s="4">
        <f>'תקציב הנדסה 2019'!Q74</f>
        <v>0</v>
      </c>
      <c r="R106" s="4">
        <f>'תקציב הנדסה 2019'!R74</f>
        <v>0</v>
      </c>
      <c r="S106" s="4">
        <f>'תקציב הנדסה 2019'!S74</f>
        <v>0</v>
      </c>
      <c r="T106" s="4">
        <f>'תקציב הנדסה 2019'!T74</f>
        <v>0</v>
      </c>
      <c r="U106" s="4">
        <f>'תקציב הנדסה 2019'!U74</f>
        <v>0</v>
      </c>
      <c r="V106" s="4">
        <f>'תקציב הנדסה 2019'!V74</f>
        <v>0</v>
      </c>
      <c r="W106" s="4">
        <f>'תקציב הנדסה 2019'!W74</f>
        <v>0</v>
      </c>
      <c r="X106" s="4">
        <f>'תקציב הנדסה 2019'!X74</f>
        <v>0</v>
      </c>
      <c r="Y106" s="4">
        <f>'תקציב הנדסה 2019'!Y74</f>
        <v>0</v>
      </c>
      <c r="Z106" s="4">
        <f>'תקציב הנדסה 2019'!Z74</f>
        <v>0</v>
      </c>
      <c r="AA106" s="3" t="s">
        <v>669</v>
      </c>
      <c r="AB106" s="3">
        <f>'תקציב הנדסה 2019'!AB74</f>
        <v>829000</v>
      </c>
      <c r="AC106" s="21"/>
    </row>
    <row r="107" spans="1:31" s="101" customFormat="1">
      <c r="A107" s="44"/>
      <c r="B107" s="44"/>
      <c r="C107" s="44" t="s">
        <v>1209</v>
      </c>
      <c r="D107" s="125">
        <f>SUM(D105:D106)</f>
        <v>25200000</v>
      </c>
      <c r="E107" s="125">
        <f t="shared" ref="E107:Z107" si="8">SUM(E105:E106)</f>
        <v>25200000</v>
      </c>
      <c r="F107" s="125">
        <f t="shared" si="8"/>
        <v>0</v>
      </c>
      <c r="G107" s="125">
        <f t="shared" si="8"/>
        <v>12712000</v>
      </c>
      <c r="H107" s="125">
        <f t="shared" si="8"/>
        <v>12420746.140000001</v>
      </c>
      <c r="I107" s="125">
        <f t="shared" si="8"/>
        <v>118498.13</v>
      </c>
      <c r="J107" s="125">
        <f t="shared" si="8"/>
        <v>0</v>
      </c>
      <c r="K107" s="125">
        <f t="shared" si="8"/>
        <v>118498.13</v>
      </c>
      <c r="L107" s="125">
        <f t="shared" si="8"/>
        <v>12539244.270000001</v>
      </c>
      <c r="M107" s="125">
        <f t="shared" si="8"/>
        <v>172755.72999999858</v>
      </c>
      <c r="N107" s="125">
        <f t="shared" si="8"/>
        <v>0</v>
      </c>
      <c r="O107" s="125">
        <f t="shared" si="8"/>
        <v>12488000</v>
      </c>
      <c r="P107" s="125">
        <f t="shared" si="8"/>
        <v>172755.72999999858</v>
      </c>
      <c r="Q107" s="125">
        <f t="shared" si="8"/>
        <v>0</v>
      </c>
      <c r="R107" s="125">
        <f t="shared" si="8"/>
        <v>0</v>
      </c>
      <c r="S107" s="125">
        <f t="shared" si="8"/>
        <v>0</v>
      </c>
      <c r="T107" s="125">
        <f t="shared" si="8"/>
        <v>0</v>
      </c>
      <c r="U107" s="125">
        <f t="shared" si="8"/>
        <v>0</v>
      </c>
      <c r="V107" s="125">
        <f t="shared" si="8"/>
        <v>0</v>
      </c>
      <c r="W107" s="125">
        <f t="shared" si="8"/>
        <v>0</v>
      </c>
      <c r="X107" s="125">
        <f t="shared" si="8"/>
        <v>0</v>
      </c>
      <c r="Y107" s="125">
        <f t="shared" si="8"/>
        <v>0</v>
      </c>
      <c r="Z107" s="125">
        <f t="shared" si="8"/>
        <v>0</v>
      </c>
      <c r="AA107" s="44"/>
      <c r="AB107" s="44"/>
      <c r="AC107" s="656"/>
    </row>
    <row r="108" spans="1:31" s="6" customFormat="1">
      <c r="A108" s="9">
        <f>A106</f>
        <v>97</v>
      </c>
      <c r="B108" s="9"/>
      <c r="C108" s="9" t="s">
        <v>1172</v>
      </c>
      <c r="D108" s="10">
        <f>D107+D104+D102+D50</f>
        <v>849930879</v>
      </c>
      <c r="E108" s="10">
        <f t="shared" ref="E108:Z108" si="9">E107+E104+E102+E50</f>
        <v>699330541</v>
      </c>
      <c r="F108" s="10">
        <f t="shared" si="9"/>
        <v>150600338</v>
      </c>
      <c r="G108" s="10">
        <f t="shared" si="9"/>
        <v>324115229</v>
      </c>
      <c r="H108" s="10">
        <f t="shared" si="9"/>
        <v>251391656.94000003</v>
      </c>
      <c r="I108" s="10">
        <f t="shared" si="9"/>
        <v>22234190.399999991</v>
      </c>
      <c r="J108" s="10">
        <f t="shared" si="9"/>
        <v>11172990.59</v>
      </c>
      <c r="K108" s="10">
        <f t="shared" si="9"/>
        <v>33407180.989999995</v>
      </c>
      <c r="L108" s="10">
        <f t="shared" si="9"/>
        <v>284798837.92999995</v>
      </c>
      <c r="M108" s="10">
        <f t="shared" si="9"/>
        <v>17597391.07</v>
      </c>
      <c r="N108" s="10">
        <f t="shared" si="9"/>
        <v>64635580</v>
      </c>
      <c r="O108" s="10">
        <f t="shared" si="9"/>
        <v>482899070</v>
      </c>
      <c r="P108" s="10">
        <f t="shared" si="9"/>
        <v>39316391.070000008</v>
      </c>
      <c r="Q108" s="10">
        <f t="shared" si="9"/>
        <v>500000</v>
      </c>
      <c r="R108" s="10">
        <f t="shared" si="9"/>
        <v>0</v>
      </c>
      <c r="S108" s="10">
        <f t="shared" si="9"/>
        <v>500000</v>
      </c>
      <c r="T108" s="10">
        <f t="shared" si="9"/>
        <v>22219000</v>
      </c>
      <c r="U108" s="10">
        <f t="shared" si="9"/>
        <v>42416580</v>
      </c>
      <c r="V108" s="10">
        <f t="shared" si="9"/>
        <v>39542003</v>
      </c>
      <c r="W108" s="10">
        <f t="shared" si="9"/>
        <v>0</v>
      </c>
      <c r="X108" s="10">
        <f t="shared" si="9"/>
        <v>0</v>
      </c>
      <c r="Y108" s="10">
        <f t="shared" si="9"/>
        <v>0</v>
      </c>
      <c r="Z108" s="10">
        <f t="shared" si="9"/>
        <v>2874577</v>
      </c>
      <c r="AA108" s="9"/>
      <c r="AB108" s="9"/>
      <c r="AC108" s="21"/>
    </row>
    <row r="109" spans="1:31" s="36" customFormat="1" ht="18">
      <c r="C109" s="412"/>
      <c r="D109" s="412"/>
      <c r="L109" s="24">
        <f>H108+K108</f>
        <v>284798837.93000001</v>
      </c>
      <c r="M109" s="24">
        <f>P108+S108-T108</f>
        <v>17597391.070000008</v>
      </c>
      <c r="P109" s="24">
        <f>G108-L108</f>
        <v>39316391.070000052</v>
      </c>
      <c r="U109" s="24">
        <f>N108-T108</f>
        <v>42416580</v>
      </c>
      <c r="V109" s="413"/>
      <c r="W109" s="413"/>
      <c r="AC109" s="21"/>
    </row>
    <row r="115" spans="17:21">
      <c r="U115" s="17"/>
    </row>
    <row r="116" spans="17:21">
      <c r="Q116" s="28"/>
    </row>
    <row r="117" spans="17:21">
      <c r="Q117" s="28"/>
    </row>
  </sheetData>
  <sheetProtection formatCells="0" formatColumns="0" formatRows="0" insertColumns="0" insertRows="0" insertHyperlinks="0" deleteColumns="0" deleteRows="0" sort="0" autoFilter="0" pivotTables="0"/>
  <sortState ref="A6:AF103">
    <sortCondition ref="AB6:AB103"/>
  </sortState>
  <printOptions horizontalCentered="1"/>
  <pageMargins left="0" right="0" top="0.94488188976377963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113"/>
  <sheetViews>
    <sheetView showZeros="0" rightToLeft="1" zoomScaleNormal="100" workbookViewId="0">
      <pane xSplit="3" ySplit="4" topLeftCell="D100" activePane="bottomRight" state="frozen"/>
      <selection activeCell="T20" sqref="T20"/>
      <selection pane="topRight" activeCell="T20" sqref="T20"/>
      <selection pane="bottomLeft" activeCell="T20" sqref="T20"/>
      <selection pane="bottomRight" activeCell="T20" sqref="T20"/>
    </sheetView>
  </sheetViews>
  <sheetFormatPr defaultColWidth="9.453125" defaultRowHeight="14"/>
  <cols>
    <col min="1" max="1" width="3.7265625" style="15" customWidth="1"/>
    <col min="2" max="2" width="5.26953125" style="15" customWidth="1"/>
    <col min="3" max="3" width="29.54296875" style="21" customWidth="1"/>
    <col min="4" max="4" width="11.26953125" style="17" customWidth="1"/>
    <col min="5" max="5" width="12.26953125" style="17" hidden="1" customWidth="1"/>
    <col min="6" max="6" width="11.453125" style="17" hidden="1" customWidth="1"/>
    <col min="7" max="10" width="13" style="17" hidden="1" customWidth="1"/>
    <col min="11" max="11" width="11.7265625" style="17" hidden="1" customWidth="1"/>
    <col min="12" max="12" width="11.1796875" style="17" customWidth="1"/>
    <col min="13" max="14" width="10.1796875" style="17" customWidth="1"/>
    <col min="15" max="15" width="11.1796875" style="17" customWidth="1"/>
    <col min="16" max="16" width="11.453125" style="17" hidden="1" customWidth="1"/>
    <col min="17" max="17" width="16.26953125" style="17" hidden="1" customWidth="1"/>
    <col min="18" max="18" width="12.26953125" style="17" hidden="1" customWidth="1"/>
    <col min="19" max="19" width="12" style="17" hidden="1" customWidth="1"/>
    <col min="20" max="20" width="10.1796875" style="17" customWidth="1"/>
    <col min="21" max="21" width="10.1796875" style="15" customWidth="1"/>
    <col min="22" max="22" width="10.26953125" style="15" hidden="1" customWidth="1"/>
    <col min="23" max="23" width="7.1796875" style="15" hidden="1" customWidth="1"/>
    <col min="24" max="25" width="5" style="15" hidden="1" customWidth="1"/>
    <col min="26" max="26" width="10.26953125" style="15" hidden="1" customWidth="1"/>
    <col min="27" max="27" width="40.7265625" style="21" customWidth="1"/>
    <col min="28" max="28" width="8.1796875" style="15" hidden="1" customWidth="1"/>
    <col min="29" max="29" width="22.453125" style="21" customWidth="1"/>
    <col min="30" max="30" width="10.81640625" style="21" bestFit="1" customWidth="1"/>
    <col min="31" max="16384" width="9.453125" style="15"/>
  </cols>
  <sheetData>
    <row r="1" spans="1:32" s="39" customFormat="1" ht="18">
      <c r="A1" s="38"/>
      <c r="B1" s="38"/>
      <c r="C1" s="405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405"/>
      <c r="AC1" s="21"/>
      <c r="AD1" s="21"/>
    </row>
    <row r="2" spans="1:32" ht="18">
      <c r="A2" s="122" t="s">
        <v>1430</v>
      </c>
      <c r="B2" s="38"/>
      <c r="C2" s="405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406"/>
      <c r="R2" s="38"/>
      <c r="S2" s="38"/>
      <c r="T2" s="38"/>
      <c r="U2" s="38"/>
      <c r="V2" s="38"/>
      <c r="W2" s="38"/>
      <c r="X2" s="38"/>
      <c r="Y2" s="38"/>
      <c r="Z2" s="38"/>
    </row>
    <row r="3" spans="1:32"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407"/>
      <c r="V3" s="407"/>
      <c r="W3" s="407"/>
      <c r="X3" s="407"/>
      <c r="Y3" s="407"/>
      <c r="Z3" s="407"/>
    </row>
    <row r="4" spans="1:32" s="41" customFormat="1" ht="86.25" customHeight="1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9</v>
      </c>
      <c r="J4" s="11" t="s">
        <v>318</v>
      </c>
      <c r="K4" s="11" t="s">
        <v>10</v>
      </c>
      <c r="L4" s="11" t="s">
        <v>11</v>
      </c>
      <c r="M4" s="11" t="s">
        <v>627</v>
      </c>
      <c r="N4" s="11" t="s">
        <v>628</v>
      </c>
      <c r="O4" s="11" t="s">
        <v>629</v>
      </c>
      <c r="P4" s="11" t="s">
        <v>12</v>
      </c>
      <c r="Q4" s="11" t="s">
        <v>630</v>
      </c>
      <c r="R4" s="11" t="s">
        <v>631</v>
      </c>
      <c r="S4" s="11" t="s">
        <v>632</v>
      </c>
      <c r="T4" s="11" t="s">
        <v>633</v>
      </c>
      <c r="U4" s="11" t="s">
        <v>634</v>
      </c>
      <c r="V4" s="11" t="s">
        <v>13</v>
      </c>
      <c r="W4" s="11" t="s">
        <v>14</v>
      </c>
      <c r="X4" s="11" t="s">
        <v>15</v>
      </c>
      <c r="Y4" s="11" t="s">
        <v>523</v>
      </c>
      <c r="Z4" s="11" t="s">
        <v>140</v>
      </c>
      <c r="AA4" s="19" t="s">
        <v>635</v>
      </c>
      <c r="AB4" s="11" t="s">
        <v>16</v>
      </c>
      <c r="AC4" s="21"/>
      <c r="AD4" s="21"/>
    </row>
    <row r="5" spans="1:32" s="5" customFormat="1">
      <c r="A5" s="3"/>
      <c r="B5" s="3"/>
      <c r="C5" s="9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3"/>
      <c r="AA5" s="3"/>
      <c r="AB5" s="3"/>
      <c r="AC5" s="21"/>
      <c r="AD5" s="21"/>
    </row>
    <row r="6" spans="1:32" s="5" customFormat="1" ht="28">
      <c r="A6" s="3">
        <f>A5+1</f>
        <v>1</v>
      </c>
      <c r="B6" s="3">
        <v>179</v>
      </c>
      <c r="C6" s="3" t="s">
        <v>36</v>
      </c>
      <c r="D6" s="4">
        <f>3200000-200000</f>
        <v>3000000</v>
      </c>
      <c r="E6" s="4">
        <v>3000000</v>
      </c>
      <c r="F6" s="4">
        <f t="shared" ref="F6:F69" si="0">D6-E6</f>
        <v>0</v>
      </c>
      <c r="G6" s="4">
        <v>2870250</v>
      </c>
      <c r="H6" s="4">
        <v>2782107</v>
      </c>
      <c r="I6" s="4"/>
      <c r="J6" s="4">
        <v>65735</v>
      </c>
      <c r="K6" s="4">
        <f t="shared" ref="K6:K34" si="1">SUM(I6:J6)</f>
        <v>65735</v>
      </c>
      <c r="L6" s="4">
        <f t="shared" ref="L6:L69" si="2">H6+K6</f>
        <v>2847842</v>
      </c>
      <c r="M6" s="4">
        <f>P6+S6</f>
        <v>22408</v>
      </c>
      <c r="N6" s="4">
        <f>150000-50000</f>
        <v>100000</v>
      </c>
      <c r="O6" s="4">
        <f t="shared" ref="O6:O69" si="3">D6-L6-M6-N6</f>
        <v>29750</v>
      </c>
      <c r="P6" s="4">
        <f t="shared" ref="P6:P69" si="4">G6-L6</f>
        <v>22408</v>
      </c>
      <c r="Q6" s="4"/>
      <c r="R6" s="4"/>
      <c r="S6" s="4">
        <f t="shared" ref="S6:S69" si="5">SUM(Q6:R6)</f>
        <v>0</v>
      </c>
      <c r="T6" s="4">
        <f t="shared" ref="T6:T69" si="6">P6-M6+S6</f>
        <v>0</v>
      </c>
      <c r="U6" s="4">
        <f t="shared" ref="U6:U69" si="7">N6-T6</f>
        <v>100000</v>
      </c>
      <c r="V6" s="4">
        <f t="shared" ref="V6:V69" si="8">U6-Z6-W6-Y6</f>
        <v>100000</v>
      </c>
      <c r="W6" s="4"/>
      <c r="X6" s="4"/>
      <c r="Y6" s="4"/>
      <c r="Z6" s="3"/>
      <c r="AA6" s="3" t="s">
        <v>636</v>
      </c>
      <c r="AB6" s="3">
        <v>732000</v>
      </c>
      <c r="AC6" s="21"/>
      <c r="AD6" s="60"/>
    </row>
    <row r="7" spans="1:32" s="5" customFormat="1" ht="30" customHeight="1">
      <c r="A7" s="3">
        <f>A6+1</f>
        <v>2</v>
      </c>
      <c r="B7" s="3">
        <v>304</v>
      </c>
      <c r="C7" s="3" t="s">
        <v>65</v>
      </c>
      <c r="D7" s="4">
        <f>54950000-20000</f>
        <v>54930000</v>
      </c>
      <c r="E7" s="4">
        <v>54950000</v>
      </c>
      <c r="F7" s="4">
        <f t="shared" si="0"/>
        <v>-20000</v>
      </c>
      <c r="G7" s="4">
        <v>54950000</v>
      </c>
      <c r="H7" s="4">
        <v>54780522.609999999</v>
      </c>
      <c r="I7" s="4">
        <v>149074.13</v>
      </c>
      <c r="J7" s="4"/>
      <c r="K7" s="4">
        <f t="shared" si="1"/>
        <v>149074.13</v>
      </c>
      <c r="L7" s="4">
        <f t="shared" si="2"/>
        <v>54929596.740000002</v>
      </c>
      <c r="M7" s="4">
        <f>P7+S7-20000</f>
        <v>403.25999999791384</v>
      </c>
      <c r="N7" s="4"/>
      <c r="O7" s="4">
        <f t="shared" si="3"/>
        <v>0</v>
      </c>
      <c r="P7" s="4">
        <f t="shared" si="4"/>
        <v>20403.259999997914</v>
      </c>
      <c r="Q7" s="4"/>
      <c r="R7" s="4"/>
      <c r="S7" s="4">
        <f t="shared" si="5"/>
        <v>0</v>
      </c>
      <c r="T7" s="4">
        <f t="shared" si="6"/>
        <v>20000</v>
      </c>
      <c r="U7" s="4">
        <f t="shared" si="7"/>
        <v>-20000</v>
      </c>
      <c r="V7" s="4">
        <f t="shared" si="8"/>
        <v>-20000</v>
      </c>
      <c r="W7" s="4"/>
      <c r="X7" s="4"/>
      <c r="Y7" s="4"/>
      <c r="Z7" s="3"/>
      <c r="AA7" s="3"/>
      <c r="AB7" s="3">
        <v>746000</v>
      </c>
      <c r="AC7" s="21"/>
      <c r="AD7" s="60"/>
    </row>
    <row r="8" spans="1:32" s="5" customFormat="1" ht="28">
      <c r="A8" s="3">
        <f t="shared" ref="A8:A71" si="9">A7+1</f>
        <v>3</v>
      </c>
      <c r="B8" s="3">
        <v>507</v>
      </c>
      <c r="C8" s="3" t="s">
        <v>54</v>
      </c>
      <c r="D8" s="4">
        <v>2310000</v>
      </c>
      <c r="E8" s="4">
        <v>2310000</v>
      </c>
      <c r="F8" s="4">
        <f t="shared" si="0"/>
        <v>0</v>
      </c>
      <c r="G8" s="4">
        <v>1765000</v>
      </c>
      <c r="H8" s="4">
        <v>1653104.23</v>
      </c>
      <c r="I8" s="4"/>
      <c r="J8" s="4"/>
      <c r="K8" s="4">
        <f t="shared" si="1"/>
        <v>0</v>
      </c>
      <c r="L8" s="4">
        <f t="shared" si="2"/>
        <v>1653104.23</v>
      </c>
      <c r="M8" s="4">
        <f>P8+S8</f>
        <v>111895.77000000002</v>
      </c>
      <c r="N8" s="4">
        <f>100000-50000</f>
        <v>50000</v>
      </c>
      <c r="O8" s="4">
        <f t="shared" si="3"/>
        <v>495000</v>
      </c>
      <c r="P8" s="4">
        <f t="shared" si="4"/>
        <v>111895.77000000002</v>
      </c>
      <c r="Q8" s="4"/>
      <c r="R8" s="4"/>
      <c r="S8" s="4">
        <f t="shared" si="5"/>
        <v>0</v>
      </c>
      <c r="T8" s="4">
        <f t="shared" si="6"/>
        <v>0</v>
      </c>
      <c r="U8" s="4">
        <f t="shared" si="7"/>
        <v>50000</v>
      </c>
      <c r="V8" s="4">
        <f t="shared" si="8"/>
        <v>50000</v>
      </c>
      <c r="W8" s="4"/>
      <c r="X8" s="4"/>
      <c r="Y8" s="4"/>
      <c r="Z8" s="3"/>
      <c r="AA8" s="3" t="s">
        <v>637</v>
      </c>
      <c r="AB8" s="3">
        <v>742000</v>
      </c>
      <c r="AC8" s="21"/>
      <c r="AD8" s="60"/>
      <c r="AE8" s="6"/>
      <c r="AF8" s="6"/>
    </row>
    <row r="9" spans="1:32" s="5" customFormat="1" ht="30" customHeight="1">
      <c r="A9" s="3">
        <f t="shared" si="9"/>
        <v>4</v>
      </c>
      <c r="B9" s="3">
        <v>546</v>
      </c>
      <c r="C9" s="3" t="s">
        <v>55</v>
      </c>
      <c r="D9" s="4">
        <f>5850000-2930000</f>
        <v>2920000</v>
      </c>
      <c r="E9" s="4">
        <v>5850000</v>
      </c>
      <c r="F9" s="4">
        <f t="shared" si="0"/>
        <v>-2930000</v>
      </c>
      <c r="G9" s="4">
        <v>2950000</v>
      </c>
      <c r="H9" s="4">
        <v>2895703.4</v>
      </c>
      <c r="I9" s="4"/>
      <c r="J9" s="4">
        <v>18053</v>
      </c>
      <c r="K9" s="4">
        <f t="shared" si="1"/>
        <v>18053</v>
      </c>
      <c r="L9" s="4">
        <f t="shared" si="2"/>
        <v>2913756.4</v>
      </c>
      <c r="M9" s="4">
        <f>P9+S9-30000</f>
        <v>6243.6000000000931</v>
      </c>
      <c r="N9" s="4"/>
      <c r="O9" s="4">
        <f t="shared" si="3"/>
        <v>0</v>
      </c>
      <c r="P9" s="4">
        <f t="shared" si="4"/>
        <v>36243.600000000093</v>
      </c>
      <c r="Q9" s="4"/>
      <c r="R9" s="4"/>
      <c r="S9" s="4">
        <f t="shared" si="5"/>
        <v>0</v>
      </c>
      <c r="T9" s="4">
        <f t="shared" si="6"/>
        <v>30000</v>
      </c>
      <c r="U9" s="4">
        <f t="shared" si="7"/>
        <v>-30000</v>
      </c>
      <c r="V9" s="4">
        <f t="shared" si="8"/>
        <v>-30000</v>
      </c>
      <c r="W9" s="4"/>
      <c r="X9" s="4"/>
      <c r="Y9" s="4"/>
      <c r="Z9" s="3"/>
      <c r="AA9" s="3"/>
      <c r="AB9" s="3">
        <v>742000</v>
      </c>
      <c r="AC9" s="21"/>
      <c r="AD9" s="60"/>
    </row>
    <row r="10" spans="1:32" s="5" customFormat="1" ht="28">
      <c r="A10" s="3">
        <f t="shared" si="9"/>
        <v>5</v>
      </c>
      <c r="B10" s="3">
        <v>592</v>
      </c>
      <c r="C10" s="3" t="s">
        <v>29</v>
      </c>
      <c r="D10" s="4">
        <v>54893000</v>
      </c>
      <c r="E10" s="4">
        <v>54893000</v>
      </c>
      <c r="F10" s="4">
        <f t="shared" si="0"/>
        <v>0</v>
      </c>
      <c r="G10" s="4">
        <f>18420000+300000</f>
        <v>18720000</v>
      </c>
      <c r="H10" s="4">
        <v>17302170.350000001</v>
      </c>
      <c r="I10" s="4">
        <v>149113.19</v>
      </c>
      <c r="J10" s="4">
        <v>14350</v>
      </c>
      <c r="K10" s="4">
        <f t="shared" si="1"/>
        <v>163463.19</v>
      </c>
      <c r="L10" s="4">
        <f t="shared" si="2"/>
        <v>17465633.540000003</v>
      </c>
      <c r="M10" s="4">
        <f>P10+S10</f>
        <v>1254366.4599999972</v>
      </c>
      <c r="N10" s="4">
        <f>3500000+400000</f>
        <v>3900000</v>
      </c>
      <c r="O10" s="4">
        <f t="shared" si="3"/>
        <v>32273000</v>
      </c>
      <c r="P10" s="4">
        <f t="shared" si="4"/>
        <v>1254366.4599999972</v>
      </c>
      <c r="Q10" s="4"/>
      <c r="R10" s="4"/>
      <c r="S10" s="4">
        <f t="shared" si="5"/>
        <v>0</v>
      </c>
      <c r="T10" s="4">
        <f t="shared" si="6"/>
        <v>0</v>
      </c>
      <c r="U10" s="4">
        <f t="shared" si="7"/>
        <v>3900000</v>
      </c>
      <c r="V10" s="4">
        <f t="shared" si="8"/>
        <v>3900000</v>
      </c>
      <c r="W10" s="4"/>
      <c r="X10" s="4"/>
      <c r="Y10" s="4"/>
      <c r="Z10" s="3"/>
      <c r="AA10" s="3" t="s">
        <v>1283</v>
      </c>
      <c r="AB10" s="3">
        <v>742000</v>
      </c>
      <c r="AC10" s="21"/>
      <c r="AD10" s="60"/>
      <c r="AE10" s="6"/>
      <c r="AF10" s="6"/>
    </row>
    <row r="11" spans="1:32" s="5" customFormat="1" ht="30" customHeight="1">
      <c r="A11" s="3">
        <f t="shared" si="9"/>
        <v>6</v>
      </c>
      <c r="B11" s="3">
        <v>608</v>
      </c>
      <c r="C11" s="3" t="s">
        <v>37</v>
      </c>
      <c r="D11" s="4">
        <v>8300000</v>
      </c>
      <c r="E11" s="4">
        <v>8300000</v>
      </c>
      <c r="F11" s="4">
        <f t="shared" si="0"/>
        <v>0</v>
      </c>
      <c r="G11" s="4">
        <v>6250000</v>
      </c>
      <c r="H11" s="4">
        <v>5146280</v>
      </c>
      <c r="I11" s="4"/>
      <c r="J11" s="4">
        <v>76278</v>
      </c>
      <c r="K11" s="4">
        <f t="shared" si="1"/>
        <v>76278</v>
      </c>
      <c r="L11" s="4">
        <f t="shared" si="2"/>
        <v>5222558</v>
      </c>
      <c r="M11" s="4">
        <f>P11+S11-650000</f>
        <v>377442</v>
      </c>
      <c r="N11" s="4">
        <v>600000</v>
      </c>
      <c r="O11" s="4">
        <f t="shared" si="3"/>
        <v>2100000</v>
      </c>
      <c r="P11" s="4">
        <f t="shared" si="4"/>
        <v>1027442</v>
      </c>
      <c r="Q11" s="4"/>
      <c r="R11" s="4"/>
      <c r="S11" s="4">
        <f t="shared" si="5"/>
        <v>0</v>
      </c>
      <c r="T11" s="4">
        <f t="shared" si="6"/>
        <v>650000</v>
      </c>
      <c r="U11" s="4">
        <f t="shared" si="7"/>
        <v>-50000</v>
      </c>
      <c r="V11" s="4">
        <f t="shared" si="8"/>
        <v>-50000</v>
      </c>
      <c r="W11" s="4"/>
      <c r="X11" s="4"/>
      <c r="Y11" s="4"/>
      <c r="Z11" s="3"/>
      <c r="AA11" s="3" t="s">
        <v>639</v>
      </c>
      <c r="AB11" s="3">
        <v>745000</v>
      </c>
      <c r="AC11" s="21"/>
      <c r="AD11" s="60"/>
    </row>
    <row r="12" spans="1:32" s="6" customFormat="1" ht="28">
      <c r="A12" s="3">
        <f t="shared" si="9"/>
        <v>7</v>
      </c>
      <c r="B12" s="3">
        <v>626</v>
      </c>
      <c r="C12" s="3" t="s">
        <v>1284</v>
      </c>
      <c r="D12" s="4">
        <v>20025000</v>
      </c>
      <c r="E12" s="4">
        <v>20025000</v>
      </c>
      <c r="F12" s="4">
        <f t="shared" si="0"/>
        <v>0</v>
      </c>
      <c r="G12" s="4">
        <v>14525000</v>
      </c>
      <c r="H12" s="4">
        <v>13533711</v>
      </c>
      <c r="I12" s="4">
        <v>151233.85999999999</v>
      </c>
      <c r="J12" s="4">
        <v>45309</v>
      </c>
      <c r="K12" s="4">
        <f t="shared" si="1"/>
        <v>196542.86</v>
      </c>
      <c r="L12" s="4">
        <f t="shared" si="2"/>
        <v>13730253.859999999</v>
      </c>
      <c r="M12" s="4">
        <f>P12+S12-500000</f>
        <v>294746.1400000006</v>
      </c>
      <c r="N12" s="4">
        <f>3325000-1000000</f>
        <v>2325000</v>
      </c>
      <c r="O12" s="4">
        <f t="shared" si="3"/>
        <v>3675000</v>
      </c>
      <c r="P12" s="4">
        <f t="shared" si="4"/>
        <v>794746.1400000006</v>
      </c>
      <c r="Q12" s="4"/>
      <c r="R12" s="4"/>
      <c r="S12" s="4">
        <f t="shared" si="5"/>
        <v>0</v>
      </c>
      <c r="T12" s="4">
        <f t="shared" si="6"/>
        <v>500000</v>
      </c>
      <c r="U12" s="4">
        <f t="shared" si="7"/>
        <v>1825000</v>
      </c>
      <c r="V12" s="4">
        <f t="shared" si="8"/>
        <v>1475000</v>
      </c>
      <c r="W12" s="4"/>
      <c r="X12" s="4"/>
      <c r="Y12" s="4"/>
      <c r="Z12" s="4">
        <f>175000+175000</f>
        <v>350000</v>
      </c>
      <c r="AA12" s="3" t="s">
        <v>1246</v>
      </c>
      <c r="AB12" s="3">
        <v>732000</v>
      </c>
      <c r="AC12" s="21"/>
      <c r="AD12" s="60"/>
      <c r="AE12" s="5"/>
      <c r="AF12" s="5"/>
    </row>
    <row r="13" spans="1:32" s="5" customFormat="1" ht="30" customHeight="1">
      <c r="A13" s="3">
        <f t="shared" si="9"/>
        <v>8</v>
      </c>
      <c r="B13" s="3">
        <v>631</v>
      </c>
      <c r="C13" s="3" t="s">
        <v>66</v>
      </c>
      <c r="D13" s="4">
        <f>9005000-1946000</f>
        <v>7059000</v>
      </c>
      <c r="E13" s="4">
        <v>9005000</v>
      </c>
      <c r="F13" s="4">
        <f t="shared" si="0"/>
        <v>-1946000</v>
      </c>
      <c r="G13" s="4">
        <v>7305000</v>
      </c>
      <c r="H13" s="4">
        <v>7030689.3200000003</v>
      </c>
      <c r="I13" s="4"/>
      <c r="J13" s="4">
        <v>27554.53</v>
      </c>
      <c r="K13" s="4">
        <f t="shared" si="1"/>
        <v>27554.53</v>
      </c>
      <c r="L13" s="4">
        <f t="shared" si="2"/>
        <v>7058243.8500000006</v>
      </c>
      <c r="M13" s="4">
        <f>P13+S13-246000</f>
        <v>756.14999999944121</v>
      </c>
      <c r="N13" s="4"/>
      <c r="O13" s="4">
        <f t="shared" si="3"/>
        <v>0</v>
      </c>
      <c r="P13" s="4">
        <f t="shared" si="4"/>
        <v>246756.14999999944</v>
      </c>
      <c r="Q13" s="4"/>
      <c r="R13" s="4"/>
      <c r="S13" s="4">
        <f t="shared" si="5"/>
        <v>0</v>
      </c>
      <c r="T13" s="4">
        <f t="shared" si="6"/>
        <v>246000</v>
      </c>
      <c r="U13" s="4">
        <f t="shared" si="7"/>
        <v>-246000</v>
      </c>
      <c r="V13" s="4">
        <f t="shared" si="8"/>
        <v>-246000</v>
      </c>
      <c r="W13" s="4"/>
      <c r="X13" s="4"/>
      <c r="Y13" s="4"/>
      <c r="Z13" s="3"/>
      <c r="AA13" s="3"/>
      <c r="AB13" s="3">
        <v>742000</v>
      </c>
      <c r="AC13" s="21"/>
      <c r="AD13" s="60"/>
    </row>
    <row r="14" spans="1:32" s="5" customFormat="1" ht="28">
      <c r="A14" s="3">
        <f t="shared" si="9"/>
        <v>9</v>
      </c>
      <c r="B14" s="3">
        <v>638</v>
      </c>
      <c r="C14" s="3" t="s">
        <v>1485</v>
      </c>
      <c r="D14" s="4">
        <v>7000000</v>
      </c>
      <c r="E14" s="4">
        <v>7000000</v>
      </c>
      <c r="F14" s="4">
        <f t="shared" si="0"/>
        <v>0</v>
      </c>
      <c r="G14" s="4">
        <v>4600000</v>
      </c>
      <c r="H14" s="4">
        <v>3454838.96</v>
      </c>
      <c r="I14" s="4">
        <v>74548.7</v>
      </c>
      <c r="J14" s="4">
        <v>7765.64</v>
      </c>
      <c r="K14" s="4">
        <f t="shared" si="1"/>
        <v>82314.34</v>
      </c>
      <c r="L14" s="4">
        <f t="shared" si="2"/>
        <v>3537153.3</v>
      </c>
      <c r="M14" s="4">
        <f>P14+S14</f>
        <v>1062846.7000000002</v>
      </c>
      <c r="N14" s="4"/>
      <c r="O14" s="4">
        <f t="shared" si="3"/>
        <v>2400000</v>
      </c>
      <c r="P14" s="4">
        <f t="shared" si="4"/>
        <v>1062846.7000000002</v>
      </c>
      <c r="Q14" s="4"/>
      <c r="R14" s="4"/>
      <c r="S14" s="4">
        <f t="shared" si="5"/>
        <v>0</v>
      </c>
      <c r="T14" s="4">
        <f t="shared" si="6"/>
        <v>0</v>
      </c>
      <c r="U14" s="4">
        <f t="shared" si="7"/>
        <v>0</v>
      </c>
      <c r="V14" s="4">
        <f t="shared" si="8"/>
        <v>0</v>
      </c>
      <c r="W14" s="4"/>
      <c r="X14" s="4"/>
      <c r="Y14" s="4"/>
      <c r="Z14" s="3"/>
      <c r="AA14" s="3" t="s">
        <v>1175</v>
      </c>
      <c r="AB14" s="3">
        <v>742000</v>
      </c>
      <c r="AC14" s="21"/>
      <c r="AD14" s="60"/>
    </row>
    <row r="15" spans="1:32" s="5" customFormat="1" ht="28">
      <c r="A15" s="3">
        <f t="shared" si="9"/>
        <v>10</v>
      </c>
      <c r="B15" s="3">
        <v>1018</v>
      </c>
      <c r="C15" s="3" t="s">
        <v>30</v>
      </c>
      <c r="D15" s="4">
        <v>31900000</v>
      </c>
      <c r="E15" s="4">
        <v>31900000</v>
      </c>
      <c r="F15" s="4">
        <f t="shared" si="0"/>
        <v>0</v>
      </c>
      <c r="G15" s="4">
        <v>5100000</v>
      </c>
      <c r="H15" s="4">
        <v>3059586.79</v>
      </c>
      <c r="I15" s="4">
        <v>84192.99</v>
      </c>
      <c r="J15" s="4">
        <v>4379.93</v>
      </c>
      <c r="K15" s="4">
        <f t="shared" si="1"/>
        <v>88572.920000000013</v>
      </c>
      <c r="L15" s="4">
        <f t="shared" si="2"/>
        <v>3148159.71</v>
      </c>
      <c r="M15" s="4">
        <f>P15+S15-1000000-750000</f>
        <v>201840.29000000004</v>
      </c>
      <c r="N15" s="4">
        <f>2000000-250000</f>
        <v>1750000</v>
      </c>
      <c r="O15" s="4">
        <f t="shared" si="3"/>
        <v>26800000</v>
      </c>
      <c r="P15" s="4">
        <f t="shared" si="4"/>
        <v>1951840.29</v>
      </c>
      <c r="Q15" s="4"/>
      <c r="R15" s="4"/>
      <c r="S15" s="4">
        <f t="shared" si="5"/>
        <v>0</v>
      </c>
      <c r="T15" s="4">
        <f t="shared" si="6"/>
        <v>1750000</v>
      </c>
      <c r="U15" s="4">
        <f t="shared" si="7"/>
        <v>0</v>
      </c>
      <c r="V15" s="4">
        <f t="shared" si="8"/>
        <v>0</v>
      </c>
      <c r="W15" s="4"/>
      <c r="X15" s="4"/>
      <c r="Y15" s="4"/>
      <c r="Z15" s="3"/>
      <c r="AA15" s="3" t="s">
        <v>640</v>
      </c>
      <c r="AB15" s="3">
        <v>742000</v>
      </c>
      <c r="AC15" s="21"/>
      <c r="AD15" s="60"/>
    </row>
    <row r="16" spans="1:32" s="5" customFormat="1" ht="42">
      <c r="A16" s="3">
        <f t="shared" si="9"/>
        <v>11</v>
      </c>
      <c r="B16" s="3">
        <v>1100</v>
      </c>
      <c r="C16" s="3" t="s">
        <v>17</v>
      </c>
      <c r="D16" s="4">
        <v>7000000</v>
      </c>
      <c r="E16" s="4">
        <v>7000000</v>
      </c>
      <c r="F16" s="4">
        <f t="shared" si="0"/>
        <v>0</v>
      </c>
      <c r="G16" s="4">
        <v>5600000</v>
      </c>
      <c r="H16" s="4">
        <v>2706855.1</v>
      </c>
      <c r="I16" s="4">
        <v>2159838.63</v>
      </c>
      <c r="J16" s="4">
        <v>155452.21</v>
      </c>
      <c r="K16" s="4">
        <f t="shared" si="1"/>
        <v>2315290.84</v>
      </c>
      <c r="L16" s="4">
        <f t="shared" si="2"/>
        <v>5022145.9399999995</v>
      </c>
      <c r="M16" s="4">
        <f>P16+S16</f>
        <v>577854.06000000052</v>
      </c>
      <c r="N16" s="4">
        <v>300000</v>
      </c>
      <c r="O16" s="4">
        <f t="shared" si="3"/>
        <v>1100000</v>
      </c>
      <c r="P16" s="4">
        <f t="shared" si="4"/>
        <v>577854.06000000052</v>
      </c>
      <c r="Q16" s="4"/>
      <c r="R16" s="4"/>
      <c r="S16" s="4">
        <f t="shared" si="5"/>
        <v>0</v>
      </c>
      <c r="T16" s="4">
        <f t="shared" si="6"/>
        <v>0</v>
      </c>
      <c r="U16" s="4">
        <f t="shared" si="7"/>
        <v>300000</v>
      </c>
      <c r="V16" s="4">
        <f t="shared" si="8"/>
        <v>300000</v>
      </c>
      <c r="W16" s="4"/>
      <c r="X16" s="4"/>
      <c r="Y16" s="4"/>
      <c r="Z16" s="3"/>
      <c r="AA16" s="3" t="s">
        <v>641</v>
      </c>
      <c r="AB16" s="3">
        <v>732000</v>
      </c>
      <c r="AC16" s="21"/>
      <c r="AD16" s="60"/>
    </row>
    <row r="17" spans="1:32" s="6" customFormat="1" ht="28">
      <c r="A17" s="3">
        <f t="shared" si="9"/>
        <v>12</v>
      </c>
      <c r="B17" s="3">
        <v>1129</v>
      </c>
      <c r="C17" s="3" t="s">
        <v>38</v>
      </c>
      <c r="D17" s="4">
        <v>7000000</v>
      </c>
      <c r="E17" s="4">
        <v>7000000</v>
      </c>
      <c r="F17" s="4">
        <f t="shared" si="0"/>
        <v>0</v>
      </c>
      <c r="G17" s="4">
        <v>5991771</v>
      </c>
      <c r="H17" s="4">
        <v>5044953.63</v>
      </c>
      <c r="I17" s="4"/>
      <c r="J17" s="4">
        <v>55293.760000000002</v>
      </c>
      <c r="K17" s="4">
        <f t="shared" si="1"/>
        <v>55293.760000000002</v>
      </c>
      <c r="L17" s="4">
        <f t="shared" si="2"/>
        <v>5100247.3899999997</v>
      </c>
      <c r="M17" s="4">
        <f>P17+S17-750000</f>
        <v>141523.61000000034</v>
      </c>
      <c r="N17" s="4">
        <v>750000</v>
      </c>
      <c r="O17" s="4">
        <f t="shared" si="3"/>
        <v>1008229</v>
      </c>
      <c r="P17" s="4">
        <f t="shared" si="4"/>
        <v>891523.61000000034</v>
      </c>
      <c r="Q17" s="4"/>
      <c r="R17" s="4"/>
      <c r="S17" s="4">
        <f t="shared" si="5"/>
        <v>0</v>
      </c>
      <c r="T17" s="4">
        <f t="shared" si="6"/>
        <v>750000</v>
      </c>
      <c r="U17" s="4">
        <f t="shared" si="7"/>
        <v>0</v>
      </c>
      <c r="V17" s="4">
        <f t="shared" si="8"/>
        <v>0</v>
      </c>
      <c r="W17" s="4"/>
      <c r="X17" s="4"/>
      <c r="Y17" s="4"/>
      <c r="Z17" s="3"/>
      <c r="AA17" s="3" t="s">
        <v>1176</v>
      </c>
      <c r="AB17" s="3">
        <v>742000</v>
      </c>
      <c r="AC17" s="21"/>
      <c r="AD17" s="60"/>
      <c r="AE17" s="5"/>
      <c r="AF17" s="5"/>
    </row>
    <row r="18" spans="1:32" s="5" customFormat="1" ht="28">
      <c r="A18" s="3">
        <f t="shared" si="9"/>
        <v>13</v>
      </c>
      <c r="B18" s="3">
        <v>1220</v>
      </c>
      <c r="C18" s="3" t="s">
        <v>40</v>
      </c>
      <c r="D18" s="4">
        <v>7000000</v>
      </c>
      <c r="E18" s="4">
        <v>7000000</v>
      </c>
      <c r="F18" s="4">
        <f t="shared" si="0"/>
        <v>0</v>
      </c>
      <c r="G18" s="4">
        <v>5600000</v>
      </c>
      <c r="H18" s="4">
        <v>4415045</v>
      </c>
      <c r="I18" s="4">
        <v>45396</v>
      </c>
      <c r="J18" s="4">
        <v>548104</v>
      </c>
      <c r="K18" s="4">
        <f t="shared" si="1"/>
        <v>593500</v>
      </c>
      <c r="L18" s="4">
        <f t="shared" si="2"/>
        <v>5008545</v>
      </c>
      <c r="M18" s="4">
        <f>P18+S18</f>
        <v>591455</v>
      </c>
      <c r="N18" s="4">
        <f>400000+300000</f>
        <v>700000</v>
      </c>
      <c r="O18" s="4">
        <f t="shared" si="3"/>
        <v>700000</v>
      </c>
      <c r="P18" s="4">
        <f t="shared" si="4"/>
        <v>591455</v>
      </c>
      <c r="Q18" s="4"/>
      <c r="R18" s="4"/>
      <c r="S18" s="4">
        <f t="shared" si="5"/>
        <v>0</v>
      </c>
      <c r="T18" s="4">
        <f t="shared" si="6"/>
        <v>0</v>
      </c>
      <c r="U18" s="4">
        <f t="shared" si="7"/>
        <v>700000</v>
      </c>
      <c r="V18" s="4">
        <f t="shared" si="8"/>
        <v>700000</v>
      </c>
      <c r="W18" s="4"/>
      <c r="X18" s="4"/>
      <c r="Y18" s="4"/>
      <c r="Z18" s="3"/>
      <c r="AA18" s="3" t="s">
        <v>1177</v>
      </c>
      <c r="AB18" s="3">
        <v>732000</v>
      </c>
      <c r="AC18" s="21"/>
      <c r="AD18" s="60"/>
    </row>
    <row r="19" spans="1:32" s="5" customFormat="1" ht="28">
      <c r="A19" s="3">
        <f t="shared" si="9"/>
        <v>14</v>
      </c>
      <c r="B19" s="3">
        <v>1314</v>
      </c>
      <c r="C19" s="3" t="s">
        <v>57</v>
      </c>
      <c r="D19" s="4">
        <f>3500000-300000</f>
        <v>3200000</v>
      </c>
      <c r="E19" s="4">
        <v>3200000</v>
      </c>
      <c r="F19" s="4">
        <f t="shared" si="0"/>
        <v>0</v>
      </c>
      <c r="G19" s="4">
        <v>400000</v>
      </c>
      <c r="H19" s="4">
        <v>359314.49</v>
      </c>
      <c r="I19" s="4"/>
      <c r="J19" s="4"/>
      <c r="K19" s="4">
        <f t="shared" si="1"/>
        <v>0</v>
      </c>
      <c r="L19" s="4">
        <f t="shared" si="2"/>
        <v>359314.49</v>
      </c>
      <c r="M19" s="4">
        <f>P19+S19</f>
        <v>40685.510000000009</v>
      </c>
      <c r="N19" s="4">
        <f>100000+150000</f>
        <v>250000</v>
      </c>
      <c r="O19" s="4">
        <f t="shared" si="3"/>
        <v>2550000</v>
      </c>
      <c r="P19" s="4">
        <f t="shared" si="4"/>
        <v>40685.510000000009</v>
      </c>
      <c r="Q19" s="4"/>
      <c r="R19" s="4"/>
      <c r="S19" s="4">
        <f t="shared" si="5"/>
        <v>0</v>
      </c>
      <c r="T19" s="4">
        <f t="shared" si="6"/>
        <v>0</v>
      </c>
      <c r="U19" s="4">
        <f t="shared" si="7"/>
        <v>250000</v>
      </c>
      <c r="V19" s="4">
        <f t="shared" si="8"/>
        <v>250000</v>
      </c>
      <c r="W19" s="4"/>
      <c r="X19" s="4"/>
      <c r="Y19" s="4"/>
      <c r="Z19" s="3"/>
      <c r="AA19" s="3" t="s">
        <v>1244</v>
      </c>
      <c r="AB19" s="3">
        <v>742000</v>
      </c>
      <c r="AC19" s="21"/>
      <c r="AD19" s="60"/>
    </row>
    <row r="20" spans="1:32" s="6" customFormat="1" ht="30" customHeight="1">
      <c r="A20" s="3">
        <f t="shared" si="9"/>
        <v>15</v>
      </c>
      <c r="B20" s="3">
        <v>1320</v>
      </c>
      <c r="C20" s="3" t="s">
        <v>58</v>
      </c>
      <c r="D20" s="4">
        <v>23500000</v>
      </c>
      <c r="E20" s="4">
        <v>23500000</v>
      </c>
      <c r="F20" s="4">
        <f t="shared" si="0"/>
        <v>0</v>
      </c>
      <c r="G20" s="4">
        <v>21550000</v>
      </c>
      <c r="H20" s="4">
        <v>21339439.079999998</v>
      </c>
      <c r="I20" s="4">
        <v>204226.2</v>
      </c>
      <c r="J20" s="4"/>
      <c r="K20" s="4">
        <f t="shared" si="1"/>
        <v>204226.2</v>
      </c>
      <c r="L20" s="4">
        <f t="shared" si="2"/>
        <v>21543665.279999997</v>
      </c>
      <c r="M20" s="4">
        <f>P20+S20</f>
        <v>6334.7200000025332</v>
      </c>
      <c r="N20" s="4">
        <f>1800000-1800000</f>
        <v>0</v>
      </c>
      <c r="O20" s="4">
        <f t="shared" si="3"/>
        <v>1950000</v>
      </c>
      <c r="P20" s="4">
        <f t="shared" si="4"/>
        <v>6334.7200000025332</v>
      </c>
      <c r="Q20" s="4"/>
      <c r="R20" s="4"/>
      <c r="S20" s="4">
        <f t="shared" si="5"/>
        <v>0</v>
      </c>
      <c r="T20" s="4">
        <f t="shared" si="6"/>
        <v>0</v>
      </c>
      <c r="U20" s="4">
        <f t="shared" si="7"/>
        <v>0</v>
      </c>
      <c r="V20" s="4">
        <f t="shared" si="8"/>
        <v>0</v>
      </c>
      <c r="W20" s="4"/>
      <c r="X20" s="4"/>
      <c r="Y20" s="4"/>
      <c r="Z20" s="3"/>
      <c r="AA20" s="3"/>
      <c r="AB20" s="3">
        <v>746000</v>
      </c>
      <c r="AC20" s="21"/>
      <c r="AD20" s="60"/>
    </row>
    <row r="21" spans="1:32" s="5" customFormat="1" ht="28">
      <c r="A21" s="3">
        <f t="shared" si="9"/>
        <v>16</v>
      </c>
      <c r="B21" s="3">
        <v>1322</v>
      </c>
      <c r="C21" s="3" t="s">
        <v>42</v>
      </c>
      <c r="D21" s="4">
        <v>18500000</v>
      </c>
      <c r="E21" s="4">
        <v>18500000</v>
      </c>
      <c r="F21" s="4">
        <f t="shared" si="0"/>
        <v>0</v>
      </c>
      <c r="G21" s="4">
        <f>11400000-350000</f>
        <v>11050000</v>
      </c>
      <c r="H21" s="4">
        <v>9625168.5899999999</v>
      </c>
      <c r="I21" s="4">
        <v>92414.99</v>
      </c>
      <c r="J21" s="4"/>
      <c r="K21" s="4">
        <f t="shared" si="1"/>
        <v>92414.99</v>
      </c>
      <c r="L21" s="4">
        <f t="shared" si="2"/>
        <v>9717583.5800000001</v>
      </c>
      <c r="M21" s="4">
        <f>P21+S21-1200000</f>
        <v>132416.41999999993</v>
      </c>
      <c r="N21" s="4">
        <f>4000000-3000000</f>
        <v>1000000</v>
      </c>
      <c r="O21" s="4">
        <f t="shared" si="3"/>
        <v>7650000</v>
      </c>
      <c r="P21" s="4">
        <f t="shared" si="4"/>
        <v>1332416.42</v>
      </c>
      <c r="Q21" s="4"/>
      <c r="R21" s="4"/>
      <c r="S21" s="4">
        <f t="shared" si="5"/>
        <v>0</v>
      </c>
      <c r="T21" s="4">
        <f t="shared" si="6"/>
        <v>1200000</v>
      </c>
      <c r="U21" s="4">
        <f t="shared" si="7"/>
        <v>-200000</v>
      </c>
      <c r="V21" s="4">
        <f t="shared" si="8"/>
        <v>-200000</v>
      </c>
      <c r="W21" s="4"/>
      <c r="X21" s="4"/>
      <c r="Y21" s="4"/>
      <c r="Z21" s="3"/>
      <c r="AA21" s="3" t="s">
        <v>642</v>
      </c>
      <c r="AB21" s="3">
        <v>742000</v>
      </c>
      <c r="AC21" s="21"/>
      <c r="AD21" s="60"/>
    </row>
    <row r="22" spans="1:32" s="5" customFormat="1" ht="30" customHeight="1">
      <c r="A22" s="3">
        <f t="shared" si="9"/>
        <v>17</v>
      </c>
      <c r="B22" s="3">
        <v>1324</v>
      </c>
      <c r="C22" s="3" t="s">
        <v>59</v>
      </c>
      <c r="D22" s="4">
        <v>180000</v>
      </c>
      <c r="E22" s="4">
        <v>180000</v>
      </c>
      <c r="F22" s="4">
        <f t="shared" si="0"/>
        <v>0</v>
      </c>
      <c r="G22" s="4">
        <v>180000</v>
      </c>
      <c r="H22" s="4">
        <v>120629.48</v>
      </c>
      <c r="I22" s="4"/>
      <c r="J22" s="4">
        <v>56544</v>
      </c>
      <c r="K22" s="4">
        <f t="shared" si="1"/>
        <v>56544</v>
      </c>
      <c r="L22" s="4">
        <f t="shared" si="2"/>
        <v>177173.47999999998</v>
      </c>
      <c r="M22" s="4">
        <f>P22+S22</f>
        <v>2826.5200000000186</v>
      </c>
      <c r="N22" s="4"/>
      <c r="O22" s="4">
        <f t="shared" si="3"/>
        <v>0</v>
      </c>
      <c r="P22" s="4">
        <f t="shared" si="4"/>
        <v>2826.5200000000186</v>
      </c>
      <c r="Q22" s="4"/>
      <c r="R22" s="4"/>
      <c r="S22" s="4">
        <f t="shared" si="5"/>
        <v>0</v>
      </c>
      <c r="T22" s="4">
        <f t="shared" si="6"/>
        <v>0</v>
      </c>
      <c r="U22" s="4">
        <f t="shared" si="7"/>
        <v>0</v>
      </c>
      <c r="V22" s="4">
        <f t="shared" si="8"/>
        <v>0</v>
      </c>
      <c r="W22" s="4"/>
      <c r="X22" s="4"/>
      <c r="Y22" s="4"/>
      <c r="Z22" s="3"/>
      <c r="AA22" s="3"/>
      <c r="AB22" s="3">
        <v>742000</v>
      </c>
      <c r="AC22" s="21"/>
      <c r="AD22" s="60"/>
      <c r="AE22" s="6"/>
      <c r="AF22" s="6"/>
    </row>
    <row r="23" spans="1:32" s="5" customFormat="1" ht="30" customHeight="1">
      <c r="A23" s="3">
        <f t="shared" si="9"/>
        <v>18</v>
      </c>
      <c r="B23" s="3">
        <v>1357</v>
      </c>
      <c r="C23" s="3" t="s">
        <v>60</v>
      </c>
      <c r="D23" s="4">
        <v>25000000</v>
      </c>
      <c r="E23" s="4">
        <v>25000000</v>
      </c>
      <c r="F23" s="4">
        <f t="shared" si="0"/>
        <v>0</v>
      </c>
      <c r="G23" s="4">
        <v>12612000</v>
      </c>
      <c r="H23" s="4">
        <v>12420746.140000001</v>
      </c>
      <c r="I23" s="4">
        <v>118498.13</v>
      </c>
      <c r="J23" s="4"/>
      <c r="K23" s="4">
        <f t="shared" si="1"/>
        <v>118498.13</v>
      </c>
      <c r="L23" s="4">
        <f t="shared" si="2"/>
        <v>12539244.270000001</v>
      </c>
      <c r="M23" s="4">
        <f>P23+S23</f>
        <v>72755.729999998584</v>
      </c>
      <c r="N23" s="4">
        <f>6500000-6500000</f>
        <v>0</v>
      </c>
      <c r="O23" s="4">
        <f t="shared" si="3"/>
        <v>12388000</v>
      </c>
      <c r="P23" s="4">
        <f t="shared" si="4"/>
        <v>72755.729999998584</v>
      </c>
      <c r="Q23" s="4"/>
      <c r="R23" s="4"/>
      <c r="S23" s="4">
        <f t="shared" si="5"/>
        <v>0</v>
      </c>
      <c r="T23" s="4">
        <f t="shared" si="6"/>
        <v>0</v>
      </c>
      <c r="U23" s="4">
        <f t="shared" si="7"/>
        <v>0</v>
      </c>
      <c r="V23" s="4">
        <f t="shared" si="8"/>
        <v>0</v>
      </c>
      <c r="W23" s="4"/>
      <c r="X23" s="4"/>
      <c r="Y23" s="4"/>
      <c r="Z23" s="3"/>
      <c r="AA23" s="3"/>
      <c r="AB23" s="3">
        <v>829000</v>
      </c>
      <c r="AC23" s="21"/>
      <c r="AD23" s="60"/>
      <c r="AE23" s="6"/>
      <c r="AF23" s="6"/>
    </row>
    <row r="24" spans="1:32" s="5" customFormat="1" ht="28">
      <c r="A24" s="3">
        <f t="shared" si="9"/>
        <v>19</v>
      </c>
      <c r="B24" s="3">
        <v>1363</v>
      </c>
      <c r="C24" s="3" t="s">
        <v>43</v>
      </c>
      <c r="D24" s="4">
        <v>15500000</v>
      </c>
      <c r="E24" s="4">
        <v>15500000</v>
      </c>
      <c r="F24" s="4">
        <f t="shared" si="0"/>
        <v>0</v>
      </c>
      <c r="G24" s="4">
        <v>6050000</v>
      </c>
      <c r="H24" s="4">
        <v>898457</v>
      </c>
      <c r="I24" s="4">
        <v>91890.9</v>
      </c>
      <c r="J24" s="4">
        <v>402974</v>
      </c>
      <c r="K24" s="4">
        <f t="shared" si="1"/>
        <v>494864.9</v>
      </c>
      <c r="L24" s="4">
        <f t="shared" si="2"/>
        <v>1393321.9</v>
      </c>
      <c r="M24" s="4">
        <f>P24+S24-4000000</f>
        <v>656678.09999999963</v>
      </c>
      <c r="N24" s="4">
        <v>6000000</v>
      </c>
      <c r="O24" s="4">
        <f t="shared" si="3"/>
        <v>7450000</v>
      </c>
      <c r="P24" s="4">
        <f t="shared" si="4"/>
        <v>4656678.0999999996</v>
      </c>
      <c r="Q24" s="4"/>
      <c r="R24" s="4"/>
      <c r="S24" s="4">
        <f t="shared" si="5"/>
        <v>0</v>
      </c>
      <c r="T24" s="4">
        <f t="shared" si="6"/>
        <v>4000000</v>
      </c>
      <c r="U24" s="4">
        <f t="shared" si="7"/>
        <v>2000000</v>
      </c>
      <c r="V24" s="4">
        <f t="shared" si="8"/>
        <v>2000000</v>
      </c>
      <c r="W24" s="4"/>
      <c r="X24" s="4"/>
      <c r="Y24" s="4"/>
      <c r="Z24" s="3"/>
      <c r="AA24" s="3" t="s">
        <v>1247</v>
      </c>
      <c r="AB24" s="3">
        <v>742000</v>
      </c>
      <c r="AC24" s="21"/>
      <c r="AD24" s="60"/>
      <c r="AE24" s="6"/>
      <c r="AF24" s="6"/>
    </row>
    <row r="25" spans="1:32" s="6" customFormat="1" ht="28">
      <c r="A25" s="3">
        <f t="shared" si="9"/>
        <v>20</v>
      </c>
      <c r="B25" s="3">
        <v>1366</v>
      </c>
      <c r="C25" s="3" t="s">
        <v>44</v>
      </c>
      <c r="D25" s="4">
        <v>1500000</v>
      </c>
      <c r="E25" s="4">
        <v>1500000</v>
      </c>
      <c r="F25" s="4">
        <f t="shared" si="0"/>
        <v>0</v>
      </c>
      <c r="G25" s="4">
        <v>916000</v>
      </c>
      <c r="H25" s="4">
        <v>738983</v>
      </c>
      <c r="I25" s="4"/>
      <c r="J25" s="4">
        <v>7821</v>
      </c>
      <c r="K25" s="4">
        <f t="shared" si="1"/>
        <v>7821</v>
      </c>
      <c r="L25" s="4">
        <f t="shared" si="2"/>
        <v>746804</v>
      </c>
      <c r="M25" s="4">
        <f>P25+S25-70000</f>
        <v>99196</v>
      </c>
      <c r="N25" s="4"/>
      <c r="O25" s="4">
        <f t="shared" si="3"/>
        <v>654000</v>
      </c>
      <c r="P25" s="4">
        <f t="shared" si="4"/>
        <v>169196</v>
      </c>
      <c r="Q25" s="4"/>
      <c r="R25" s="4"/>
      <c r="S25" s="4">
        <f t="shared" si="5"/>
        <v>0</v>
      </c>
      <c r="T25" s="4">
        <f t="shared" si="6"/>
        <v>70000</v>
      </c>
      <c r="U25" s="4">
        <f t="shared" si="7"/>
        <v>-70000</v>
      </c>
      <c r="V25" s="4">
        <f t="shared" si="8"/>
        <v>-70000</v>
      </c>
      <c r="W25" s="4"/>
      <c r="X25" s="4"/>
      <c r="Y25" s="4"/>
      <c r="Z25" s="3"/>
      <c r="AA25" s="3" t="s">
        <v>1248</v>
      </c>
      <c r="AB25" s="3">
        <v>742000</v>
      </c>
      <c r="AC25" s="21"/>
      <c r="AD25" s="60"/>
      <c r="AE25" s="5"/>
      <c r="AF25" s="5"/>
    </row>
    <row r="26" spans="1:32" s="6" customFormat="1" ht="30" customHeight="1">
      <c r="A26" s="3">
        <f t="shared" si="9"/>
        <v>21</v>
      </c>
      <c r="B26" s="3">
        <v>1406</v>
      </c>
      <c r="C26" s="3" t="s">
        <v>201</v>
      </c>
      <c r="D26" s="4">
        <f>1400000+250000-350000</f>
        <v>1300000</v>
      </c>
      <c r="E26" s="4">
        <v>1300000</v>
      </c>
      <c r="F26" s="4">
        <f t="shared" si="0"/>
        <v>0</v>
      </c>
      <c r="G26" s="4">
        <f>1000000+300000</f>
        <v>1300000</v>
      </c>
      <c r="H26" s="4">
        <v>694328</v>
      </c>
      <c r="I26" s="4">
        <v>126373</v>
      </c>
      <c r="J26" s="4">
        <v>12432.48</v>
      </c>
      <c r="K26" s="4">
        <f t="shared" si="1"/>
        <v>138805.48000000001</v>
      </c>
      <c r="L26" s="4">
        <f t="shared" si="2"/>
        <v>833133.48</v>
      </c>
      <c r="M26" s="4">
        <f>P26+S26</f>
        <v>466866.52</v>
      </c>
      <c r="N26" s="4"/>
      <c r="O26" s="4">
        <f t="shared" si="3"/>
        <v>0</v>
      </c>
      <c r="P26" s="4">
        <f t="shared" si="4"/>
        <v>466866.52</v>
      </c>
      <c r="Q26" s="4"/>
      <c r="R26" s="4"/>
      <c r="S26" s="4">
        <f t="shared" si="5"/>
        <v>0</v>
      </c>
      <c r="T26" s="4">
        <f t="shared" si="6"/>
        <v>0</v>
      </c>
      <c r="U26" s="4">
        <f t="shared" si="7"/>
        <v>0</v>
      </c>
      <c r="V26" s="4">
        <f t="shared" si="8"/>
        <v>0</v>
      </c>
      <c r="W26" s="4"/>
      <c r="X26" s="4"/>
      <c r="Y26" s="4"/>
      <c r="Z26" s="3"/>
      <c r="AA26" s="3" t="s">
        <v>1178</v>
      </c>
      <c r="AB26" s="3">
        <v>732000</v>
      </c>
      <c r="AC26" s="21"/>
      <c r="AD26" s="60"/>
      <c r="AE26" s="5"/>
      <c r="AF26" s="5"/>
    </row>
    <row r="27" spans="1:32" s="6" customFormat="1" ht="30" customHeight="1">
      <c r="A27" s="3">
        <f t="shared" si="9"/>
        <v>22</v>
      </c>
      <c r="B27" s="3">
        <v>1407</v>
      </c>
      <c r="C27" s="3" t="s">
        <v>18</v>
      </c>
      <c r="D27" s="4">
        <f>6395000-1500000</f>
        <v>4895000</v>
      </c>
      <c r="E27" s="4">
        <v>4895000</v>
      </c>
      <c r="F27" s="4">
        <f t="shared" si="0"/>
        <v>0</v>
      </c>
      <c r="G27" s="4">
        <v>3495000</v>
      </c>
      <c r="H27" s="4">
        <v>2371902</v>
      </c>
      <c r="I27" s="4">
        <v>111224.98</v>
      </c>
      <c r="J27" s="4">
        <v>773210</v>
      </c>
      <c r="K27" s="4">
        <f t="shared" si="1"/>
        <v>884434.98</v>
      </c>
      <c r="L27" s="4">
        <f t="shared" si="2"/>
        <v>3256336.98</v>
      </c>
      <c r="M27" s="4">
        <f>P27+S27</f>
        <v>438663.02</v>
      </c>
      <c r="N27" s="4">
        <f>1000000-500000</f>
        <v>500000</v>
      </c>
      <c r="O27" s="4">
        <f t="shared" si="3"/>
        <v>700000</v>
      </c>
      <c r="P27" s="4">
        <f t="shared" si="4"/>
        <v>238663.02000000002</v>
      </c>
      <c r="Q27" s="4">
        <v>200000</v>
      </c>
      <c r="R27" s="4"/>
      <c r="S27" s="4">
        <f t="shared" si="5"/>
        <v>200000</v>
      </c>
      <c r="T27" s="4">
        <f t="shared" si="6"/>
        <v>0</v>
      </c>
      <c r="U27" s="4">
        <f t="shared" si="7"/>
        <v>500000</v>
      </c>
      <c r="V27" s="4">
        <f t="shared" si="8"/>
        <v>500000</v>
      </c>
      <c r="W27" s="4"/>
      <c r="X27" s="4"/>
      <c r="Y27" s="4"/>
      <c r="Z27" s="3"/>
      <c r="AA27" s="3" t="s">
        <v>1179</v>
      </c>
      <c r="AB27" s="3">
        <v>732000</v>
      </c>
      <c r="AC27" s="21"/>
      <c r="AD27" s="60"/>
    </row>
    <row r="28" spans="1:32" s="6" customFormat="1">
      <c r="A28" s="3">
        <f t="shared" si="9"/>
        <v>23</v>
      </c>
      <c r="B28" s="3">
        <v>1408</v>
      </c>
      <c r="C28" s="42" t="s">
        <v>1103</v>
      </c>
      <c r="D28" s="4">
        <v>1000000</v>
      </c>
      <c r="E28" s="4">
        <v>1000000</v>
      </c>
      <c r="F28" s="4">
        <f t="shared" si="0"/>
        <v>0</v>
      </c>
      <c r="G28" s="4">
        <v>100000</v>
      </c>
      <c r="H28" s="4">
        <v>0</v>
      </c>
      <c r="I28" s="4"/>
      <c r="J28" s="4"/>
      <c r="K28" s="4">
        <f t="shared" si="1"/>
        <v>0</v>
      </c>
      <c r="L28" s="4">
        <f t="shared" si="2"/>
        <v>0</v>
      </c>
      <c r="M28" s="4">
        <f>P28+S28</f>
        <v>200000</v>
      </c>
      <c r="N28" s="4">
        <f>300000-300000</f>
        <v>0</v>
      </c>
      <c r="O28" s="4">
        <f t="shared" si="3"/>
        <v>800000</v>
      </c>
      <c r="P28" s="4">
        <f t="shared" si="4"/>
        <v>100000</v>
      </c>
      <c r="Q28" s="4">
        <v>100000</v>
      </c>
      <c r="R28" s="4"/>
      <c r="S28" s="4">
        <f t="shared" si="5"/>
        <v>100000</v>
      </c>
      <c r="T28" s="4">
        <f t="shared" si="6"/>
        <v>0</v>
      </c>
      <c r="U28" s="4">
        <f t="shared" si="7"/>
        <v>0</v>
      </c>
      <c r="V28" s="4">
        <f t="shared" si="8"/>
        <v>0</v>
      </c>
      <c r="W28" s="4"/>
      <c r="X28" s="4"/>
      <c r="Y28" s="4"/>
      <c r="Z28" s="3"/>
      <c r="AA28" s="3" t="s">
        <v>643</v>
      </c>
      <c r="AB28" s="3">
        <v>732000</v>
      </c>
      <c r="AC28" s="21"/>
      <c r="AD28" s="60"/>
      <c r="AE28" s="5"/>
      <c r="AF28" s="5"/>
    </row>
    <row r="29" spans="1:32" s="5" customFormat="1" ht="28">
      <c r="A29" s="3">
        <f t="shared" si="9"/>
        <v>24</v>
      </c>
      <c r="B29" s="3">
        <v>1409</v>
      </c>
      <c r="C29" s="42" t="s">
        <v>1268</v>
      </c>
      <c r="D29" s="4">
        <v>7680000</v>
      </c>
      <c r="E29" s="4">
        <v>7300000</v>
      </c>
      <c r="F29" s="4">
        <f t="shared" si="0"/>
        <v>380000</v>
      </c>
      <c r="G29" s="4">
        <f>4000000+1000000</f>
        <v>5000000</v>
      </c>
      <c r="H29" s="4">
        <v>2980349</v>
      </c>
      <c r="I29" s="4">
        <v>558899.5</v>
      </c>
      <c r="J29" s="4">
        <v>324383</v>
      </c>
      <c r="K29" s="4">
        <f t="shared" si="1"/>
        <v>883282.5</v>
      </c>
      <c r="L29" s="4">
        <f t="shared" si="2"/>
        <v>3863631.5</v>
      </c>
      <c r="M29" s="4">
        <f>P29+S29-1000000</f>
        <v>136368.5</v>
      </c>
      <c r="N29" s="4">
        <f>3300000+380000</f>
        <v>3680000</v>
      </c>
      <c r="O29" s="4">
        <f t="shared" si="3"/>
        <v>0</v>
      </c>
      <c r="P29" s="4">
        <f t="shared" si="4"/>
        <v>1136368.5</v>
      </c>
      <c r="Q29" s="4"/>
      <c r="R29" s="4"/>
      <c r="S29" s="4">
        <f t="shared" si="5"/>
        <v>0</v>
      </c>
      <c r="T29" s="4">
        <f t="shared" si="6"/>
        <v>1000000</v>
      </c>
      <c r="U29" s="4">
        <f t="shared" si="7"/>
        <v>2680000</v>
      </c>
      <c r="V29" s="4">
        <f t="shared" si="8"/>
        <v>2680000</v>
      </c>
      <c r="W29" s="4"/>
      <c r="X29" s="4"/>
      <c r="Y29" s="4"/>
      <c r="Z29" s="3"/>
      <c r="AA29" s="3" t="s">
        <v>645</v>
      </c>
      <c r="AB29" s="3">
        <v>732000</v>
      </c>
      <c r="AC29" s="21"/>
      <c r="AD29" s="60"/>
      <c r="AE29" s="6"/>
      <c r="AF29" s="6"/>
    </row>
    <row r="30" spans="1:32" s="5" customFormat="1" ht="28">
      <c r="A30" s="3">
        <f t="shared" si="9"/>
        <v>25</v>
      </c>
      <c r="B30" s="3">
        <v>1457</v>
      </c>
      <c r="C30" s="3" t="s">
        <v>317</v>
      </c>
      <c r="D30" s="4">
        <v>1100000</v>
      </c>
      <c r="E30" s="4">
        <v>1100000</v>
      </c>
      <c r="F30" s="4">
        <f t="shared" si="0"/>
        <v>0</v>
      </c>
      <c r="G30" s="4">
        <v>430000</v>
      </c>
      <c r="H30" s="4">
        <v>157316</v>
      </c>
      <c r="I30" s="4"/>
      <c r="J30" s="4">
        <v>44257</v>
      </c>
      <c r="K30" s="4">
        <f t="shared" si="1"/>
        <v>44257</v>
      </c>
      <c r="L30" s="4">
        <f t="shared" si="2"/>
        <v>201573</v>
      </c>
      <c r="M30" s="4">
        <f>P30+S30</f>
        <v>228427</v>
      </c>
      <c r="N30" s="4">
        <f>670000-170000-500000</f>
        <v>0</v>
      </c>
      <c r="O30" s="4">
        <f t="shared" si="3"/>
        <v>670000</v>
      </c>
      <c r="P30" s="4">
        <f t="shared" si="4"/>
        <v>228427</v>
      </c>
      <c r="Q30" s="4"/>
      <c r="R30" s="4"/>
      <c r="S30" s="4">
        <f t="shared" si="5"/>
        <v>0</v>
      </c>
      <c r="T30" s="4">
        <f t="shared" si="6"/>
        <v>0</v>
      </c>
      <c r="U30" s="4">
        <f t="shared" si="7"/>
        <v>0</v>
      </c>
      <c r="V30" s="4">
        <f t="shared" si="8"/>
        <v>0</v>
      </c>
      <c r="W30" s="4"/>
      <c r="X30" s="4"/>
      <c r="Y30" s="4"/>
      <c r="Z30" s="3"/>
      <c r="AA30" s="3" t="s">
        <v>646</v>
      </c>
      <c r="AB30" s="3">
        <v>742000</v>
      </c>
      <c r="AC30" s="21"/>
      <c r="AD30" s="60"/>
    </row>
    <row r="31" spans="1:32" s="5" customFormat="1" ht="28">
      <c r="A31" s="3">
        <f t="shared" si="9"/>
        <v>26</v>
      </c>
      <c r="B31" s="3">
        <v>1466</v>
      </c>
      <c r="C31" s="3" t="s">
        <v>20</v>
      </c>
      <c r="D31" s="4">
        <v>2200000</v>
      </c>
      <c r="E31" s="4">
        <v>2200000</v>
      </c>
      <c r="F31" s="4">
        <f t="shared" si="0"/>
        <v>0</v>
      </c>
      <c r="G31" s="4">
        <v>1500000</v>
      </c>
      <c r="H31" s="4">
        <v>1161644</v>
      </c>
      <c r="I31" s="4"/>
      <c r="J31" s="4">
        <v>110168</v>
      </c>
      <c r="K31" s="4">
        <f t="shared" si="1"/>
        <v>110168</v>
      </c>
      <c r="L31" s="4">
        <f t="shared" si="2"/>
        <v>1271812</v>
      </c>
      <c r="M31" s="4">
        <f>P31+S31-100000</f>
        <v>128188</v>
      </c>
      <c r="N31" s="4">
        <f>200000+50000</f>
        <v>250000</v>
      </c>
      <c r="O31" s="4">
        <f t="shared" si="3"/>
        <v>550000</v>
      </c>
      <c r="P31" s="4">
        <f t="shared" si="4"/>
        <v>228188</v>
      </c>
      <c r="Q31" s="4"/>
      <c r="R31" s="4"/>
      <c r="S31" s="4">
        <f t="shared" si="5"/>
        <v>0</v>
      </c>
      <c r="T31" s="4">
        <f t="shared" si="6"/>
        <v>100000</v>
      </c>
      <c r="U31" s="4">
        <f t="shared" si="7"/>
        <v>150000</v>
      </c>
      <c r="V31" s="4">
        <f t="shared" si="8"/>
        <v>150000</v>
      </c>
      <c r="W31" s="4"/>
      <c r="X31" s="4"/>
      <c r="Y31" s="4"/>
      <c r="Z31" s="3"/>
      <c r="AA31" s="3" t="s">
        <v>647</v>
      </c>
      <c r="AB31" s="3">
        <v>732000</v>
      </c>
      <c r="AC31" s="21"/>
      <c r="AD31" s="60"/>
      <c r="AE31" s="6"/>
      <c r="AF31" s="6"/>
    </row>
    <row r="32" spans="1:32" s="5" customFormat="1" ht="42">
      <c r="A32" s="3">
        <f t="shared" si="9"/>
        <v>27</v>
      </c>
      <c r="B32" s="3">
        <v>1511</v>
      </c>
      <c r="C32" s="337" t="s">
        <v>46</v>
      </c>
      <c r="D32" s="4">
        <v>960000</v>
      </c>
      <c r="E32" s="4">
        <v>960000</v>
      </c>
      <c r="F32" s="4">
        <f t="shared" si="0"/>
        <v>0</v>
      </c>
      <c r="G32" s="4">
        <v>100000</v>
      </c>
      <c r="H32" s="4">
        <v>17284</v>
      </c>
      <c r="I32" s="4"/>
      <c r="J32" s="4"/>
      <c r="K32" s="4">
        <f t="shared" si="1"/>
        <v>0</v>
      </c>
      <c r="L32" s="4">
        <f t="shared" si="2"/>
        <v>17284</v>
      </c>
      <c r="M32" s="4">
        <f>P32+S32</f>
        <v>82716</v>
      </c>
      <c r="N32" s="4"/>
      <c r="O32" s="4">
        <f t="shared" si="3"/>
        <v>860000</v>
      </c>
      <c r="P32" s="4">
        <f t="shared" si="4"/>
        <v>82716</v>
      </c>
      <c r="Q32" s="4"/>
      <c r="R32" s="4"/>
      <c r="S32" s="4">
        <f t="shared" si="5"/>
        <v>0</v>
      </c>
      <c r="T32" s="4">
        <f t="shared" si="6"/>
        <v>0</v>
      </c>
      <c r="U32" s="4">
        <f t="shared" si="7"/>
        <v>0</v>
      </c>
      <c r="V32" s="4">
        <f t="shared" si="8"/>
        <v>0</v>
      </c>
      <c r="W32" s="4"/>
      <c r="X32" s="4"/>
      <c r="Y32" s="4"/>
      <c r="Z32" s="3"/>
      <c r="AA32" s="3" t="s">
        <v>648</v>
      </c>
      <c r="AB32" s="3">
        <v>742000</v>
      </c>
      <c r="AC32" s="21"/>
      <c r="AD32" s="60"/>
    </row>
    <row r="33" spans="1:32" s="5" customFormat="1" ht="28">
      <c r="A33" s="3">
        <f t="shared" si="9"/>
        <v>28</v>
      </c>
      <c r="B33" s="3">
        <v>1527</v>
      </c>
      <c r="C33" s="42" t="s">
        <v>1269</v>
      </c>
      <c r="D33" s="4">
        <v>3000000</v>
      </c>
      <c r="E33" s="4">
        <v>3000000</v>
      </c>
      <c r="F33" s="4">
        <f t="shared" si="0"/>
        <v>0</v>
      </c>
      <c r="G33" s="4">
        <v>1500000</v>
      </c>
      <c r="H33" s="4">
        <v>821144.02</v>
      </c>
      <c r="I33" s="4"/>
      <c r="J33" s="4">
        <v>1431</v>
      </c>
      <c r="K33" s="4">
        <f t="shared" si="1"/>
        <v>1431</v>
      </c>
      <c r="L33" s="4">
        <f t="shared" si="2"/>
        <v>822575.02</v>
      </c>
      <c r="M33" s="4">
        <f>P33+S33-650000</f>
        <v>27424.979999999981</v>
      </c>
      <c r="N33" s="4">
        <f>1000000-1000000</f>
        <v>0</v>
      </c>
      <c r="O33" s="4">
        <f t="shared" si="3"/>
        <v>2150000</v>
      </c>
      <c r="P33" s="4">
        <f t="shared" si="4"/>
        <v>677424.98</v>
      </c>
      <c r="Q33" s="4"/>
      <c r="R33" s="4"/>
      <c r="S33" s="4">
        <f t="shared" si="5"/>
        <v>0</v>
      </c>
      <c r="T33" s="4">
        <f t="shared" si="6"/>
        <v>650000</v>
      </c>
      <c r="U33" s="4">
        <f t="shared" si="7"/>
        <v>-650000</v>
      </c>
      <c r="V33" s="4">
        <f t="shared" si="8"/>
        <v>-650000</v>
      </c>
      <c r="W33" s="4"/>
      <c r="X33" s="4"/>
      <c r="Y33" s="4"/>
      <c r="Z33" s="3"/>
      <c r="AA33" s="3" t="s">
        <v>1180</v>
      </c>
      <c r="AB33" s="3">
        <v>732000</v>
      </c>
      <c r="AC33" s="21"/>
      <c r="AD33" s="60"/>
    </row>
    <row r="34" spans="1:32" s="5" customFormat="1">
      <c r="A34" s="3">
        <f t="shared" si="9"/>
        <v>29</v>
      </c>
      <c r="B34" s="3">
        <v>1529</v>
      </c>
      <c r="C34" s="3" t="s">
        <v>61</v>
      </c>
      <c r="D34" s="4">
        <f>350000+50000</f>
        <v>400000</v>
      </c>
      <c r="E34" s="4">
        <v>350000</v>
      </c>
      <c r="F34" s="4">
        <f t="shared" si="0"/>
        <v>50000</v>
      </c>
      <c r="G34" s="4">
        <f>200000+100000+50000</f>
        <v>350000</v>
      </c>
      <c r="H34" s="4">
        <v>183866.55</v>
      </c>
      <c r="I34" s="4"/>
      <c r="J34" s="4"/>
      <c r="K34" s="4">
        <f t="shared" si="1"/>
        <v>0</v>
      </c>
      <c r="L34" s="4">
        <f t="shared" si="2"/>
        <v>183866.55</v>
      </c>
      <c r="M34" s="4">
        <f>P34+S34</f>
        <v>166133.45000000001</v>
      </c>
      <c r="N34" s="4">
        <v>50000</v>
      </c>
      <c r="O34" s="4">
        <f t="shared" si="3"/>
        <v>0</v>
      </c>
      <c r="P34" s="4">
        <f t="shared" si="4"/>
        <v>166133.45000000001</v>
      </c>
      <c r="Q34" s="4"/>
      <c r="R34" s="4"/>
      <c r="S34" s="4">
        <f t="shared" si="5"/>
        <v>0</v>
      </c>
      <c r="T34" s="4">
        <f t="shared" si="6"/>
        <v>0</v>
      </c>
      <c r="U34" s="4">
        <f t="shared" si="7"/>
        <v>50000</v>
      </c>
      <c r="V34" s="4">
        <f t="shared" si="8"/>
        <v>50000</v>
      </c>
      <c r="W34" s="4"/>
      <c r="X34" s="4"/>
      <c r="Y34" s="4"/>
      <c r="Z34" s="3"/>
      <c r="AA34" s="3" t="s">
        <v>1104</v>
      </c>
      <c r="AB34" s="3">
        <v>760000</v>
      </c>
      <c r="AC34" s="21"/>
      <c r="AD34" s="60"/>
    </row>
    <row r="35" spans="1:32" s="5" customFormat="1" ht="42">
      <c r="A35" s="3">
        <f t="shared" si="9"/>
        <v>30</v>
      </c>
      <c r="B35" s="3">
        <v>1551</v>
      </c>
      <c r="C35" s="3" t="s">
        <v>166</v>
      </c>
      <c r="D35" s="4">
        <f>1225240-700000</f>
        <v>525240</v>
      </c>
      <c r="E35" s="4">
        <v>225240</v>
      </c>
      <c r="F35" s="4">
        <f t="shared" si="0"/>
        <v>300000</v>
      </c>
      <c r="G35" s="4">
        <v>225240</v>
      </c>
      <c r="H35" s="4">
        <v>204671</v>
      </c>
      <c r="I35" s="4"/>
      <c r="J35" s="4">
        <v>19855</v>
      </c>
      <c r="K35" s="4">
        <f t="shared" ref="K35:K65" si="10">SUM(I35:J35)</f>
        <v>19855</v>
      </c>
      <c r="L35" s="4">
        <f t="shared" si="2"/>
        <v>224526</v>
      </c>
      <c r="M35" s="4">
        <f>P35+S35</f>
        <v>714</v>
      </c>
      <c r="N35" s="4">
        <f>800000-500000</f>
        <v>300000</v>
      </c>
      <c r="O35" s="4">
        <f t="shared" si="3"/>
        <v>0</v>
      </c>
      <c r="P35" s="4">
        <f t="shared" si="4"/>
        <v>714</v>
      </c>
      <c r="Q35" s="4"/>
      <c r="R35" s="4"/>
      <c r="S35" s="4">
        <f t="shared" si="5"/>
        <v>0</v>
      </c>
      <c r="T35" s="4">
        <f t="shared" si="6"/>
        <v>0</v>
      </c>
      <c r="U35" s="4">
        <f t="shared" si="7"/>
        <v>300000</v>
      </c>
      <c r="V35" s="4">
        <f t="shared" si="8"/>
        <v>300000</v>
      </c>
      <c r="W35" s="4"/>
      <c r="X35" s="4"/>
      <c r="Y35" s="4"/>
      <c r="Z35" s="3"/>
      <c r="AA35" s="3" t="s">
        <v>1181</v>
      </c>
      <c r="AB35" s="3">
        <v>732000</v>
      </c>
      <c r="AC35" s="21"/>
      <c r="AD35" s="60"/>
    </row>
    <row r="36" spans="1:32" s="6" customFormat="1" ht="30" customHeight="1">
      <c r="A36" s="3">
        <f t="shared" si="9"/>
        <v>31</v>
      </c>
      <c r="B36" s="3">
        <v>1568</v>
      </c>
      <c r="C36" s="3" t="s">
        <v>62</v>
      </c>
      <c r="D36" s="4">
        <v>46375301</v>
      </c>
      <c r="E36" s="4">
        <v>46375301</v>
      </c>
      <c r="F36" s="4">
        <f t="shared" si="0"/>
        <v>0</v>
      </c>
      <c r="G36" s="4">
        <v>28875301</v>
      </c>
      <c r="H36" s="4">
        <v>27763823.309999999</v>
      </c>
      <c r="I36" s="4">
        <v>822126.24</v>
      </c>
      <c r="J36" s="4">
        <v>55294</v>
      </c>
      <c r="K36" s="4">
        <f t="shared" si="10"/>
        <v>877420.24</v>
      </c>
      <c r="L36" s="4">
        <f t="shared" si="2"/>
        <v>28641243.549999997</v>
      </c>
      <c r="M36" s="4">
        <f>P36+S36</f>
        <v>234057.45000000298</v>
      </c>
      <c r="N36" s="4">
        <f>17500000-17500000</f>
        <v>0</v>
      </c>
      <c r="O36" s="4">
        <f t="shared" si="3"/>
        <v>17500000</v>
      </c>
      <c r="P36" s="4">
        <f t="shared" si="4"/>
        <v>234057.45000000298</v>
      </c>
      <c r="Q36" s="4"/>
      <c r="R36" s="4"/>
      <c r="S36" s="4">
        <f t="shared" si="5"/>
        <v>0</v>
      </c>
      <c r="T36" s="4">
        <f t="shared" si="6"/>
        <v>0</v>
      </c>
      <c r="U36" s="4">
        <f t="shared" si="7"/>
        <v>0</v>
      </c>
      <c r="V36" s="4">
        <f t="shared" si="8"/>
        <v>0</v>
      </c>
      <c r="W36" s="4"/>
      <c r="X36" s="4"/>
      <c r="Y36" s="4"/>
      <c r="Z36" s="3"/>
      <c r="AA36" s="3"/>
      <c r="AB36" s="3">
        <v>746000</v>
      </c>
      <c r="AC36" s="21"/>
      <c r="AD36" s="60"/>
      <c r="AE36" s="5"/>
      <c r="AF36" s="5"/>
    </row>
    <row r="37" spans="1:32" s="6" customFormat="1" ht="30" customHeight="1">
      <c r="A37" s="3">
        <f t="shared" si="9"/>
        <v>32</v>
      </c>
      <c r="B37" s="3">
        <v>1576</v>
      </c>
      <c r="C37" s="3" t="s">
        <v>63</v>
      </c>
      <c r="D37" s="4">
        <v>1000000</v>
      </c>
      <c r="E37" s="4">
        <v>1000000</v>
      </c>
      <c r="F37" s="4">
        <f t="shared" si="0"/>
        <v>0</v>
      </c>
      <c r="G37" s="4">
        <v>450000</v>
      </c>
      <c r="H37" s="4">
        <v>356478.17</v>
      </c>
      <c r="I37" s="4">
        <v>42295</v>
      </c>
      <c r="J37" s="4"/>
      <c r="K37" s="4">
        <f t="shared" si="10"/>
        <v>42295</v>
      </c>
      <c r="L37" s="4">
        <f t="shared" si="2"/>
        <v>398773.17</v>
      </c>
      <c r="M37" s="4">
        <f>P37+S37-30000</f>
        <v>21226.830000000016</v>
      </c>
      <c r="N37" s="4"/>
      <c r="O37" s="4">
        <f t="shared" si="3"/>
        <v>580000</v>
      </c>
      <c r="P37" s="4">
        <f t="shared" si="4"/>
        <v>51226.830000000016</v>
      </c>
      <c r="Q37" s="4"/>
      <c r="R37" s="4"/>
      <c r="S37" s="4">
        <f t="shared" si="5"/>
        <v>0</v>
      </c>
      <c r="T37" s="4">
        <f t="shared" si="6"/>
        <v>30000</v>
      </c>
      <c r="U37" s="4">
        <f t="shared" si="7"/>
        <v>-30000</v>
      </c>
      <c r="V37" s="4">
        <f t="shared" si="8"/>
        <v>-30000</v>
      </c>
      <c r="W37" s="4"/>
      <c r="X37" s="4"/>
      <c r="Y37" s="4"/>
      <c r="Z37" s="3"/>
      <c r="AA37" s="3" t="s">
        <v>1182</v>
      </c>
      <c r="AB37" s="3">
        <v>732000</v>
      </c>
      <c r="AC37" s="21"/>
      <c r="AD37" s="60"/>
      <c r="AE37" s="5"/>
      <c r="AF37" s="5"/>
    </row>
    <row r="38" spans="1:32" s="5" customFormat="1" ht="28">
      <c r="A38" s="3">
        <f t="shared" si="9"/>
        <v>33</v>
      </c>
      <c r="B38" s="3">
        <v>1587</v>
      </c>
      <c r="C38" s="3" t="s">
        <v>169</v>
      </c>
      <c r="D38" s="4">
        <v>34200000</v>
      </c>
      <c r="E38" s="4">
        <v>34200000</v>
      </c>
      <c r="F38" s="4">
        <f t="shared" si="0"/>
        <v>0</v>
      </c>
      <c r="G38" s="4">
        <v>10800000</v>
      </c>
      <c r="H38" s="4">
        <v>7946383.1699999999</v>
      </c>
      <c r="I38" s="4">
        <v>512415.18</v>
      </c>
      <c r="J38" s="4">
        <v>182023</v>
      </c>
      <c r="K38" s="4">
        <f t="shared" si="10"/>
        <v>694438.17999999993</v>
      </c>
      <c r="L38" s="4">
        <f t="shared" si="2"/>
        <v>8640821.3499999996</v>
      </c>
      <c r="M38" s="4">
        <f>P38+S38</f>
        <v>2159178.6500000004</v>
      </c>
      <c r="N38" s="4">
        <f>12500000-6500000</f>
        <v>6000000</v>
      </c>
      <c r="O38" s="4">
        <f t="shared" si="3"/>
        <v>17400000</v>
      </c>
      <c r="P38" s="4">
        <f t="shared" si="4"/>
        <v>2159178.6500000004</v>
      </c>
      <c r="Q38" s="4"/>
      <c r="R38" s="4"/>
      <c r="S38" s="4">
        <f t="shared" si="5"/>
        <v>0</v>
      </c>
      <c r="T38" s="4">
        <f t="shared" si="6"/>
        <v>0</v>
      </c>
      <c r="U38" s="4">
        <f t="shared" si="7"/>
        <v>6000000</v>
      </c>
      <c r="V38" s="4">
        <f t="shared" si="8"/>
        <v>6000000</v>
      </c>
      <c r="W38" s="4"/>
      <c r="X38" s="4"/>
      <c r="Y38" s="4"/>
      <c r="Z38" s="3"/>
      <c r="AA38" s="3" t="s">
        <v>1100</v>
      </c>
      <c r="AB38" s="3">
        <v>742000</v>
      </c>
      <c r="AC38" s="21"/>
      <c r="AD38" s="60"/>
    </row>
    <row r="39" spans="1:32" s="6" customFormat="1" ht="30" customHeight="1">
      <c r="A39" s="3">
        <f t="shared" si="9"/>
        <v>34</v>
      </c>
      <c r="B39" s="3">
        <v>1601</v>
      </c>
      <c r="C39" s="3" t="s">
        <v>48</v>
      </c>
      <c r="D39" s="4">
        <v>700000</v>
      </c>
      <c r="E39" s="4">
        <v>700000</v>
      </c>
      <c r="F39" s="4">
        <f t="shared" si="0"/>
        <v>0</v>
      </c>
      <c r="G39" s="4">
        <v>650000</v>
      </c>
      <c r="H39" s="4">
        <v>484363</v>
      </c>
      <c r="I39" s="4"/>
      <c r="J39" s="4">
        <v>36804</v>
      </c>
      <c r="K39" s="4">
        <f t="shared" si="10"/>
        <v>36804</v>
      </c>
      <c r="L39" s="4">
        <f t="shared" si="2"/>
        <v>521167</v>
      </c>
      <c r="M39" s="4">
        <f>P39+S39</f>
        <v>128833</v>
      </c>
      <c r="N39" s="4"/>
      <c r="O39" s="4">
        <f t="shared" si="3"/>
        <v>50000</v>
      </c>
      <c r="P39" s="4">
        <f t="shared" si="4"/>
        <v>128833</v>
      </c>
      <c r="Q39" s="4"/>
      <c r="R39" s="4"/>
      <c r="S39" s="4">
        <f t="shared" si="5"/>
        <v>0</v>
      </c>
      <c r="T39" s="4">
        <f t="shared" si="6"/>
        <v>0</v>
      </c>
      <c r="U39" s="4">
        <f t="shared" si="7"/>
        <v>0</v>
      </c>
      <c r="V39" s="4">
        <f t="shared" si="8"/>
        <v>0</v>
      </c>
      <c r="W39" s="4"/>
      <c r="X39" s="4"/>
      <c r="Y39" s="4"/>
      <c r="Z39" s="3"/>
      <c r="AA39" s="3"/>
      <c r="AB39" s="3">
        <v>742000</v>
      </c>
      <c r="AC39" s="21"/>
      <c r="AD39" s="60"/>
      <c r="AE39" s="5"/>
      <c r="AF39" s="5"/>
    </row>
    <row r="40" spans="1:32" s="5" customFormat="1" ht="30" customHeight="1">
      <c r="A40" s="3">
        <f t="shared" si="9"/>
        <v>35</v>
      </c>
      <c r="B40" s="3">
        <v>1602</v>
      </c>
      <c r="C40" s="3" t="s">
        <v>32</v>
      </c>
      <c r="D40" s="4">
        <f>34500000-5000000</f>
        <v>29500000</v>
      </c>
      <c r="E40" s="4">
        <v>34500000</v>
      </c>
      <c r="F40" s="4">
        <f t="shared" si="0"/>
        <v>-5000000</v>
      </c>
      <c r="G40" s="4">
        <v>34500000</v>
      </c>
      <c r="H40" s="4">
        <v>12660980.98</v>
      </c>
      <c r="I40" s="4">
        <v>15501950.34</v>
      </c>
      <c r="J40" s="4">
        <v>185508.12</v>
      </c>
      <c r="K40" s="4">
        <f t="shared" si="10"/>
        <v>15687458.459999999</v>
      </c>
      <c r="L40" s="4">
        <f t="shared" si="2"/>
        <v>28348439.439999998</v>
      </c>
      <c r="M40" s="4">
        <f>P40+S40-5000000</f>
        <v>1151560.5600000024</v>
      </c>
      <c r="N40" s="4"/>
      <c r="O40" s="4">
        <f t="shared" si="3"/>
        <v>0</v>
      </c>
      <c r="P40" s="4">
        <f t="shared" si="4"/>
        <v>6151560.5600000024</v>
      </c>
      <c r="Q40" s="4"/>
      <c r="R40" s="4"/>
      <c r="S40" s="4">
        <f t="shared" si="5"/>
        <v>0</v>
      </c>
      <c r="T40" s="4">
        <f t="shared" si="6"/>
        <v>5000000</v>
      </c>
      <c r="U40" s="4">
        <f t="shared" si="7"/>
        <v>-5000000</v>
      </c>
      <c r="V40" s="4">
        <f t="shared" si="8"/>
        <v>-5000000</v>
      </c>
      <c r="W40" s="4"/>
      <c r="X40" s="4"/>
      <c r="Y40" s="4"/>
      <c r="Z40" s="3"/>
      <c r="AA40" s="3" t="s">
        <v>1183</v>
      </c>
      <c r="AB40" s="3">
        <v>742000</v>
      </c>
      <c r="AC40" s="21"/>
      <c r="AD40" s="60"/>
    </row>
    <row r="41" spans="1:32" s="5" customFormat="1" ht="42">
      <c r="A41" s="3">
        <f t="shared" si="9"/>
        <v>36</v>
      </c>
      <c r="B41" s="3">
        <v>1619</v>
      </c>
      <c r="C41" s="3" t="s">
        <v>167</v>
      </c>
      <c r="D41" s="4">
        <f>350000-100000</f>
        <v>250000</v>
      </c>
      <c r="E41" s="4">
        <v>200000</v>
      </c>
      <c r="F41" s="4">
        <f t="shared" si="0"/>
        <v>50000</v>
      </c>
      <c r="G41" s="4">
        <v>200000</v>
      </c>
      <c r="H41" s="4">
        <v>75387</v>
      </c>
      <c r="I41" s="4"/>
      <c r="J41" s="4">
        <v>25400.9</v>
      </c>
      <c r="K41" s="4">
        <f t="shared" si="10"/>
        <v>25400.9</v>
      </c>
      <c r="L41" s="4">
        <f t="shared" si="2"/>
        <v>100787.9</v>
      </c>
      <c r="M41" s="4">
        <f>P41+S41</f>
        <v>99212.1</v>
      </c>
      <c r="N41" s="4">
        <f>100000-50000</f>
        <v>50000</v>
      </c>
      <c r="O41" s="4">
        <f t="shared" si="3"/>
        <v>0</v>
      </c>
      <c r="P41" s="4">
        <f t="shared" si="4"/>
        <v>99212.1</v>
      </c>
      <c r="Q41" s="4"/>
      <c r="R41" s="4"/>
      <c r="S41" s="4">
        <f t="shared" si="5"/>
        <v>0</v>
      </c>
      <c r="T41" s="4">
        <f t="shared" si="6"/>
        <v>0</v>
      </c>
      <c r="U41" s="4">
        <f t="shared" si="7"/>
        <v>50000</v>
      </c>
      <c r="V41" s="4">
        <f t="shared" si="8"/>
        <v>50000</v>
      </c>
      <c r="W41" s="4"/>
      <c r="X41" s="4"/>
      <c r="Y41" s="4"/>
      <c r="Z41" s="3"/>
      <c r="AA41" s="3" t="s">
        <v>1184</v>
      </c>
      <c r="AB41" s="3">
        <v>732000</v>
      </c>
      <c r="AC41" s="21"/>
      <c r="AD41" s="60"/>
    </row>
    <row r="42" spans="1:32" s="5" customFormat="1" ht="42">
      <c r="A42" s="3">
        <f t="shared" si="9"/>
        <v>37</v>
      </c>
      <c r="B42" s="3">
        <v>1620</v>
      </c>
      <c r="C42" s="42" t="s">
        <v>1270</v>
      </c>
      <c r="D42" s="4">
        <v>1000000</v>
      </c>
      <c r="E42" s="4">
        <v>1000000</v>
      </c>
      <c r="F42" s="4">
        <f t="shared" si="0"/>
        <v>0</v>
      </c>
      <c r="G42" s="4">
        <v>100000</v>
      </c>
      <c r="H42" s="4">
        <v>0</v>
      </c>
      <c r="I42" s="4"/>
      <c r="J42" s="4"/>
      <c r="K42" s="4">
        <f t="shared" si="10"/>
        <v>0</v>
      </c>
      <c r="L42" s="4">
        <f t="shared" si="2"/>
        <v>0</v>
      </c>
      <c r="M42" s="4">
        <f>P42+S42</f>
        <v>100000</v>
      </c>
      <c r="N42" s="4">
        <f>300000-100000</f>
        <v>200000</v>
      </c>
      <c r="O42" s="4">
        <f t="shared" si="3"/>
        <v>700000</v>
      </c>
      <c r="P42" s="4">
        <f t="shared" si="4"/>
        <v>100000</v>
      </c>
      <c r="Q42" s="4"/>
      <c r="R42" s="4"/>
      <c r="S42" s="4">
        <f t="shared" si="5"/>
        <v>0</v>
      </c>
      <c r="T42" s="4">
        <f t="shared" si="6"/>
        <v>0</v>
      </c>
      <c r="U42" s="4">
        <f t="shared" si="7"/>
        <v>200000</v>
      </c>
      <c r="V42" s="4">
        <f t="shared" si="8"/>
        <v>200000</v>
      </c>
      <c r="W42" s="4"/>
      <c r="X42" s="4"/>
      <c r="Y42" s="4"/>
      <c r="Z42" s="3"/>
      <c r="AA42" s="3" t="s">
        <v>1489</v>
      </c>
      <c r="AB42" s="3">
        <v>732000</v>
      </c>
      <c r="AC42" s="21"/>
      <c r="AD42" s="60"/>
    </row>
    <row r="43" spans="1:32" s="5" customFormat="1" ht="30" customHeight="1">
      <c r="A43" s="3">
        <f t="shared" si="9"/>
        <v>38</v>
      </c>
      <c r="B43" s="3">
        <v>1660</v>
      </c>
      <c r="C43" s="3" t="s">
        <v>22</v>
      </c>
      <c r="D43" s="4">
        <v>2000000</v>
      </c>
      <c r="E43" s="4">
        <v>2000000</v>
      </c>
      <c r="F43" s="4">
        <f t="shared" si="0"/>
        <v>0</v>
      </c>
      <c r="G43" s="4">
        <v>350000</v>
      </c>
      <c r="H43" s="4">
        <v>91264</v>
      </c>
      <c r="I43" s="4"/>
      <c r="J43" s="4">
        <v>16666.650000000001</v>
      </c>
      <c r="K43" s="4">
        <f t="shared" si="10"/>
        <v>16666.650000000001</v>
      </c>
      <c r="L43" s="4">
        <f t="shared" si="2"/>
        <v>107930.65</v>
      </c>
      <c r="M43" s="4">
        <f>P43+S43-150000</f>
        <v>92069.35</v>
      </c>
      <c r="N43" s="4">
        <f>500000-100000</f>
        <v>400000</v>
      </c>
      <c r="O43" s="4">
        <f t="shared" si="3"/>
        <v>1400000</v>
      </c>
      <c r="P43" s="4">
        <f t="shared" si="4"/>
        <v>242069.35</v>
      </c>
      <c r="Q43" s="4"/>
      <c r="R43" s="4"/>
      <c r="S43" s="4">
        <f t="shared" si="5"/>
        <v>0</v>
      </c>
      <c r="T43" s="4">
        <f t="shared" si="6"/>
        <v>150000</v>
      </c>
      <c r="U43" s="4">
        <f t="shared" si="7"/>
        <v>250000</v>
      </c>
      <c r="V43" s="4">
        <f t="shared" si="8"/>
        <v>250000</v>
      </c>
      <c r="W43" s="4"/>
      <c r="X43" s="4"/>
      <c r="Y43" s="4"/>
      <c r="Z43" s="3"/>
      <c r="AA43" s="3" t="s">
        <v>652</v>
      </c>
      <c r="AB43" s="3">
        <v>732000</v>
      </c>
      <c r="AC43" s="21"/>
      <c r="AD43" s="60"/>
    </row>
    <row r="44" spans="1:32" s="6" customFormat="1">
      <c r="A44" s="3">
        <f t="shared" si="9"/>
        <v>39</v>
      </c>
      <c r="B44" s="3">
        <v>1670</v>
      </c>
      <c r="C44" s="3" t="s">
        <v>170</v>
      </c>
      <c r="D44" s="4">
        <v>12500000</v>
      </c>
      <c r="E44" s="4">
        <v>12500000</v>
      </c>
      <c r="F44" s="4">
        <f t="shared" si="0"/>
        <v>0</v>
      </c>
      <c r="G44" s="4">
        <v>3800000</v>
      </c>
      <c r="H44" s="4">
        <v>168571</v>
      </c>
      <c r="I44" s="4">
        <v>195569.65</v>
      </c>
      <c r="J44" s="4">
        <f>968112-918635</f>
        <v>49477</v>
      </c>
      <c r="K44" s="4">
        <f t="shared" si="10"/>
        <v>245046.65</v>
      </c>
      <c r="L44" s="4">
        <f t="shared" si="2"/>
        <v>413617.65</v>
      </c>
      <c r="M44" s="4">
        <f>P44+S44-2450000-900000</f>
        <v>36382.350000000093</v>
      </c>
      <c r="N44" s="4">
        <f>2450000-2050000</f>
        <v>400000</v>
      </c>
      <c r="O44" s="4">
        <f t="shared" si="3"/>
        <v>11650000</v>
      </c>
      <c r="P44" s="4">
        <f t="shared" si="4"/>
        <v>3386382.35</v>
      </c>
      <c r="Q44" s="4"/>
      <c r="R44" s="4"/>
      <c r="S44" s="4">
        <f t="shared" si="5"/>
        <v>0</v>
      </c>
      <c r="T44" s="4">
        <f t="shared" si="6"/>
        <v>3350000</v>
      </c>
      <c r="U44" s="4">
        <f t="shared" si="7"/>
        <v>-2950000</v>
      </c>
      <c r="V44" s="4">
        <f t="shared" si="8"/>
        <v>-2950000</v>
      </c>
      <c r="W44" s="4"/>
      <c r="X44" s="4"/>
      <c r="Y44" s="4"/>
      <c r="Z44" s="3"/>
      <c r="AA44" s="3" t="s">
        <v>1249</v>
      </c>
      <c r="AB44" s="3">
        <v>742000</v>
      </c>
      <c r="AC44" s="21"/>
      <c r="AD44" s="60"/>
      <c r="AE44" s="5"/>
      <c r="AF44" s="5"/>
    </row>
    <row r="45" spans="1:32" s="5" customFormat="1" ht="28">
      <c r="A45" s="3">
        <f t="shared" si="9"/>
        <v>40</v>
      </c>
      <c r="B45" s="3">
        <v>1674</v>
      </c>
      <c r="C45" s="3" t="s">
        <v>23</v>
      </c>
      <c r="D45" s="4">
        <v>2300000</v>
      </c>
      <c r="E45" s="4">
        <v>2100000</v>
      </c>
      <c r="F45" s="4">
        <f t="shared" si="0"/>
        <v>200000</v>
      </c>
      <c r="G45" s="4">
        <v>1800000</v>
      </c>
      <c r="H45" s="4">
        <v>1346844</v>
      </c>
      <c r="I45" s="4">
        <v>106408</v>
      </c>
      <c r="J45" s="4">
        <v>225895</v>
      </c>
      <c r="K45" s="4">
        <f t="shared" si="10"/>
        <v>332303</v>
      </c>
      <c r="L45" s="4">
        <f t="shared" si="2"/>
        <v>1679147</v>
      </c>
      <c r="M45" s="4">
        <f>P45+S45</f>
        <v>120853</v>
      </c>
      <c r="N45" s="4">
        <v>500000</v>
      </c>
      <c r="O45" s="4">
        <f t="shared" si="3"/>
        <v>0</v>
      </c>
      <c r="P45" s="4">
        <f t="shared" si="4"/>
        <v>120853</v>
      </c>
      <c r="Q45" s="4"/>
      <c r="R45" s="4"/>
      <c r="S45" s="4">
        <f t="shared" si="5"/>
        <v>0</v>
      </c>
      <c r="T45" s="4">
        <f t="shared" si="6"/>
        <v>0</v>
      </c>
      <c r="U45" s="4">
        <f t="shared" si="7"/>
        <v>500000</v>
      </c>
      <c r="V45" s="4">
        <f t="shared" si="8"/>
        <v>500000</v>
      </c>
      <c r="W45" s="4"/>
      <c r="X45" s="4"/>
      <c r="Y45" s="4"/>
      <c r="Z45" s="4"/>
      <c r="AA45" s="3" t="s">
        <v>653</v>
      </c>
      <c r="AB45" s="3">
        <v>732000</v>
      </c>
      <c r="AC45" s="21"/>
      <c r="AD45" s="60"/>
      <c r="AE45" s="7"/>
      <c r="AF45" s="7"/>
    </row>
    <row r="46" spans="1:32" s="6" customFormat="1" ht="28">
      <c r="A46" s="3">
        <f t="shared" si="9"/>
        <v>41</v>
      </c>
      <c r="B46" s="3">
        <v>1692</v>
      </c>
      <c r="C46" s="3" t="s">
        <v>24</v>
      </c>
      <c r="D46" s="4">
        <v>2450000</v>
      </c>
      <c r="E46" s="4">
        <v>2450000</v>
      </c>
      <c r="F46" s="4">
        <f t="shared" si="0"/>
        <v>0</v>
      </c>
      <c r="G46" s="4">
        <v>1439186</v>
      </c>
      <c r="H46" s="4">
        <v>552319</v>
      </c>
      <c r="I46" s="4">
        <v>128716</v>
      </c>
      <c r="J46" s="4">
        <v>186</v>
      </c>
      <c r="K46" s="4">
        <f t="shared" si="10"/>
        <v>128902</v>
      </c>
      <c r="L46" s="4">
        <f t="shared" si="2"/>
        <v>681221</v>
      </c>
      <c r="M46" s="4">
        <f>P46+S46</f>
        <v>757965</v>
      </c>
      <c r="N46" s="4">
        <f>332242+370000</f>
        <v>702242</v>
      </c>
      <c r="O46" s="4">
        <f t="shared" si="3"/>
        <v>308572</v>
      </c>
      <c r="P46" s="4">
        <f t="shared" si="4"/>
        <v>757965</v>
      </c>
      <c r="Q46" s="4"/>
      <c r="R46" s="4"/>
      <c r="S46" s="4">
        <f t="shared" si="5"/>
        <v>0</v>
      </c>
      <c r="T46" s="4">
        <f t="shared" si="6"/>
        <v>0</v>
      </c>
      <c r="U46" s="4">
        <f t="shared" si="7"/>
        <v>702242</v>
      </c>
      <c r="V46" s="4">
        <f t="shared" si="8"/>
        <v>394919</v>
      </c>
      <c r="W46" s="4"/>
      <c r="X46" s="4"/>
      <c r="Y46" s="4"/>
      <c r="Z46" s="4">
        <f>307323</f>
        <v>307323</v>
      </c>
      <c r="AA46" s="3" t="s">
        <v>1185</v>
      </c>
      <c r="AB46" s="3">
        <v>732000</v>
      </c>
      <c r="AC46" s="21"/>
      <c r="AD46" s="60"/>
      <c r="AE46" s="5"/>
      <c r="AF46" s="5"/>
    </row>
    <row r="47" spans="1:32" s="5" customFormat="1" ht="28">
      <c r="A47" s="3">
        <f t="shared" si="9"/>
        <v>42</v>
      </c>
      <c r="B47" s="3">
        <v>1693</v>
      </c>
      <c r="C47" s="3" t="s">
        <v>202</v>
      </c>
      <c r="D47" s="4">
        <v>4500000</v>
      </c>
      <c r="E47" s="4">
        <v>4500000</v>
      </c>
      <c r="F47" s="4">
        <f t="shared" si="0"/>
        <v>0</v>
      </c>
      <c r="G47" s="4">
        <f>362478+1873003</f>
        <v>2235481</v>
      </c>
      <c r="H47" s="4">
        <v>312538.53000000003</v>
      </c>
      <c r="I47" s="4">
        <v>48062.98</v>
      </c>
      <c r="J47" s="4"/>
      <c r="K47" s="4">
        <f t="shared" si="10"/>
        <v>48062.98</v>
      </c>
      <c r="L47" s="4">
        <f t="shared" si="2"/>
        <v>360601.51</v>
      </c>
      <c r="M47" s="4">
        <f>P47+S47</f>
        <v>1874879.49</v>
      </c>
      <c r="N47" s="4">
        <f>1100000-1100000</f>
        <v>0</v>
      </c>
      <c r="O47" s="4">
        <f t="shared" si="3"/>
        <v>2264519</v>
      </c>
      <c r="P47" s="4">
        <f t="shared" si="4"/>
        <v>1874879.49</v>
      </c>
      <c r="Q47" s="4"/>
      <c r="R47" s="4"/>
      <c r="S47" s="4">
        <f t="shared" si="5"/>
        <v>0</v>
      </c>
      <c r="T47" s="4">
        <f t="shared" si="6"/>
        <v>0</v>
      </c>
      <c r="U47" s="4">
        <f t="shared" si="7"/>
        <v>0</v>
      </c>
      <c r="V47" s="4">
        <f t="shared" si="8"/>
        <v>-17810</v>
      </c>
      <c r="W47" s="4"/>
      <c r="X47" s="4"/>
      <c r="Y47" s="4"/>
      <c r="Z47" s="4">
        <v>17810</v>
      </c>
      <c r="AA47" s="3" t="s">
        <v>1286</v>
      </c>
      <c r="AB47" s="3">
        <v>732000</v>
      </c>
      <c r="AC47" s="21"/>
      <c r="AD47" s="60"/>
    </row>
    <row r="48" spans="1:32" s="5" customFormat="1" ht="28">
      <c r="A48" s="3">
        <f t="shared" si="9"/>
        <v>43</v>
      </c>
      <c r="B48" s="3">
        <v>1701</v>
      </c>
      <c r="C48" s="3" t="s">
        <v>654</v>
      </c>
      <c r="D48" s="4">
        <v>1250000</v>
      </c>
      <c r="E48" s="4">
        <v>1250000</v>
      </c>
      <c r="F48" s="4">
        <f t="shared" si="0"/>
        <v>0</v>
      </c>
      <c r="G48" s="4">
        <v>850000</v>
      </c>
      <c r="H48" s="4">
        <v>108257</v>
      </c>
      <c r="I48" s="4">
        <v>104008.32000000001</v>
      </c>
      <c r="J48" s="4">
        <v>169952</v>
      </c>
      <c r="K48" s="4">
        <f t="shared" si="10"/>
        <v>273960.32000000001</v>
      </c>
      <c r="L48" s="4">
        <f t="shared" si="2"/>
        <v>382217.32</v>
      </c>
      <c r="M48" s="4">
        <f>P48+S48-270000</f>
        <v>197782.68</v>
      </c>
      <c r="N48" s="4">
        <v>270000</v>
      </c>
      <c r="O48" s="4">
        <f t="shared" si="3"/>
        <v>400000</v>
      </c>
      <c r="P48" s="4">
        <f t="shared" si="4"/>
        <v>467782.68</v>
      </c>
      <c r="Q48" s="4"/>
      <c r="R48" s="4"/>
      <c r="S48" s="4">
        <f t="shared" si="5"/>
        <v>0</v>
      </c>
      <c r="T48" s="4">
        <f t="shared" si="6"/>
        <v>270000</v>
      </c>
      <c r="U48" s="4">
        <f t="shared" si="7"/>
        <v>0</v>
      </c>
      <c r="V48" s="4">
        <f t="shared" si="8"/>
        <v>0</v>
      </c>
      <c r="W48" s="4"/>
      <c r="X48" s="4"/>
      <c r="Y48" s="4"/>
      <c r="Z48" s="3"/>
      <c r="AA48" s="3" t="s">
        <v>1287</v>
      </c>
      <c r="AB48" s="3">
        <v>732000</v>
      </c>
      <c r="AC48" s="21"/>
      <c r="AD48" s="60"/>
    </row>
    <row r="49" spans="1:32" s="5" customFormat="1" ht="28">
      <c r="A49" s="3">
        <f t="shared" si="9"/>
        <v>44</v>
      </c>
      <c r="B49" s="3">
        <v>1722</v>
      </c>
      <c r="C49" s="3" t="s">
        <v>50</v>
      </c>
      <c r="D49" s="4">
        <v>2400000</v>
      </c>
      <c r="E49" s="4">
        <v>2400000</v>
      </c>
      <c r="F49" s="4">
        <f t="shared" si="0"/>
        <v>0</v>
      </c>
      <c r="G49" s="4">
        <v>400000</v>
      </c>
      <c r="H49" s="4">
        <v>98067.4</v>
      </c>
      <c r="I49" s="4">
        <v>67052.7</v>
      </c>
      <c r="J49" s="4">
        <v>47158.73</v>
      </c>
      <c r="K49" s="4">
        <f t="shared" si="10"/>
        <v>114211.43</v>
      </c>
      <c r="L49" s="4">
        <f t="shared" si="2"/>
        <v>212278.83</v>
      </c>
      <c r="M49" s="4">
        <f>P49+S49-100000</f>
        <v>87721.170000000013</v>
      </c>
      <c r="N49" s="4"/>
      <c r="O49" s="4">
        <f t="shared" si="3"/>
        <v>2100000</v>
      </c>
      <c r="P49" s="4">
        <f t="shared" si="4"/>
        <v>187721.17</v>
      </c>
      <c r="Q49" s="4"/>
      <c r="R49" s="4"/>
      <c r="S49" s="4">
        <f t="shared" si="5"/>
        <v>0</v>
      </c>
      <c r="T49" s="4">
        <f t="shared" si="6"/>
        <v>100000</v>
      </c>
      <c r="U49" s="4">
        <f t="shared" si="7"/>
        <v>-100000</v>
      </c>
      <c r="V49" s="4">
        <f t="shared" si="8"/>
        <v>-100000</v>
      </c>
      <c r="W49" s="4"/>
      <c r="X49" s="4"/>
      <c r="Y49" s="4"/>
      <c r="Z49" s="3"/>
      <c r="AA49" s="3" t="s">
        <v>656</v>
      </c>
      <c r="AB49" s="3">
        <v>742000</v>
      </c>
      <c r="AC49" s="21"/>
      <c r="AD49" s="60"/>
    </row>
    <row r="50" spans="1:32" s="5" customFormat="1" ht="30" customHeight="1">
      <c r="A50" s="3">
        <f t="shared" si="9"/>
        <v>45</v>
      </c>
      <c r="B50" s="3">
        <v>1725</v>
      </c>
      <c r="C50" s="3" t="s">
        <v>657</v>
      </c>
      <c r="D50" s="4">
        <v>13520000</v>
      </c>
      <c r="E50" s="4">
        <v>13520000</v>
      </c>
      <c r="F50" s="4">
        <f t="shared" si="0"/>
        <v>0</v>
      </c>
      <c r="G50" s="4">
        <v>13520000</v>
      </c>
      <c r="H50" s="4">
        <v>13343609.32</v>
      </c>
      <c r="I50" s="4">
        <v>48702.71</v>
      </c>
      <c r="J50" s="4">
        <v>26687.57</v>
      </c>
      <c r="K50" s="4">
        <f t="shared" si="10"/>
        <v>75390.28</v>
      </c>
      <c r="L50" s="4">
        <f t="shared" si="2"/>
        <v>13418999.6</v>
      </c>
      <c r="M50" s="4">
        <f>P50+S50-100000</f>
        <v>1000.4000000003725</v>
      </c>
      <c r="N50" s="4"/>
      <c r="O50" s="4">
        <f t="shared" si="3"/>
        <v>100000</v>
      </c>
      <c r="P50" s="4">
        <f t="shared" si="4"/>
        <v>101000.40000000037</v>
      </c>
      <c r="Q50" s="4"/>
      <c r="R50" s="4"/>
      <c r="S50" s="4">
        <f t="shared" si="5"/>
        <v>0</v>
      </c>
      <c r="T50" s="4">
        <f t="shared" si="6"/>
        <v>100000</v>
      </c>
      <c r="U50" s="4">
        <f t="shared" si="7"/>
        <v>-100000</v>
      </c>
      <c r="V50" s="4">
        <f t="shared" si="8"/>
        <v>-100000</v>
      </c>
      <c r="W50" s="4"/>
      <c r="X50" s="4"/>
      <c r="Y50" s="4"/>
      <c r="Z50" s="3"/>
      <c r="AA50" s="3"/>
      <c r="AB50" s="3">
        <v>742000</v>
      </c>
      <c r="AC50" s="21"/>
      <c r="AD50" s="60"/>
    </row>
    <row r="51" spans="1:32" s="5" customFormat="1" ht="30" customHeight="1">
      <c r="A51" s="3">
        <f t="shared" si="9"/>
        <v>46</v>
      </c>
      <c r="B51" s="3">
        <v>1744</v>
      </c>
      <c r="C51" s="3" t="s">
        <v>53</v>
      </c>
      <c r="D51" s="4">
        <v>13000000</v>
      </c>
      <c r="E51" s="4">
        <v>13000000</v>
      </c>
      <c r="F51" s="4">
        <f t="shared" si="0"/>
        <v>0</v>
      </c>
      <c r="G51" s="4">
        <v>8200000</v>
      </c>
      <c r="H51" s="4">
        <v>3125812</v>
      </c>
      <c r="I51" s="4"/>
      <c r="J51" s="4">
        <v>3820125</v>
      </c>
      <c r="K51" s="4">
        <f t="shared" si="10"/>
        <v>3820125</v>
      </c>
      <c r="L51" s="4">
        <f t="shared" si="2"/>
        <v>6945937</v>
      </c>
      <c r="M51" s="4">
        <f>P51+S51-700000</f>
        <v>554063</v>
      </c>
      <c r="N51" s="4">
        <f>4800000+700000</f>
        <v>5500000</v>
      </c>
      <c r="O51" s="4">
        <f t="shared" si="3"/>
        <v>0</v>
      </c>
      <c r="P51" s="4">
        <f t="shared" si="4"/>
        <v>1254063</v>
      </c>
      <c r="Q51" s="4"/>
      <c r="R51" s="4"/>
      <c r="S51" s="4">
        <f t="shared" si="5"/>
        <v>0</v>
      </c>
      <c r="T51" s="4">
        <f t="shared" si="6"/>
        <v>700000</v>
      </c>
      <c r="U51" s="4">
        <f t="shared" si="7"/>
        <v>4800000</v>
      </c>
      <c r="V51" s="4">
        <f t="shared" si="8"/>
        <v>4800000</v>
      </c>
      <c r="W51" s="4"/>
      <c r="X51" s="4"/>
      <c r="Y51" s="4"/>
      <c r="Z51" s="3"/>
      <c r="AA51" s="3" t="s">
        <v>1288</v>
      </c>
      <c r="AB51" s="3">
        <v>742000</v>
      </c>
      <c r="AC51" s="21"/>
      <c r="AD51" s="60"/>
    </row>
    <row r="52" spans="1:32" s="5" customFormat="1" ht="30" customHeight="1">
      <c r="A52" s="3">
        <f t="shared" si="9"/>
        <v>47</v>
      </c>
      <c r="B52" s="3">
        <v>1746</v>
      </c>
      <c r="C52" s="3" t="s">
        <v>35</v>
      </c>
      <c r="D52" s="4">
        <v>55000000</v>
      </c>
      <c r="E52" s="4">
        <v>55000000</v>
      </c>
      <c r="F52" s="4">
        <f t="shared" si="0"/>
        <v>0</v>
      </c>
      <c r="G52" s="4">
        <v>0</v>
      </c>
      <c r="H52" s="4">
        <v>0</v>
      </c>
      <c r="I52" s="4"/>
      <c r="J52" s="4"/>
      <c r="K52" s="4">
        <f t="shared" si="10"/>
        <v>0</v>
      </c>
      <c r="L52" s="4">
        <f t="shared" si="2"/>
        <v>0</v>
      </c>
      <c r="M52" s="4">
        <f>P52+S52</f>
        <v>0</v>
      </c>
      <c r="N52" s="4"/>
      <c r="O52" s="4">
        <f t="shared" si="3"/>
        <v>55000000</v>
      </c>
      <c r="P52" s="4">
        <f t="shared" si="4"/>
        <v>0</v>
      </c>
      <c r="Q52" s="4"/>
      <c r="R52" s="4"/>
      <c r="S52" s="4">
        <f t="shared" si="5"/>
        <v>0</v>
      </c>
      <c r="T52" s="4">
        <f t="shared" si="6"/>
        <v>0</v>
      </c>
      <c r="U52" s="4">
        <f t="shared" si="7"/>
        <v>0</v>
      </c>
      <c r="V52" s="4">
        <f t="shared" si="8"/>
        <v>0</v>
      </c>
      <c r="W52" s="4"/>
      <c r="X52" s="4"/>
      <c r="Y52" s="4"/>
      <c r="Z52" s="3"/>
      <c r="AA52" s="3"/>
      <c r="AB52" s="3">
        <v>742000</v>
      </c>
      <c r="AC52" s="21"/>
      <c r="AD52" s="60"/>
    </row>
    <row r="53" spans="1:32" s="6" customFormat="1" ht="30" customHeight="1">
      <c r="A53" s="3">
        <f t="shared" si="9"/>
        <v>48</v>
      </c>
      <c r="B53" s="3">
        <v>1748</v>
      </c>
      <c r="C53" s="3" t="s">
        <v>659</v>
      </c>
      <c r="D53" s="4">
        <f>1120000-1000000</f>
        <v>120000</v>
      </c>
      <c r="E53" s="4">
        <v>120000</v>
      </c>
      <c r="F53" s="4">
        <f t="shared" si="0"/>
        <v>0</v>
      </c>
      <c r="G53" s="4">
        <v>120000</v>
      </c>
      <c r="H53" s="4">
        <v>89830.86</v>
      </c>
      <c r="I53" s="4">
        <v>29280.55</v>
      </c>
      <c r="J53" s="4"/>
      <c r="K53" s="4">
        <f t="shared" si="10"/>
        <v>29280.55</v>
      </c>
      <c r="L53" s="4">
        <f t="shared" si="2"/>
        <v>119111.41</v>
      </c>
      <c r="M53" s="4">
        <f>P53+S53</f>
        <v>888.58999999999651</v>
      </c>
      <c r="N53" s="4">
        <f>1000000-1000000</f>
        <v>0</v>
      </c>
      <c r="O53" s="4">
        <f t="shared" si="3"/>
        <v>0</v>
      </c>
      <c r="P53" s="4">
        <f t="shared" si="4"/>
        <v>888.58999999999651</v>
      </c>
      <c r="Q53" s="4"/>
      <c r="R53" s="4"/>
      <c r="S53" s="4">
        <f t="shared" si="5"/>
        <v>0</v>
      </c>
      <c r="T53" s="4">
        <f t="shared" si="6"/>
        <v>0</v>
      </c>
      <c r="U53" s="4">
        <f t="shared" si="7"/>
        <v>0</v>
      </c>
      <c r="V53" s="4">
        <f t="shared" si="8"/>
        <v>0</v>
      </c>
      <c r="W53" s="4"/>
      <c r="X53" s="4"/>
      <c r="Y53" s="4"/>
      <c r="Z53" s="3"/>
      <c r="AA53" s="3"/>
      <c r="AB53" s="3">
        <v>732000</v>
      </c>
      <c r="AC53" s="21"/>
      <c r="AD53" s="60"/>
      <c r="AE53" s="5"/>
      <c r="AF53" s="5"/>
    </row>
    <row r="54" spans="1:32" s="6" customFormat="1" ht="28">
      <c r="A54" s="3">
        <f t="shared" si="9"/>
        <v>49</v>
      </c>
      <c r="B54" s="3">
        <v>1755</v>
      </c>
      <c r="C54" s="3" t="s">
        <v>27</v>
      </c>
      <c r="D54" s="4">
        <v>200000</v>
      </c>
      <c r="E54" s="4">
        <v>200000</v>
      </c>
      <c r="F54" s="4">
        <f t="shared" si="0"/>
        <v>0</v>
      </c>
      <c r="G54" s="4">
        <v>200000</v>
      </c>
      <c r="H54" s="4">
        <v>69371.839999999997</v>
      </c>
      <c r="I54" s="4"/>
      <c r="J54" s="4">
        <v>21992.97</v>
      </c>
      <c r="K54" s="4">
        <f t="shared" si="10"/>
        <v>21992.97</v>
      </c>
      <c r="L54" s="4">
        <f t="shared" si="2"/>
        <v>91364.81</v>
      </c>
      <c r="M54" s="4">
        <f>P54+S54-100000</f>
        <v>8635.1900000000023</v>
      </c>
      <c r="N54" s="4"/>
      <c r="O54" s="4">
        <f t="shared" si="3"/>
        <v>100000</v>
      </c>
      <c r="P54" s="4">
        <f t="shared" si="4"/>
        <v>108635.19</v>
      </c>
      <c r="Q54" s="4"/>
      <c r="R54" s="4"/>
      <c r="S54" s="4">
        <f t="shared" si="5"/>
        <v>0</v>
      </c>
      <c r="T54" s="4">
        <f t="shared" si="6"/>
        <v>100000</v>
      </c>
      <c r="U54" s="4">
        <f t="shared" si="7"/>
        <v>-100000</v>
      </c>
      <c r="V54" s="4">
        <f t="shared" si="8"/>
        <v>-100000</v>
      </c>
      <c r="W54" s="4"/>
      <c r="X54" s="4"/>
      <c r="Y54" s="4"/>
      <c r="Z54" s="3"/>
      <c r="AA54" s="3" t="s">
        <v>1187</v>
      </c>
      <c r="AB54" s="3">
        <v>732000</v>
      </c>
      <c r="AC54" s="21"/>
      <c r="AD54" s="60"/>
      <c r="AE54" s="5"/>
      <c r="AF54" s="5"/>
    </row>
    <row r="55" spans="1:32" s="6" customFormat="1" ht="28">
      <c r="A55" s="3">
        <f t="shared" si="9"/>
        <v>50</v>
      </c>
      <c r="B55" s="3">
        <v>1756</v>
      </c>
      <c r="C55" s="3" t="s">
        <v>25</v>
      </c>
      <c r="D55" s="4">
        <v>800000</v>
      </c>
      <c r="E55" s="4">
        <v>800000</v>
      </c>
      <c r="F55" s="4">
        <f t="shared" si="0"/>
        <v>0</v>
      </c>
      <c r="G55" s="4">
        <v>400000</v>
      </c>
      <c r="H55" s="4">
        <v>239672</v>
      </c>
      <c r="I55" s="4"/>
      <c r="J55" s="4">
        <v>44604</v>
      </c>
      <c r="K55" s="4">
        <f t="shared" si="10"/>
        <v>44604</v>
      </c>
      <c r="L55" s="4">
        <f t="shared" si="2"/>
        <v>284276</v>
      </c>
      <c r="M55" s="4">
        <f>P55+S55-100000</f>
        <v>15724</v>
      </c>
      <c r="N55" s="4">
        <v>100000</v>
      </c>
      <c r="O55" s="4">
        <f t="shared" si="3"/>
        <v>400000</v>
      </c>
      <c r="P55" s="4">
        <f t="shared" si="4"/>
        <v>115724</v>
      </c>
      <c r="Q55" s="4"/>
      <c r="R55" s="4"/>
      <c r="S55" s="4">
        <f t="shared" si="5"/>
        <v>0</v>
      </c>
      <c r="T55" s="4">
        <f t="shared" si="6"/>
        <v>100000</v>
      </c>
      <c r="U55" s="4">
        <f t="shared" si="7"/>
        <v>0</v>
      </c>
      <c r="V55" s="4">
        <f t="shared" si="8"/>
        <v>0</v>
      </c>
      <c r="W55" s="4"/>
      <c r="X55" s="4"/>
      <c r="Y55" s="4"/>
      <c r="Z55" s="4"/>
      <c r="AA55" s="3" t="s">
        <v>1105</v>
      </c>
      <c r="AB55" s="3">
        <v>732000</v>
      </c>
      <c r="AC55" s="21"/>
      <c r="AD55" s="60"/>
      <c r="AE55" s="5"/>
      <c r="AF55" s="5"/>
    </row>
    <row r="56" spans="1:32" s="5" customFormat="1" ht="30" customHeight="1">
      <c r="A56" s="3">
        <f t="shared" si="9"/>
        <v>51</v>
      </c>
      <c r="B56" s="3">
        <v>1757</v>
      </c>
      <c r="C56" s="3" t="s">
        <v>26</v>
      </c>
      <c r="D56" s="4">
        <v>300000</v>
      </c>
      <c r="E56" s="4">
        <v>300000</v>
      </c>
      <c r="F56" s="4">
        <f t="shared" si="0"/>
        <v>0</v>
      </c>
      <c r="G56" s="4">
        <v>110000</v>
      </c>
      <c r="H56" s="4">
        <v>10908.07</v>
      </c>
      <c r="I56" s="4">
        <v>908.93</v>
      </c>
      <c r="J56" s="4"/>
      <c r="K56" s="4">
        <f t="shared" si="10"/>
        <v>908.93</v>
      </c>
      <c r="L56" s="4">
        <f t="shared" si="2"/>
        <v>11817</v>
      </c>
      <c r="M56" s="4">
        <f>P56+S56</f>
        <v>98183</v>
      </c>
      <c r="N56" s="4"/>
      <c r="O56" s="4">
        <f t="shared" si="3"/>
        <v>190000</v>
      </c>
      <c r="P56" s="4">
        <f t="shared" si="4"/>
        <v>98183</v>
      </c>
      <c r="Q56" s="4"/>
      <c r="R56" s="4"/>
      <c r="S56" s="4">
        <f t="shared" si="5"/>
        <v>0</v>
      </c>
      <c r="T56" s="4">
        <f t="shared" si="6"/>
        <v>0</v>
      </c>
      <c r="U56" s="4">
        <f t="shared" si="7"/>
        <v>0</v>
      </c>
      <c r="V56" s="4">
        <f t="shared" si="8"/>
        <v>0</v>
      </c>
      <c r="W56" s="4"/>
      <c r="X56" s="4"/>
      <c r="Y56" s="4"/>
      <c r="Z56" s="4"/>
      <c r="AA56" s="3"/>
      <c r="AB56" s="3">
        <v>732000</v>
      </c>
      <c r="AC56" s="21"/>
      <c r="AD56" s="60"/>
    </row>
    <row r="57" spans="1:32" s="6" customFormat="1">
      <c r="A57" s="3">
        <f t="shared" si="9"/>
        <v>52</v>
      </c>
      <c r="B57" s="3">
        <v>1758</v>
      </c>
      <c r="C57" s="3" t="s">
        <v>165</v>
      </c>
      <c r="D57" s="4">
        <v>300000</v>
      </c>
      <c r="E57" s="4">
        <v>300000</v>
      </c>
      <c r="F57" s="4">
        <f t="shared" si="0"/>
        <v>0</v>
      </c>
      <c r="G57" s="4">
        <v>120000</v>
      </c>
      <c r="H57" s="4">
        <v>10908.07</v>
      </c>
      <c r="I57" s="4">
        <v>4828.43</v>
      </c>
      <c r="J57" s="4"/>
      <c r="K57" s="4">
        <f t="shared" si="10"/>
        <v>4828.43</v>
      </c>
      <c r="L57" s="4">
        <f t="shared" si="2"/>
        <v>15736.5</v>
      </c>
      <c r="M57" s="4">
        <f>P57+S57-104000</f>
        <v>263.5</v>
      </c>
      <c r="N57" s="4"/>
      <c r="O57" s="4">
        <f t="shared" si="3"/>
        <v>284000</v>
      </c>
      <c r="P57" s="4">
        <f t="shared" si="4"/>
        <v>104263.5</v>
      </c>
      <c r="Q57" s="4"/>
      <c r="R57" s="4"/>
      <c r="S57" s="4">
        <f t="shared" si="5"/>
        <v>0</v>
      </c>
      <c r="T57" s="4">
        <f t="shared" si="6"/>
        <v>104000</v>
      </c>
      <c r="U57" s="4">
        <f t="shared" si="7"/>
        <v>-104000</v>
      </c>
      <c r="V57" s="4">
        <f t="shared" si="8"/>
        <v>-104000</v>
      </c>
      <c r="W57" s="4"/>
      <c r="X57" s="4"/>
      <c r="Y57" s="4"/>
      <c r="Z57" s="3"/>
      <c r="AA57" s="3"/>
      <c r="AB57" s="3">
        <v>732000</v>
      </c>
      <c r="AC57" s="21"/>
      <c r="AD57" s="60"/>
      <c r="AE57" s="5"/>
      <c r="AF57" s="5"/>
    </row>
    <row r="58" spans="1:32" s="5" customFormat="1" ht="42">
      <c r="A58" s="3">
        <f t="shared" si="9"/>
        <v>53</v>
      </c>
      <c r="B58" s="3">
        <v>1759</v>
      </c>
      <c r="C58" s="3" t="s">
        <v>1280</v>
      </c>
      <c r="D58" s="4">
        <v>940000</v>
      </c>
      <c r="E58" s="4">
        <v>600000</v>
      </c>
      <c r="F58" s="4">
        <f t="shared" si="0"/>
        <v>340000</v>
      </c>
      <c r="G58" s="4">
        <v>500000</v>
      </c>
      <c r="H58" s="4">
        <v>478660</v>
      </c>
      <c r="I58" s="4">
        <v>600</v>
      </c>
      <c r="J58" s="4">
        <v>17151.75</v>
      </c>
      <c r="K58" s="4">
        <f t="shared" si="10"/>
        <v>17751.75</v>
      </c>
      <c r="L58" s="4">
        <f t="shared" si="2"/>
        <v>496411.75</v>
      </c>
      <c r="M58" s="4">
        <f>P58+S58</f>
        <v>3588.25</v>
      </c>
      <c r="N58" s="4">
        <v>440000</v>
      </c>
      <c r="O58" s="4">
        <f t="shared" si="3"/>
        <v>0</v>
      </c>
      <c r="P58" s="4">
        <f t="shared" si="4"/>
        <v>3588.25</v>
      </c>
      <c r="Q58" s="4"/>
      <c r="R58" s="4"/>
      <c r="S58" s="4">
        <f t="shared" si="5"/>
        <v>0</v>
      </c>
      <c r="T58" s="4">
        <f t="shared" si="6"/>
        <v>0</v>
      </c>
      <c r="U58" s="4">
        <f t="shared" si="7"/>
        <v>440000</v>
      </c>
      <c r="V58" s="4">
        <f t="shared" si="8"/>
        <v>440000</v>
      </c>
      <c r="W58" s="4"/>
      <c r="X58" s="4"/>
      <c r="Y58" s="4"/>
      <c r="Z58" s="3"/>
      <c r="AA58" s="3" t="s">
        <v>1497</v>
      </c>
      <c r="AB58" s="3">
        <v>732000</v>
      </c>
      <c r="AC58" s="21"/>
      <c r="AD58" s="60"/>
    </row>
    <row r="59" spans="1:32" s="5" customFormat="1" ht="28">
      <c r="A59" s="3">
        <f t="shared" si="9"/>
        <v>54</v>
      </c>
      <c r="B59" s="3">
        <v>1760</v>
      </c>
      <c r="C59" s="3" t="s">
        <v>1271</v>
      </c>
      <c r="D59" s="4">
        <f>1100000-200000</f>
        <v>900000</v>
      </c>
      <c r="E59" s="4">
        <v>900000</v>
      </c>
      <c r="F59" s="4">
        <f t="shared" si="0"/>
        <v>0</v>
      </c>
      <c r="G59" s="4">
        <v>300000</v>
      </c>
      <c r="H59" s="4">
        <v>38898</v>
      </c>
      <c r="I59" s="4"/>
      <c r="J59" s="4">
        <v>1228</v>
      </c>
      <c r="K59" s="4">
        <f t="shared" si="10"/>
        <v>1228</v>
      </c>
      <c r="L59" s="4">
        <f t="shared" si="2"/>
        <v>40126</v>
      </c>
      <c r="M59" s="4">
        <f>P59+S59</f>
        <v>259874</v>
      </c>
      <c r="N59" s="4"/>
      <c r="O59" s="4">
        <f t="shared" si="3"/>
        <v>600000</v>
      </c>
      <c r="P59" s="4">
        <f t="shared" si="4"/>
        <v>259874</v>
      </c>
      <c r="Q59" s="4">
        <f>100000-100000</f>
        <v>0</v>
      </c>
      <c r="R59" s="4"/>
      <c r="S59" s="4">
        <f t="shared" si="5"/>
        <v>0</v>
      </c>
      <c r="T59" s="4">
        <f t="shared" si="6"/>
        <v>0</v>
      </c>
      <c r="U59" s="4">
        <f t="shared" si="7"/>
        <v>0</v>
      </c>
      <c r="V59" s="4">
        <f t="shared" si="8"/>
        <v>0</v>
      </c>
      <c r="W59" s="4"/>
      <c r="X59" s="4"/>
      <c r="Y59" s="4"/>
      <c r="Z59" s="3"/>
      <c r="AA59" s="3" t="s">
        <v>1498</v>
      </c>
      <c r="AB59" s="3">
        <v>732000</v>
      </c>
      <c r="AC59" s="21"/>
      <c r="AD59" s="60"/>
    </row>
    <row r="60" spans="1:32" s="6" customFormat="1" ht="28">
      <c r="A60" s="3">
        <f t="shared" si="9"/>
        <v>55</v>
      </c>
      <c r="B60" s="3">
        <v>1762</v>
      </c>
      <c r="C60" s="3" t="s">
        <v>28</v>
      </c>
      <c r="D60" s="4">
        <v>500000</v>
      </c>
      <c r="E60" s="4">
        <v>500000</v>
      </c>
      <c r="F60" s="4">
        <f t="shared" si="0"/>
        <v>0</v>
      </c>
      <c r="G60" s="4">
        <v>100000</v>
      </c>
      <c r="H60" s="4">
        <v>11442</v>
      </c>
      <c r="I60" s="4"/>
      <c r="J60" s="4"/>
      <c r="K60" s="4">
        <f t="shared" si="10"/>
        <v>0</v>
      </c>
      <c r="L60" s="4">
        <f t="shared" si="2"/>
        <v>11442</v>
      </c>
      <c r="M60" s="4">
        <f>P60+S60-30000</f>
        <v>58558</v>
      </c>
      <c r="N60" s="4"/>
      <c r="O60" s="4">
        <f t="shared" si="3"/>
        <v>430000</v>
      </c>
      <c r="P60" s="4">
        <f t="shared" si="4"/>
        <v>88558</v>
      </c>
      <c r="Q60" s="4"/>
      <c r="R60" s="4"/>
      <c r="S60" s="4">
        <f t="shared" si="5"/>
        <v>0</v>
      </c>
      <c r="T60" s="4">
        <f t="shared" si="6"/>
        <v>30000</v>
      </c>
      <c r="U60" s="4">
        <f t="shared" si="7"/>
        <v>-30000</v>
      </c>
      <c r="V60" s="4">
        <f t="shared" si="8"/>
        <v>-30000</v>
      </c>
      <c r="W60" s="4"/>
      <c r="X60" s="4"/>
      <c r="Y60" s="4"/>
      <c r="Z60" s="3"/>
      <c r="AA60" s="3" t="s">
        <v>661</v>
      </c>
      <c r="AB60" s="3">
        <v>732000</v>
      </c>
      <c r="AC60" s="21"/>
      <c r="AD60" s="60"/>
      <c r="AE60" s="5"/>
      <c r="AF60" s="5"/>
    </row>
    <row r="61" spans="1:32" s="5" customFormat="1" ht="28">
      <c r="A61" s="3">
        <f t="shared" si="9"/>
        <v>56</v>
      </c>
      <c r="B61" s="3">
        <v>1799</v>
      </c>
      <c r="C61" s="3" t="s">
        <v>181</v>
      </c>
      <c r="D61" s="4">
        <v>1000000</v>
      </c>
      <c r="E61" s="4">
        <v>1000000</v>
      </c>
      <c r="F61" s="4">
        <f t="shared" si="0"/>
        <v>0</v>
      </c>
      <c r="G61" s="4">
        <v>350000</v>
      </c>
      <c r="H61" s="4">
        <v>24106</v>
      </c>
      <c r="I61" s="4"/>
      <c r="J61" s="4">
        <v>20567.86</v>
      </c>
      <c r="K61" s="4">
        <f t="shared" si="10"/>
        <v>20567.86</v>
      </c>
      <c r="L61" s="4">
        <f t="shared" si="2"/>
        <v>44673.86</v>
      </c>
      <c r="M61" s="4">
        <f>P61+S61-200000</f>
        <v>105326.14000000001</v>
      </c>
      <c r="N61" s="4">
        <f>100000+200000-100000</f>
        <v>200000</v>
      </c>
      <c r="O61" s="4">
        <f t="shared" si="3"/>
        <v>650000</v>
      </c>
      <c r="P61" s="4">
        <f t="shared" si="4"/>
        <v>305326.14</v>
      </c>
      <c r="Q61" s="4"/>
      <c r="R61" s="4"/>
      <c r="S61" s="4">
        <f t="shared" si="5"/>
        <v>0</v>
      </c>
      <c r="T61" s="4">
        <f t="shared" si="6"/>
        <v>200000</v>
      </c>
      <c r="U61" s="4">
        <f t="shared" si="7"/>
        <v>0</v>
      </c>
      <c r="V61" s="4">
        <f t="shared" si="8"/>
        <v>0</v>
      </c>
      <c r="W61" s="4"/>
      <c r="X61" s="4"/>
      <c r="Y61" s="4"/>
      <c r="Z61" s="3"/>
      <c r="AA61" s="3" t="s">
        <v>1289</v>
      </c>
      <c r="AB61" s="3">
        <v>732000</v>
      </c>
      <c r="AC61" s="21"/>
      <c r="AD61" s="60"/>
    </row>
    <row r="62" spans="1:32" s="5" customFormat="1">
      <c r="A62" s="3">
        <f t="shared" si="9"/>
        <v>57</v>
      </c>
      <c r="B62" s="3">
        <v>1804</v>
      </c>
      <c r="C62" s="3" t="s">
        <v>182</v>
      </c>
      <c r="D62" s="4">
        <f>50000+150000</f>
        <v>200000</v>
      </c>
      <c r="E62" s="4">
        <v>200000</v>
      </c>
      <c r="F62" s="4">
        <f t="shared" si="0"/>
        <v>0</v>
      </c>
      <c r="G62" s="4">
        <v>200000</v>
      </c>
      <c r="H62" s="4">
        <v>0</v>
      </c>
      <c r="I62" s="4"/>
      <c r="J62" s="4">
        <v>47073.2</v>
      </c>
      <c r="K62" s="4">
        <f t="shared" si="10"/>
        <v>47073.2</v>
      </c>
      <c r="L62" s="4">
        <f t="shared" si="2"/>
        <v>47073.2</v>
      </c>
      <c r="M62" s="4">
        <f>P62+S62</f>
        <v>152926.79999999999</v>
      </c>
      <c r="N62" s="4"/>
      <c r="O62" s="4">
        <f t="shared" si="3"/>
        <v>0</v>
      </c>
      <c r="P62" s="4">
        <f t="shared" si="4"/>
        <v>152926.79999999999</v>
      </c>
      <c r="Q62" s="4"/>
      <c r="R62" s="4"/>
      <c r="S62" s="4">
        <f t="shared" si="5"/>
        <v>0</v>
      </c>
      <c r="T62" s="4">
        <f t="shared" si="6"/>
        <v>0</v>
      </c>
      <c r="U62" s="4">
        <f t="shared" si="7"/>
        <v>0</v>
      </c>
      <c r="V62" s="4">
        <f t="shared" si="8"/>
        <v>0</v>
      </c>
      <c r="W62" s="4"/>
      <c r="X62" s="4"/>
      <c r="Y62" s="4"/>
      <c r="Z62" s="3"/>
      <c r="AA62" s="3"/>
      <c r="AB62" s="3">
        <v>742000</v>
      </c>
      <c r="AC62" s="21"/>
      <c r="AD62" s="60"/>
    </row>
    <row r="63" spans="1:32" s="5" customFormat="1">
      <c r="A63" s="3">
        <f t="shared" si="9"/>
        <v>58</v>
      </c>
      <c r="B63" s="3">
        <v>1805</v>
      </c>
      <c r="C63" s="3" t="s">
        <v>183</v>
      </c>
      <c r="D63" s="4">
        <v>1000000</v>
      </c>
      <c r="E63" s="4">
        <v>1000000</v>
      </c>
      <c r="F63" s="4">
        <f t="shared" si="0"/>
        <v>0</v>
      </c>
      <c r="G63" s="4">
        <v>110000</v>
      </c>
      <c r="H63" s="4">
        <v>2677</v>
      </c>
      <c r="I63" s="4"/>
      <c r="J63" s="4"/>
      <c r="K63" s="4">
        <f t="shared" si="10"/>
        <v>0</v>
      </c>
      <c r="L63" s="4">
        <f t="shared" si="2"/>
        <v>2677</v>
      </c>
      <c r="M63" s="4">
        <f>P63+S63-50000</f>
        <v>57323</v>
      </c>
      <c r="N63" s="4"/>
      <c r="O63" s="4">
        <f t="shared" si="3"/>
        <v>940000</v>
      </c>
      <c r="P63" s="4">
        <f t="shared" si="4"/>
        <v>107323</v>
      </c>
      <c r="Q63" s="4"/>
      <c r="R63" s="4"/>
      <c r="S63" s="4">
        <f t="shared" si="5"/>
        <v>0</v>
      </c>
      <c r="T63" s="4">
        <f t="shared" si="6"/>
        <v>50000</v>
      </c>
      <c r="U63" s="4">
        <f t="shared" si="7"/>
        <v>-50000</v>
      </c>
      <c r="V63" s="4">
        <f t="shared" si="8"/>
        <v>-50000</v>
      </c>
      <c r="W63" s="4"/>
      <c r="X63" s="4"/>
      <c r="Y63" s="4"/>
      <c r="Z63" s="3"/>
      <c r="AA63" s="3" t="s">
        <v>1189</v>
      </c>
      <c r="AB63" s="3">
        <v>742000</v>
      </c>
      <c r="AC63" s="21"/>
      <c r="AD63" s="60"/>
    </row>
    <row r="64" spans="1:32" s="5" customFormat="1" ht="28">
      <c r="A64" s="3">
        <f t="shared" si="9"/>
        <v>59</v>
      </c>
      <c r="B64" s="3">
        <v>1811</v>
      </c>
      <c r="C64" s="3" t="s">
        <v>184</v>
      </c>
      <c r="D64" s="4">
        <v>250000</v>
      </c>
      <c r="E64" s="4">
        <v>250000</v>
      </c>
      <c r="F64" s="4">
        <f t="shared" si="0"/>
        <v>0</v>
      </c>
      <c r="G64" s="4">
        <v>250000</v>
      </c>
      <c r="H64" s="4">
        <v>0</v>
      </c>
      <c r="I64" s="4"/>
      <c r="J64" s="4"/>
      <c r="K64" s="4">
        <f t="shared" si="10"/>
        <v>0</v>
      </c>
      <c r="L64" s="4">
        <f t="shared" si="2"/>
        <v>0</v>
      </c>
      <c r="M64" s="4">
        <f>P64+S64</f>
        <v>250000</v>
      </c>
      <c r="N64" s="4"/>
      <c r="O64" s="4">
        <f t="shared" si="3"/>
        <v>0</v>
      </c>
      <c r="P64" s="4">
        <f t="shared" si="4"/>
        <v>250000</v>
      </c>
      <c r="Q64" s="4"/>
      <c r="R64" s="4"/>
      <c r="S64" s="4">
        <f t="shared" si="5"/>
        <v>0</v>
      </c>
      <c r="T64" s="4">
        <f t="shared" si="6"/>
        <v>0</v>
      </c>
      <c r="U64" s="4">
        <f t="shared" si="7"/>
        <v>0</v>
      </c>
      <c r="V64" s="4">
        <f t="shared" si="8"/>
        <v>0</v>
      </c>
      <c r="W64" s="4"/>
      <c r="X64" s="4"/>
      <c r="Y64" s="4"/>
      <c r="Z64" s="3"/>
      <c r="AA64" s="3" t="s">
        <v>1290</v>
      </c>
      <c r="AB64" s="3">
        <v>732000</v>
      </c>
      <c r="AC64" s="21"/>
      <c r="AD64" s="60"/>
    </row>
    <row r="65" spans="1:32" s="5" customFormat="1" ht="42">
      <c r="A65" s="3">
        <f t="shared" si="9"/>
        <v>60</v>
      </c>
      <c r="B65" s="3">
        <v>1826</v>
      </c>
      <c r="C65" s="3" t="s">
        <v>191</v>
      </c>
      <c r="D65" s="4">
        <v>1500000</v>
      </c>
      <c r="E65" s="4">
        <v>1500000</v>
      </c>
      <c r="F65" s="4">
        <f t="shared" si="0"/>
        <v>0</v>
      </c>
      <c r="G65" s="4">
        <v>400000</v>
      </c>
      <c r="H65" s="4">
        <v>14227</v>
      </c>
      <c r="I65" s="4"/>
      <c r="J65" s="4">
        <v>11756.75</v>
      </c>
      <c r="K65" s="4">
        <f t="shared" si="10"/>
        <v>11756.75</v>
      </c>
      <c r="L65" s="4">
        <f t="shared" si="2"/>
        <v>25983.75</v>
      </c>
      <c r="M65" s="4">
        <f>P65+S65</f>
        <v>374016.25</v>
      </c>
      <c r="N65" s="4">
        <v>1100000</v>
      </c>
      <c r="O65" s="4">
        <f t="shared" si="3"/>
        <v>0</v>
      </c>
      <c r="P65" s="4">
        <f t="shared" si="4"/>
        <v>374016.25</v>
      </c>
      <c r="Q65" s="4"/>
      <c r="R65" s="4"/>
      <c r="S65" s="4">
        <f t="shared" si="5"/>
        <v>0</v>
      </c>
      <c r="T65" s="4">
        <f t="shared" si="6"/>
        <v>0</v>
      </c>
      <c r="U65" s="4">
        <f t="shared" si="7"/>
        <v>1100000</v>
      </c>
      <c r="V65" s="4">
        <f t="shared" si="8"/>
        <v>1100000</v>
      </c>
      <c r="W65" s="4"/>
      <c r="X65" s="4"/>
      <c r="Y65" s="4"/>
      <c r="Z65" s="3"/>
      <c r="AA65" s="3" t="s">
        <v>1190</v>
      </c>
      <c r="AB65" s="3">
        <v>742000</v>
      </c>
      <c r="AC65" s="21"/>
      <c r="AD65" s="60"/>
      <c r="AE65" s="6"/>
      <c r="AF65" s="6"/>
    </row>
    <row r="66" spans="1:32" s="6" customFormat="1" ht="30" customHeight="1">
      <c r="A66" s="3">
        <f t="shared" si="9"/>
        <v>61</v>
      </c>
      <c r="B66" s="3">
        <v>1842</v>
      </c>
      <c r="C66" s="3" t="s">
        <v>195</v>
      </c>
      <c r="D66" s="4">
        <v>800000</v>
      </c>
      <c r="E66" s="4">
        <v>800000</v>
      </c>
      <c r="F66" s="4">
        <f t="shared" si="0"/>
        <v>0</v>
      </c>
      <c r="G66" s="4">
        <v>200000</v>
      </c>
      <c r="H66" s="4">
        <v>0</v>
      </c>
      <c r="I66" s="4"/>
      <c r="J66" s="4"/>
      <c r="K66" s="4">
        <f t="shared" ref="K66:K82" si="11">SUM(I66:J66)</f>
        <v>0</v>
      </c>
      <c r="L66" s="4">
        <f t="shared" si="2"/>
        <v>0</v>
      </c>
      <c r="M66" s="4">
        <f>P66+S66</f>
        <v>200000</v>
      </c>
      <c r="N66" s="4"/>
      <c r="O66" s="4">
        <f t="shared" si="3"/>
        <v>600000</v>
      </c>
      <c r="P66" s="4">
        <f t="shared" si="4"/>
        <v>200000</v>
      </c>
      <c r="Q66" s="4"/>
      <c r="R66" s="4"/>
      <c r="S66" s="4">
        <f t="shared" si="5"/>
        <v>0</v>
      </c>
      <c r="T66" s="4">
        <f t="shared" si="6"/>
        <v>0</v>
      </c>
      <c r="U66" s="4">
        <f t="shared" si="7"/>
        <v>0</v>
      </c>
      <c r="V66" s="4">
        <f t="shared" si="8"/>
        <v>0</v>
      </c>
      <c r="W66" s="4"/>
      <c r="X66" s="4"/>
      <c r="Y66" s="4"/>
      <c r="Z66" s="3"/>
      <c r="AA66" s="3" t="s">
        <v>1191</v>
      </c>
      <c r="AB66" s="3">
        <v>732000</v>
      </c>
      <c r="AC66" s="21"/>
      <c r="AD66" s="60"/>
      <c r="AE66" s="5"/>
      <c r="AF66" s="5"/>
    </row>
    <row r="67" spans="1:32" s="5" customFormat="1">
      <c r="A67" s="3">
        <f t="shared" si="9"/>
        <v>62</v>
      </c>
      <c r="B67" s="3">
        <v>1843</v>
      </c>
      <c r="C67" s="3" t="s">
        <v>196</v>
      </c>
      <c r="D67" s="4">
        <v>380000</v>
      </c>
      <c r="E67" s="4">
        <v>380000</v>
      </c>
      <c r="F67" s="4">
        <f t="shared" si="0"/>
        <v>0</v>
      </c>
      <c r="G67" s="4">
        <v>70000</v>
      </c>
      <c r="H67" s="4">
        <v>0</v>
      </c>
      <c r="I67" s="4">
        <v>1.17</v>
      </c>
      <c r="J67" s="4"/>
      <c r="K67" s="4">
        <f t="shared" si="11"/>
        <v>1.17</v>
      </c>
      <c r="L67" s="4">
        <f t="shared" si="2"/>
        <v>1.17</v>
      </c>
      <c r="M67" s="4">
        <f>P67+S67-69000</f>
        <v>998.83000000000175</v>
      </c>
      <c r="N67" s="4">
        <f>350000-100000</f>
        <v>250000</v>
      </c>
      <c r="O67" s="4">
        <f t="shared" si="3"/>
        <v>129000</v>
      </c>
      <c r="P67" s="4">
        <f t="shared" si="4"/>
        <v>69998.83</v>
      </c>
      <c r="Q67" s="4"/>
      <c r="R67" s="4"/>
      <c r="S67" s="4">
        <f t="shared" si="5"/>
        <v>0</v>
      </c>
      <c r="T67" s="4">
        <f t="shared" si="6"/>
        <v>69000</v>
      </c>
      <c r="U67" s="4">
        <f t="shared" si="7"/>
        <v>181000</v>
      </c>
      <c r="V67" s="4">
        <f t="shared" si="8"/>
        <v>181000</v>
      </c>
      <c r="W67" s="4"/>
      <c r="X67" s="4"/>
      <c r="Y67" s="4"/>
      <c r="Z67" s="3"/>
      <c r="AA67" s="3" t="s">
        <v>662</v>
      </c>
      <c r="AB67" s="3">
        <v>732000</v>
      </c>
      <c r="AC67" s="21"/>
      <c r="AD67" s="60"/>
    </row>
    <row r="68" spans="1:32" s="5" customFormat="1">
      <c r="A68" s="3">
        <f t="shared" si="9"/>
        <v>63</v>
      </c>
      <c r="B68" s="3">
        <v>1844</v>
      </c>
      <c r="C68" s="3" t="s">
        <v>1281</v>
      </c>
      <c r="D68" s="4">
        <v>2078338</v>
      </c>
      <c r="E68" s="4">
        <v>732000</v>
      </c>
      <c r="F68" s="4">
        <f t="shared" si="0"/>
        <v>1346338</v>
      </c>
      <c r="G68" s="4">
        <v>70000</v>
      </c>
      <c r="H68" s="4">
        <v>62477.48</v>
      </c>
      <c r="I68" s="4"/>
      <c r="J68" s="4"/>
      <c r="K68" s="4">
        <f t="shared" si="11"/>
        <v>0</v>
      </c>
      <c r="L68" s="4">
        <f t="shared" si="2"/>
        <v>62477.48</v>
      </c>
      <c r="M68" s="4">
        <f>P68+S68</f>
        <v>7522.5199999999968</v>
      </c>
      <c r="N68" s="4">
        <f>1338338+670000</f>
        <v>2008338</v>
      </c>
      <c r="O68" s="4">
        <f t="shared" si="3"/>
        <v>0</v>
      </c>
      <c r="P68" s="4">
        <f t="shared" si="4"/>
        <v>7522.5199999999968</v>
      </c>
      <c r="Q68" s="4"/>
      <c r="R68" s="4"/>
      <c r="S68" s="4">
        <f t="shared" si="5"/>
        <v>0</v>
      </c>
      <c r="T68" s="4">
        <f t="shared" si="6"/>
        <v>0</v>
      </c>
      <c r="U68" s="4">
        <f t="shared" si="7"/>
        <v>2008338</v>
      </c>
      <c r="V68" s="4">
        <f t="shared" si="8"/>
        <v>753894</v>
      </c>
      <c r="W68" s="4"/>
      <c r="X68" s="4"/>
      <c r="Y68" s="4"/>
      <c r="Z68" s="4">
        <v>1254444</v>
      </c>
      <c r="AA68" s="3" t="s">
        <v>1291</v>
      </c>
      <c r="AB68" s="3">
        <v>732000</v>
      </c>
      <c r="AC68" s="21"/>
      <c r="AD68" s="60"/>
    </row>
    <row r="69" spans="1:32" s="5" customFormat="1" ht="30" customHeight="1">
      <c r="A69" s="3">
        <f t="shared" si="9"/>
        <v>64</v>
      </c>
      <c r="B69" s="3">
        <v>1882</v>
      </c>
      <c r="C69" s="3" t="s">
        <v>198</v>
      </c>
      <c r="D69" s="4">
        <v>14300000</v>
      </c>
      <c r="E69" s="4">
        <v>14300000</v>
      </c>
      <c r="F69" s="4">
        <f t="shared" si="0"/>
        <v>0</v>
      </c>
      <c r="G69" s="4">
        <v>200000</v>
      </c>
      <c r="H69" s="4">
        <v>0</v>
      </c>
      <c r="I69" s="4"/>
      <c r="J69" s="4"/>
      <c r="K69" s="4">
        <f t="shared" si="11"/>
        <v>0</v>
      </c>
      <c r="L69" s="4">
        <f t="shared" si="2"/>
        <v>0</v>
      </c>
      <c r="M69" s="4">
        <f>P69+S69-200000</f>
        <v>0</v>
      </c>
      <c r="N69" s="4">
        <f>200000+250000</f>
        <v>450000</v>
      </c>
      <c r="O69" s="4">
        <f t="shared" si="3"/>
        <v>13850000</v>
      </c>
      <c r="P69" s="4">
        <f t="shared" si="4"/>
        <v>200000</v>
      </c>
      <c r="Q69" s="4"/>
      <c r="R69" s="4"/>
      <c r="S69" s="4">
        <f t="shared" si="5"/>
        <v>0</v>
      </c>
      <c r="T69" s="4">
        <f t="shared" si="6"/>
        <v>200000</v>
      </c>
      <c r="U69" s="4">
        <f t="shared" si="7"/>
        <v>250000</v>
      </c>
      <c r="V69" s="4">
        <f t="shared" si="8"/>
        <v>250000</v>
      </c>
      <c r="W69" s="4"/>
      <c r="X69" s="4"/>
      <c r="Y69" s="4"/>
      <c r="Z69" s="3"/>
      <c r="AA69" s="3" t="s">
        <v>1292</v>
      </c>
      <c r="AB69" s="3">
        <v>742000</v>
      </c>
      <c r="AC69" s="21"/>
      <c r="AD69" s="60"/>
    </row>
    <row r="70" spans="1:32" s="5" customFormat="1" ht="42">
      <c r="A70" s="3">
        <f t="shared" si="9"/>
        <v>65</v>
      </c>
      <c r="B70" s="3">
        <v>1937</v>
      </c>
      <c r="C70" s="3" t="s">
        <v>1282</v>
      </c>
      <c r="D70" s="4">
        <f>1000000+50000-300000</f>
        <v>750000</v>
      </c>
      <c r="E70" s="4">
        <v>700000</v>
      </c>
      <c r="F70" s="4">
        <f t="shared" ref="F70:F102" si="12">D70-E70</f>
        <v>50000</v>
      </c>
      <c r="G70" s="4">
        <v>450000</v>
      </c>
      <c r="H70" s="4">
        <v>39885</v>
      </c>
      <c r="I70" s="4">
        <v>261133</v>
      </c>
      <c r="J70" s="4">
        <v>40357.54</v>
      </c>
      <c r="K70" s="4">
        <f t="shared" si="11"/>
        <v>301490.53999999998</v>
      </c>
      <c r="L70" s="4">
        <f t="shared" ref="L70:L94" si="13">H70+K70</f>
        <v>341375.54</v>
      </c>
      <c r="M70" s="4">
        <f t="shared" ref="M70:M76" si="14">P70+S70</f>
        <v>108624.46000000002</v>
      </c>
      <c r="N70" s="4">
        <f>400000-100000</f>
        <v>300000</v>
      </c>
      <c r="O70" s="4">
        <f t="shared" ref="O70:O102" si="15">D70-L70-M70-N70</f>
        <v>0</v>
      </c>
      <c r="P70" s="4">
        <f t="shared" ref="P70:P102" si="16">G70-L70</f>
        <v>108624.46000000002</v>
      </c>
      <c r="Q70" s="4"/>
      <c r="R70" s="4"/>
      <c r="S70" s="4">
        <f t="shared" ref="S70:S82" si="17">SUM(Q70:R70)</f>
        <v>0</v>
      </c>
      <c r="T70" s="4">
        <f t="shared" ref="T70:T82" si="18">P70-M70+S70</f>
        <v>0</v>
      </c>
      <c r="U70" s="4">
        <f t="shared" ref="U70:U102" si="19">N70-T70</f>
        <v>300000</v>
      </c>
      <c r="V70" s="4">
        <f t="shared" ref="V70:V102" si="20">U70-Z70-W70-Y70</f>
        <v>300000</v>
      </c>
      <c r="W70" s="4"/>
      <c r="X70" s="4"/>
      <c r="Y70" s="4"/>
      <c r="Z70" s="3"/>
      <c r="AA70" s="3" t="s">
        <v>1293</v>
      </c>
      <c r="AB70" s="3">
        <v>732000</v>
      </c>
      <c r="AC70" s="21"/>
      <c r="AD70" s="60"/>
    </row>
    <row r="71" spans="1:32" s="6" customFormat="1" ht="28">
      <c r="A71" s="3">
        <f t="shared" si="9"/>
        <v>66</v>
      </c>
      <c r="B71" s="3">
        <v>1943</v>
      </c>
      <c r="C71" s="3" t="s">
        <v>304</v>
      </c>
      <c r="D71" s="4">
        <v>6750000</v>
      </c>
      <c r="E71" s="4">
        <v>6500000</v>
      </c>
      <c r="F71" s="4">
        <f t="shared" si="12"/>
        <v>250000</v>
      </c>
      <c r="G71" s="4">
        <v>6500000</v>
      </c>
      <c r="H71" s="4">
        <v>3839511</v>
      </c>
      <c r="I71" s="4">
        <v>208106</v>
      </c>
      <c r="J71" s="4">
        <v>2351722</v>
      </c>
      <c r="K71" s="4">
        <f t="shared" si="11"/>
        <v>2559828</v>
      </c>
      <c r="L71" s="4">
        <f t="shared" si="13"/>
        <v>6399339</v>
      </c>
      <c r="M71" s="4">
        <f t="shared" si="14"/>
        <v>100661</v>
      </c>
      <c r="N71" s="4">
        <v>250000</v>
      </c>
      <c r="O71" s="4">
        <f t="shared" si="15"/>
        <v>0</v>
      </c>
      <c r="P71" s="4">
        <f t="shared" si="16"/>
        <v>100661</v>
      </c>
      <c r="Q71" s="4"/>
      <c r="R71" s="4"/>
      <c r="S71" s="4">
        <f t="shared" si="17"/>
        <v>0</v>
      </c>
      <c r="T71" s="4">
        <f t="shared" si="18"/>
        <v>0</v>
      </c>
      <c r="U71" s="4">
        <f t="shared" si="19"/>
        <v>250000</v>
      </c>
      <c r="V71" s="4">
        <f t="shared" si="20"/>
        <v>250000</v>
      </c>
      <c r="W71" s="4"/>
      <c r="X71" s="4"/>
      <c r="Y71" s="4"/>
      <c r="Z71" s="3"/>
      <c r="AA71" s="3" t="s">
        <v>1294</v>
      </c>
      <c r="AB71" s="3">
        <v>744000</v>
      </c>
      <c r="AC71" s="21"/>
      <c r="AD71" s="60"/>
      <c r="AE71" s="5"/>
      <c r="AF71" s="5"/>
    </row>
    <row r="72" spans="1:32" s="5" customFormat="1" ht="28">
      <c r="A72" s="3">
        <f t="shared" ref="A72:A103" si="21">A71+1</f>
        <v>67</v>
      </c>
      <c r="B72" s="3">
        <v>1950</v>
      </c>
      <c r="C72" s="42" t="s">
        <v>666</v>
      </c>
      <c r="D72" s="4">
        <v>500000</v>
      </c>
      <c r="E72" s="4">
        <v>500000</v>
      </c>
      <c r="F72" s="4">
        <f t="shared" si="12"/>
        <v>0</v>
      </c>
      <c r="G72" s="4">
        <v>100000</v>
      </c>
      <c r="H72" s="4">
        <v>0</v>
      </c>
      <c r="I72" s="4"/>
      <c r="J72" s="4"/>
      <c r="K72" s="4">
        <f t="shared" si="11"/>
        <v>0</v>
      </c>
      <c r="L72" s="4">
        <f t="shared" si="13"/>
        <v>0</v>
      </c>
      <c r="M72" s="4">
        <f t="shared" si="14"/>
        <v>100000</v>
      </c>
      <c r="N72" s="4">
        <v>100000</v>
      </c>
      <c r="O72" s="4">
        <f t="shared" si="15"/>
        <v>300000</v>
      </c>
      <c r="P72" s="4">
        <f t="shared" si="16"/>
        <v>100000</v>
      </c>
      <c r="Q72" s="4"/>
      <c r="R72" s="4"/>
      <c r="S72" s="4">
        <f t="shared" si="17"/>
        <v>0</v>
      </c>
      <c r="T72" s="4">
        <f t="shared" si="18"/>
        <v>0</v>
      </c>
      <c r="U72" s="4">
        <f t="shared" si="19"/>
        <v>100000</v>
      </c>
      <c r="V72" s="4">
        <f t="shared" si="20"/>
        <v>100000</v>
      </c>
      <c r="W72" s="4"/>
      <c r="X72" s="4"/>
      <c r="Y72" s="4"/>
      <c r="Z72" s="3"/>
      <c r="AA72" s="3" t="s">
        <v>667</v>
      </c>
      <c r="AB72" s="3">
        <v>732000</v>
      </c>
      <c r="AC72" s="21"/>
      <c r="AD72" s="60"/>
      <c r="AE72" s="6"/>
      <c r="AF72" s="6"/>
    </row>
    <row r="73" spans="1:32" s="5" customFormat="1" ht="30" customHeight="1">
      <c r="A73" s="3">
        <f t="shared" si="21"/>
        <v>68</v>
      </c>
      <c r="B73" s="3">
        <v>1951</v>
      </c>
      <c r="C73" s="3" t="s">
        <v>256</v>
      </c>
      <c r="D73" s="4">
        <v>300000</v>
      </c>
      <c r="E73" s="4">
        <v>300000</v>
      </c>
      <c r="F73" s="4">
        <f t="shared" si="12"/>
        <v>0</v>
      </c>
      <c r="G73" s="4">
        <v>160000</v>
      </c>
      <c r="H73" s="4">
        <v>123575</v>
      </c>
      <c r="I73" s="4">
        <v>35100</v>
      </c>
      <c r="J73" s="4"/>
      <c r="K73" s="4">
        <f t="shared" si="11"/>
        <v>35100</v>
      </c>
      <c r="L73" s="4">
        <f t="shared" si="13"/>
        <v>158675</v>
      </c>
      <c r="M73" s="4">
        <f t="shared" si="14"/>
        <v>1325</v>
      </c>
      <c r="N73" s="4"/>
      <c r="O73" s="4">
        <f t="shared" si="15"/>
        <v>140000</v>
      </c>
      <c r="P73" s="4">
        <f t="shared" si="16"/>
        <v>1325</v>
      </c>
      <c r="Q73" s="4"/>
      <c r="R73" s="4"/>
      <c r="S73" s="4">
        <f t="shared" si="17"/>
        <v>0</v>
      </c>
      <c r="T73" s="4">
        <f t="shared" si="18"/>
        <v>0</v>
      </c>
      <c r="U73" s="4">
        <f t="shared" si="19"/>
        <v>0</v>
      </c>
      <c r="V73" s="4">
        <f t="shared" si="20"/>
        <v>0</v>
      </c>
      <c r="W73" s="4"/>
      <c r="X73" s="4"/>
      <c r="Y73" s="4"/>
      <c r="Z73" s="3"/>
      <c r="AA73" s="3"/>
      <c r="AB73" s="3">
        <v>732000</v>
      </c>
      <c r="AC73" s="21"/>
      <c r="AD73" s="60"/>
    </row>
    <row r="74" spans="1:32" s="5" customFormat="1" ht="28">
      <c r="A74" s="3">
        <f t="shared" si="21"/>
        <v>69</v>
      </c>
      <c r="B74" s="3">
        <v>1952</v>
      </c>
      <c r="C74" s="42" t="s">
        <v>1272</v>
      </c>
      <c r="D74" s="4">
        <v>200000</v>
      </c>
      <c r="E74" s="4">
        <v>200000</v>
      </c>
      <c r="F74" s="4">
        <f t="shared" si="12"/>
        <v>0</v>
      </c>
      <c r="G74" s="4">
        <v>100000</v>
      </c>
      <c r="H74" s="4">
        <v>0</v>
      </c>
      <c r="I74" s="4"/>
      <c r="J74" s="4"/>
      <c r="K74" s="4">
        <f t="shared" si="11"/>
        <v>0</v>
      </c>
      <c r="L74" s="4">
        <f t="shared" si="13"/>
        <v>0</v>
      </c>
      <c r="M74" s="4">
        <f t="shared" si="14"/>
        <v>100000</v>
      </c>
      <c r="N74" s="4">
        <f>100000-100000</f>
        <v>0</v>
      </c>
      <c r="O74" s="4">
        <f t="shared" si="15"/>
        <v>100000</v>
      </c>
      <c r="P74" s="4">
        <f t="shared" si="16"/>
        <v>100000</v>
      </c>
      <c r="Q74" s="4"/>
      <c r="R74" s="4"/>
      <c r="S74" s="4">
        <f t="shared" si="17"/>
        <v>0</v>
      </c>
      <c r="T74" s="4">
        <f t="shared" si="18"/>
        <v>0</v>
      </c>
      <c r="U74" s="4">
        <f t="shared" si="19"/>
        <v>0</v>
      </c>
      <c r="V74" s="4">
        <f t="shared" si="20"/>
        <v>0</v>
      </c>
      <c r="W74" s="4"/>
      <c r="X74" s="4"/>
      <c r="Y74" s="4"/>
      <c r="Z74" s="3"/>
      <c r="AA74" s="3" t="s">
        <v>669</v>
      </c>
      <c r="AB74" s="3">
        <v>829000</v>
      </c>
      <c r="AC74" s="21"/>
      <c r="AD74" s="60"/>
    </row>
    <row r="75" spans="1:32" s="5" customFormat="1" ht="30" customHeight="1">
      <c r="A75" s="3">
        <f t="shared" si="21"/>
        <v>70</v>
      </c>
      <c r="B75" s="3">
        <v>2007</v>
      </c>
      <c r="C75" s="3" t="s">
        <v>670</v>
      </c>
      <c r="D75" s="4">
        <f>3000000-1900000</f>
        <v>1100000</v>
      </c>
      <c r="E75" s="4">
        <v>3000000</v>
      </c>
      <c r="F75" s="4">
        <f t="shared" si="12"/>
        <v>-1900000</v>
      </c>
      <c r="G75" s="4">
        <f>500000+600000</f>
        <v>1100000</v>
      </c>
      <c r="H75" s="4">
        <v>0</v>
      </c>
      <c r="I75" s="4"/>
      <c r="J75" s="4">
        <f>64313+918635</f>
        <v>982948</v>
      </c>
      <c r="K75" s="4">
        <f t="shared" si="11"/>
        <v>982948</v>
      </c>
      <c r="L75" s="4">
        <f t="shared" si="13"/>
        <v>982948</v>
      </c>
      <c r="M75" s="4">
        <f t="shared" si="14"/>
        <v>117052</v>
      </c>
      <c r="N75" s="4"/>
      <c r="O75" s="4">
        <f t="shared" si="15"/>
        <v>0</v>
      </c>
      <c r="P75" s="4">
        <f t="shared" si="16"/>
        <v>117052</v>
      </c>
      <c r="Q75" s="4"/>
      <c r="R75" s="4"/>
      <c r="S75" s="4">
        <f t="shared" si="17"/>
        <v>0</v>
      </c>
      <c r="T75" s="4">
        <f t="shared" si="18"/>
        <v>0</v>
      </c>
      <c r="U75" s="4">
        <f t="shared" si="19"/>
        <v>0</v>
      </c>
      <c r="V75" s="4">
        <f t="shared" si="20"/>
        <v>0</v>
      </c>
      <c r="W75" s="4"/>
      <c r="X75" s="4"/>
      <c r="Y75" s="4"/>
      <c r="Z75" s="3"/>
      <c r="AA75" s="3" t="s">
        <v>671</v>
      </c>
      <c r="AB75" s="3">
        <v>742000</v>
      </c>
      <c r="AC75" s="21"/>
      <c r="AD75" s="60"/>
    </row>
    <row r="76" spans="1:32" s="5" customFormat="1" ht="28">
      <c r="A76" s="3">
        <f t="shared" si="21"/>
        <v>71</v>
      </c>
      <c r="B76" s="3">
        <v>2009</v>
      </c>
      <c r="C76" s="3" t="s">
        <v>527</v>
      </c>
      <c r="D76" s="4">
        <v>9000000</v>
      </c>
      <c r="E76" s="4">
        <v>9000000</v>
      </c>
      <c r="F76" s="4">
        <f t="shared" si="12"/>
        <v>0</v>
      </c>
      <c r="G76" s="4">
        <v>0</v>
      </c>
      <c r="H76" s="4">
        <v>0</v>
      </c>
      <c r="I76" s="4"/>
      <c r="J76" s="4"/>
      <c r="K76" s="4">
        <f t="shared" si="11"/>
        <v>0</v>
      </c>
      <c r="L76" s="4">
        <f t="shared" si="13"/>
        <v>0</v>
      </c>
      <c r="M76" s="4">
        <f t="shared" si="14"/>
        <v>0</v>
      </c>
      <c r="N76" s="4">
        <f>500000+500000</f>
        <v>1000000</v>
      </c>
      <c r="O76" s="4">
        <f t="shared" si="15"/>
        <v>8000000</v>
      </c>
      <c r="P76" s="4">
        <f t="shared" si="16"/>
        <v>0</v>
      </c>
      <c r="Q76" s="4"/>
      <c r="R76" s="4"/>
      <c r="S76" s="4">
        <f t="shared" si="17"/>
        <v>0</v>
      </c>
      <c r="T76" s="4">
        <f t="shared" si="18"/>
        <v>0</v>
      </c>
      <c r="U76" s="4">
        <f t="shared" si="19"/>
        <v>1000000</v>
      </c>
      <c r="V76" s="4">
        <f t="shared" si="20"/>
        <v>1000000</v>
      </c>
      <c r="W76" s="4"/>
      <c r="X76" s="4"/>
      <c r="Y76" s="4"/>
      <c r="Z76" s="3"/>
      <c r="AA76" s="3" t="s">
        <v>1110</v>
      </c>
      <c r="AB76" s="3">
        <v>742000</v>
      </c>
      <c r="AC76" s="21"/>
      <c r="AD76" s="60"/>
    </row>
    <row r="77" spans="1:32" s="5" customFormat="1" ht="28">
      <c r="A77" s="3">
        <f t="shared" si="21"/>
        <v>72</v>
      </c>
      <c r="B77" s="3">
        <v>2010</v>
      </c>
      <c r="C77" s="3" t="s">
        <v>673</v>
      </c>
      <c r="D77" s="4">
        <v>8000000</v>
      </c>
      <c r="E77" s="4">
        <v>8000000</v>
      </c>
      <c r="F77" s="4">
        <f t="shared" si="12"/>
        <v>0</v>
      </c>
      <c r="G77" s="4">
        <v>500000</v>
      </c>
      <c r="H77" s="4">
        <v>0</v>
      </c>
      <c r="I77" s="4"/>
      <c r="J77" s="4"/>
      <c r="K77" s="4">
        <f t="shared" si="11"/>
        <v>0</v>
      </c>
      <c r="L77" s="4">
        <f t="shared" si="13"/>
        <v>0</v>
      </c>
      <c r="M77" s="4">
        <f>P77+S77-500000</f>
        <v>0</v>
      </c>
      <c r="N77" s="4">
        <v>960000</v>
      </c>
      <c r="O77" s="4">
        <f t="shared" si="15"/>
        <v>7040000</v>
      </c>
      <c r="P77" s="4">
        <f t="shared" si="16"/>
        <v>500000</v>
      </c>
      <c r="Q77" s="4"/>
      <c r="R77" s="4"/>
      <c r="S77" s="4">
        <f t="shared" si="17"/>
        <v>0</v>
      </c>
      <c r="T77" s="4">
        <f t="shared" si="18"/>
        <v>500000</v>
      </c>
      <c r="U77" s="4">
        <f t="shared" si="19"/>
        <v>460000</v>
      </c>
      <c r="V77" s="4">
        <f t="shared" si="20"/>
        <v>460000</v>
      </c>
      <c r="W77" s="4"/>
      <c r="X77" s="4"/>
      <c r="Y77" s="4"/>
      <c r="Z77" s="3"/>
      <c r="AA77" s="3" t="s">
        <v>1295</v>
      </c>
      <c r="AB77" s="3">
        <v>742000</v>
      </c>
      <c r="AC77" s="21"/>
      <c r="AD77" s="60"/>
      <c r="AE77" s="6"/>
      <c r="AF77" s="6"/>
    </row>
    <row r="78" spans="1:32" s="5" customFormat="1" ht="30" customHeight="1">
      <c r="A78" s="3">
        <f t="shared" si="21"/>
        <v>73</v>
      </c>
      <c r="B78" s="3">
        <v>2011</v>
      </c>
      <c r="C78" s="3" t="s">
        <v>529</v>
      </c>
      <c r="D78" s="4">
        <v>80000000</v>
      </c>
      <c r="E78" s="4">
        <v>80000000</v>
      </c>
      <c r="F78" s="4">
        <f t="shared" si="12"/>
        <v>0</v>
      </c>
      <c r="G78" s="4">
        <v>0</v>
      </c>
      <c r="H78" s="4">
        <v>0</v>
      </c>
      <c r="I78" s="4"/>
      <c r="J78" s="4"/>
      <c r="K78" s="4">
        <f t="shared" si="11"/>
        <v>0</v>
      </c>
      <c r="L78" s="4">
        <f t="shared" si="13"/>
        <v>0</v>
      </c>
      <c r="M78" s="4">
        <f>P78+S78</f>
        <v>0</v>
      </c>
      <c r="N78" s="4">
        <v>2000000</v>
      </c>
      <c r="O78" s="4">
        <f t="shared" si="15"/>
        <v>78000000</v>
      </c>
      <c r="P78" s="4">
        <f t="shared" si="16"/>
        <v>0</v>
      </c>
      <c r="Q78" s="4"/>
      <c r="R78" s="4"/>
      <c r="S78" s="4">
        <f t="shared" si="17"/>
        <v>0</v>
      </c>
      <c r="T78" s="4">
        <f t="shared" si="18"/>
        <v>0</v>
      </c>
      <c r="U78" s="4">
        <f t="shared" si="19"/>
        <v>2000000</v>
      </c>
      <c r="V78" s="4">
        <f t="shared" si="20"/>
        <v>2000000</v>
      </c>
      <c r="W78" s="4"/>
      <c r="X78" s="4"/>
      <c r="Y78" s="4"/>
      <c r="Z78" s="3"/>
      <c r="AA78" s="3" t="s">
        <v>1499</v>
      </c>
      <c r="AB78" s="3">
        <v>742000</v>
      </c>
      <c r="AC78" s="21"/>
      <c r="AD78" s="60"/>
    </row>
    <row r="79" spans="1:32" s="5" customFormat="1" ht="28">
      <c r="A79" s="3">
        <f t="shared" si="21"/>
        <v>74</v>
      </c>
      <c r="B79" s="3">
        <v>2012</v>
      </c>
      <c r="C79" s="3" t="s">
        <v>530</v>
      </c>
      <c r="D79" s="4">
        <v>5000000</v>
      </c>
      <c r="E79" s="4">
        <v>5000000</v>
      </c>
      <c r="F79" s="4">
        <f t="shared" si="12"/>
        <v>0</v>
      </c>
      <c r="G79" s="4">
        <v>0</v>
      </c>
      <c r="H79" s="4">
        <v>0</v>
      </c>
      <c r="I79" s="4"/>
      <c r="J79" s="4"/>
      <c r="K79" s="4">
        <f t="shared" si="11"/>
        <v>0</v>
      </c>
      <c r="L79" s="4">
        <f t="shared" si="13"/>
        <v>0</v>
      </c>
      <c r="M79" s="4">
        <f>P79+S79-200000</f>
        <v>0</v>
      </c>
      <c r="N79" s="4">
        <f>1000000-800000</f>
        <v>200000</v>
      </c>
      <c r="O79" s="4">
        <f t="shared" si="15"/>
        <v>4800000</v>
      </c>
      <c r="P79" s="4">
        <f t="shared" si="16"/>
        <v>0</v>
      </c>
      <c r="Q79" s="4">
        <v>200000</v>
      </c>
      <c r="R79" s="4"/>
      <c r="S79" s="4">
        <f t="shared" si="17"/>
        <v>200000</v>
      </c>
      <c r="T79" s="4">
        <f t="shared" si="18"/>
        <v>200000</v>
      </c>
      <c r="U79" s="4">
        <f t="shared" si="19"/>
        <v>0</v>
      </c>
      <c r="V79" s="4">
        <f t="shared" si="20"/>
        <v>0</v>
      </c>
      <c r="W79" s="4"/>
      <c r="X79" s="4"/>
      <c r="Y79" s="4"/>
      <c r="Z79" s="3"/>
      <c r="AA79" s="3" t="s">
        <v>1296</v>
      </c>
      <c r="AB79" s="3">
        <v>742000</v>
      </c>
      <c r="AC79" s="21"/>
      <c r="AD79" s="60"/>
    </row>
    <row r="80" spans="1:32" s="5" customFormat="1" ht="28">
      <c r="A80" s="3">
        <f t="shared" si="21"/>
        <v>75</v>
      </c>
      <c r="B80" s="3">
        <v>2013</v>
      </c>
      <c r="C80" s="3" t="s">
        <v>674</v>
      </c>
      <c r="D80" s="4">
        <v>1250000</v>
      </c>
      <c r="E80" s="4">
        <v>1250000</v>
      </c>
      <c r="F80" s="4">
        <f t="shared" si="12"/>
        <v>0</v>
      </c>
      <c r="G80" s="4">
        <v>100000</v>
      </c>
      <c r="H80" s="4">
        <v>0</v>
      </c>
      <c r="I80" s="4"/>
      <c r="J80" s="4">
        <v>21060</v>
      </c>
      <c r="K80" s="4">
        <f t="shared" si="11"/>
        <v>21060</v>
      </c>
      <c r="L80" s="4">
        <f t="shared" si="13"/>
        <v>21060</v>
      </c>
      <c r="M80" s="4">
        <f>P80+S80</f>
        <v>78940</v>
      </c>
      <c r="N80" s="4">
        <v>250000</v>
      </c>
      <c r="O80" s="4">
        <f t="shared" si="15"/>
        <v>900000</v>
      </c>
      <c r="P80" s="4">
        <f t="shared" si="16"/>
        <v>78940</v>
      </c>
      <c r="Q80" s="4"/>
      <c r="R80" s="4"/>
      <c r="S80" s="4">
        <f t="shared" si="17"/>
        <v>0</v>
      </c>
      <c r="T80" s="4">
        <f t="shared" si="18"/>
        <v>0</v>
      </c>
      <c r="U80" s="4">
        <f t="shared" si="19"/>
        <v>250000</v>
      </c>
      <c r="V80" s="4">
        <f t="shared" si="20"/>
        <v>250000</v>
      </c>
      <c r="W80" s="4"/>
      <c r="X80" s="4"/>
      <c r="Y80" s="4"/>
      <c r="Z80" s="3"/>
      <c r="AA80" s="3" t="s">
        <v>1297</v>
      </c>
      <c r="AB80" s="3">
        <v>732000</v>
      </c>
      <c r="AC80" s="21"/>
      <c r="AD80" s="60"/>
    </row>
    <row r="81" spans="1:32" s="5" customFormat="1" ht="28">
      <c r="A81" s="3">
        <f t="shared" si="21"/>
        <v>76</v>
      </c>
      <c r="B81" s="3">
        <v>2014</v>
      </c>
      <c r="C81" s="3" t="s">
        <v>676</v>
      </c>
      <c r="D81" s="4">
        <v>750000</v>
      </c>
      <c r="E81" s="4">
        <v>100000</v>
      </c>
      <c r="F81" s="4">
        <f t="shared" si="12"/>
        <v>650000</v>
      </c>
      <c r="G81" s="4">
        <v>100000</v>
      </c>
      <c r="H81" s="4">
        <v>0</v>
      </c>
      <c r="I81" s="4"/>
      <c r="J81" s="4"/>
      <c r="K81" s="4">
        <f t="shared" si="11"/>
        <v>0</v>
      </c>
      <c r="L81" s="4">
        <f t="shared" si="13"/>
        <v>0</v>
      </c>
      <c r="M81" s="4">
        <f>P81+S81</f>
        <v>100000</v>
      </c>
      <c r="N81" s="4">
        <v>300000</v>
      </c>
      <c r="O81" s="4">
        <f t="shared" si="15"/>
        <v>350000</v>
      </c>
      <c r="P81" s="4">
        <f t="shared" si="16"/>
        <v>100000</v>
      </c>
      <c r="Q81" s="4"/>
      <c r="R81" s="4"/>
      <c r="S81" s="4">
        <f t="shared" si="17"/>
        <v>0</v>
      </c>
      <c r="T81" s="4">
        <f t="shared" si="18"/>
        <v>0</v>
      </c>
      <c r="U81" s="4">
        <f t="shared" si="19"/>
        <v>300000</v>
      </c>
      <c r="V81" s="4">
        <f t="shared" si="20"/>
        <v>300000</v>
      </c>
      <c r="W81" s="4"/>
      <c r="X81" s="4"/>
      <c r="Y81" s="4"/>
      <c r="Z81" s="3"/>
      <c r="AA81" s="3" t="s">
        <v>677</v>
      </c>
      <c r="AB81" s="3">
        <v>732000</v>
      </c>
      <c r="AC81" s="21"/>
      <c r="AD81" s="60"/>
    </row>
    <row r="82" spans="1:32" s="6" customFormat="1" ht="28">
      <c r="A82" s="3">
        <f t="shared" si="21"/>
        <v>77</v>
      </c>
      <c r="B82" s="42">
        <v>2077</v>
      </c>
      <c r="C82" s="3" t="s">
        <v>679</v>
      </c>
      <c r="D82" s="4">
        <v>4000000</v>
      </c>
      <c r="E82" s="4">
        <v>4000000</v>
      </c>
      <c r="F82" s="4">
        <f t="shared" si="12"/>
        <v>0</v>
      </c>
      <c r="G82" s="4"/>
      <c r="H82" s="4"/>
      <c r="I82" s="4"/>
      <c r="J82" s="4"/>
      <c r="K82" s="4">
        <f t="shared" si="11"/>
        <v>0</v>
      </c>
      <c r="L82" s="4">
        <f t="shared" si="13"/>
        <v>0</v>
      </c>
      <c r="M82" s="4">
        <f>P82+S82</f>
        <v>0</v>
      </c>
      <c r="N82" s="4">
        <f>3000000-3000000</f>
        <v>0</v>
      </c>
      <c r="O82" s="4">
        <f t="shared" si="15"/>
        <v>4000000</v>
      </c>
      <c r="P82" s="4">
        <f t="shared" si="16"/>
        <v>0</v>
      </c>
      <c r="Q82" s="4"/>
      <c r="R82" s="4"/>
      <c r="S82" s="4">
        <f t="shared" si="17"/>
        <v>0</v>
      </c>
      <c r="T82" s="4">
        <f t="shared" si="18"/>
        <v>0</v>
      </c>
      <c r="U82" s="4">
        <f t="shared" si="19"/>
        <v>0</v>
      </c>
      <c r="V82" s="4">
        <f t="shared" si="20"/>
        <v>0</v>
      </c>
      <c r="W82" s="4"/>
      <c r="X82" s="4"/>
      <c r="Y82" s="4"/>
      <c r="Z82" s="3"/>
      <c r="AA82" s="410" t="s">
        <v>680</v>
      </c>
      <c r="AB82" s="3">
        <v>742000</v>
      </c>
      <c r="AC82" s="21"/>
      <c r="AD82" s="60"/>
      <c r="AE82" s="5"/>
      <c r="AF82" s="5"/>
    </row>
    <row r="83" spans="1:32" s="5" customFormat="1" ht="28">
      <c r="A83" s="3">
        <f t="shared" si="21"/>
        <v>78</v>
      </c>
      <c r="B83" s="3">
        <v>2078</v>
      </c>
      <c r="C83" s="3" t="s">
        <v>681</v>
      </c>
      <c r="D83" s="4">
        <v>2260000</v>
      </c>
      <c r="E83" s="4">
        <v>2260000</v>
      </c>
      <c r="F83" s="4">
        <f t="shared" si="12"/>
        <v>0</v>
      </c>
      <c r="G83" s="4">
        <v>150000</v>
      </c>
      <c r="H83" s="4"/>
      <c r="I83" s="4"/>
      <c r="J83" s="4"/>
      <c r="K83" s="4">
        <f>SUM(I83:J83)</f>
        <v>0</v>
      </c>
      <c r="L83" s="4">
        <f t="shared" si="13"/>
        <v>0</v>
      </c>
      <c r="M83" s="4">
        <f>P83+S83</f>
        <v>150000</v>
      </c>
      <c r="N83" s="4">
        <v>300000</v>
      </c>
      <c r="O83" s="4">
        <f t="shared" si="15"/>
        <v>1810000</v>
      </c>
      <c r="P83" s="4">
        <f t="shared" si="16"/>
        <v>150000</v>
      </c>
      <c r="Q83" s="4"/>
      <c r="R83" s="4"/>
      <c r="S83" s="4"/>
      <c r="T83" s="4"/>
      <c r="U83" s="4">
        <f t="shared" si="19"/>
        <v>300000</v>
      </c>
      <c r="V83" s="4">
        <f t="shared" si="20"/>
        <v>300000</v>
      </c>
      <c r="W83" s="4"/>
      <c r="X83" s="4"/>
      <c r="Y83" s="4"/>
      <c r="Z83" s="3"/>
      <c r="AA83" s="3" t="s">
        <v>1298</v>
      </c>
      <c r="AB83" s="3">
        <v>742000</v>
      </c>
      <c r="AC83" s="21"/>
      <c r="AD83" s="60"/>
    </row>
    <row r="84" spans="1:32" s="5" customFormat="1" ht="42">
      <c r="A84" s="3">
        <f t="shared" si="21"/>
        <v>79</v>
      </c>
      <c r="B84" s="42">
        <v>2104</v>
      </c>
      <c r="C84" s="3" t="s">
        <v>683</v>
      </c>
      <c r="D84" s="4">
        <v>18500000</v>
      </c>
      <c r="E84" s="4"/>
      <c r="F84" s="4">
        <f t="shared" si="12"/>
        <v>18500000</v>
      </c>
      <c r="G84" s="4"/>
      <c r="H84" s="4"/>
      <c r="I84" s="4"/>
      <c r="J84" s="4"/>
      <c r="K84" s="4">
        <f t="shared" ref="K84:K94" si="22">SUM(I84:J84)</f>
        <v>0</v>
      </c>
      <c r="L84" s="4">
        <f t="shared" si="13"/>
        <v>0</v>
      </c>
      <c r="M84" s="4">
        <f t="shared" ref="M84:M94" si="23">P84+S84</f>
        <v>0</v>
      </c>
      <c r="N84" s="4">
        <v>7500000</v>
      </c>
      <c r="O84" s="4">
        <f t="shared" si="15"/>
        <v>11000000</v>
      </c>
      <c r="P84" s="4">
        <f t="shared" si="16"/>
        <v>0</v>
      </c>
      <c r="Q84" s="4"/>
      <c r="R84" s="4"/>
      <c r="S84" s="4">
        <f t="shared" ref="S84:S102" si="24">SUM(Q84:R84)</f>
        <v>0</v>
      </c>
      <c r="T84" s="4">
        <f t="shared" ref="T84:T102" si="25">P84-M84+S84</f>
        <v>0</v>
      </c>
      <c r="U84" s="4">
        <f t="shared" si="19"/>
        <v>7500000</v>
      </c>
      <c r="V84" s="4">
        <f t="shared" si="20"/>
        <v>7500000</v>
      </c>
      <c r="W84" s="4"/>
      <c r="X84" s="4"/>
      <c r="Y84" s="4"/>
      <c r="Z84" s="3"/>
      <c r="AA84" s="3" t="s">
        <v>1492</v>
      </c>
      <c r="AB84" s="3">
        <v>742000</v>
      </c>
      <c r="AC84" s="21"/>
      <c r="AD84" s="60"/>
    </row>
    <row r="85" spans="1:32" s="5" customFormat="1" ht="28">
      <c r="A85" s="3">
        <f t="shared" si="21"/>
        <v>80</v>
      </c>
      <c r="B85" s="42">
        <v>2105</v>
      </c>
      <c r="C85" s="3" t="s">
        <v>1237</v>
      </c>
      <c r="D85" s="4">
        <v>60000000</v>
      </c>
      <c r="E85" s="4"/>
      <c r="F85" s="4">
        <f t="shared" si="12"/>
        <v>60000000</v>
      </c>
      <c r="G85" s="4"/>
      <c r="H85" s="4"/>
      <c r="I85" s="4"/>
      <c r="J85" s="4"/>
      <c r="K85" s="4">
        <f t="shared" si="22"/>
        <v>0</v>
      </c>
      <c r="L85" s="4">
        <f t="shared" si="13"/>
        <v>0</v>
      </c>
      <c r="M85" s="4">
        <f t="shared" si="23"/>
        <v>0</v>
      </c>
      <c r="N85" s="4">
        <v>1000000</v>
      </c>
      <c r="O85" s="4">
        <f t="shared" si="15"/>
        <v>59000000</v>
      </c>
      <c r="P85" s="4">
        <f t="shared" si="16"/>
        <v>0</v>
      </c>
      <c r="Q85" s="4"/>
      <c r="R85" s="4"/>
      <c r="S85" s="4">
        <f t="shared" si="24"/>
        <v>0</v>
      </c>
      <c r="T85" s="4">
        <f t="shared" si="25"/>
        <v>0</v>
      </c>
      <c r="U85" s="4">
        <f t="shared" si="19"/>
        <v>1000000</v>
      </c>
      <c r="V85" s="4">
        <f t="shared" si="20"/>
        <v>1000000</v>
      </c>
      <c r="W85" s="4"/>
      <c r="X85" s="4"/>
      <c r="Y85" s="4"/>
      <c r="Z85" s="3"/>
      <c r="AA85" s="3" t="s">
        <v>1279</v>
      </c>
      <c r="AB85" s="3">
        <v>742000</v>
      </c>
      <c r="AC85" s="21"/>
      <c r="AD85" s="60"/>
    </row>
    <row r="86" spans="1:32" s="6" customFormat="1" ht="42">
      <c r="A86" s="3">
        <f t="shared" si="21"/>
        <v>81</v>
      </c>
      <c r="B86" s="42">
        <v>2106</v>
      </c>
      <c r="C86" s="3" t="s">
        <v>1486</v>
      </c>
      <c r="D86" s="4">
        <v>15000000</v>
      </c>
      <c r="E86" s="4"/>
      <c r="F86" s="4">
        <f t="shared" si="12"/>
        <v>15000000</v>
      </c>
      <c r="G86" s="4"/>
      <c r="H86" s="4"/>
      <c r="I86" s="4"/>
      <c r="J86" s="4"/>
      <c r="K86" s="4">
        <f t="shared" si="22"/>
        <v>0</v>
      </c>
      <c r="L86" s="4">
        <f t="shared" si="13"/>
        <v>0</v>
      </c>
      <c r="M86" s="4">
        <f t="shared" si="23"/>
        <v>0</v>
      </c>
      <c r="N86" s="4">
        <f>2500000-2000000</f>
        <v>500000</v>
      </c>
      <c r="O86" s="4">
        <f t="shared" si="15"/>
        <v>14500000</v>
      </c>
      <c r="P86" s="4">
        <f t="shared" si="16"/>
        <v>0</v>
      </c>
      <c r="Q86" s="4"/>
      <c r="R86" s="4"/>
      <c r="S86" s="4">
        <f t="shared" si="24"/>
        <v>0</v>
      </c>
      <c r="T86" s="4">
        <f t="shared" si="25"/>
        <v>0</v>
      </c>
      <c r="U86" s="4">
        <f t="shared" si="19"/>
        <v>500000</v>
      </c>
      <c r="V86" s="4">
        <f t="shared" si="20"/>
        <v>500000</v>
      </c>
      <c r="W86" s="4"/>
      <c r="X86" s="4"/>
      <c r="Y86" s="4"/>
      <c r="Z86" s="3"/>
      <c r="AA86" s="3" t="s">
        <v>1245</v>
      </c>
      <c r="AB86" s="3">
        <v>742000</v>
      </c>
      <c r="AC86" s="21"/>
      <c r="AD86" s="60"/>
    </row>
    <row r="87" spans="1:32" s="6" customFormat="1" ht="28">
      <c r="A87" s="3">
        <f t="shared" si="21"/>
        <v>82</v>
      </c>
      <c r="B87" s="42">
        <v>2107</v>
      </c>
      <c r="C87" s="3" t="s">
        <v>685</v>
      </c>
      <c r="D87" s="4">
        <v>340000</v>
      </c>
      <c r="E87" s="4"/>
      <c r="F87" s="4">
        <f t="shared" si="12"/>
        <v>340000</v>
      </c>
      <c r="G87" s="4"/>
      <c r="H87" s="4"/>
      <c r="I87" s="4"/>
      <c r="J87" s="4"/>
      <c r="K87" s="4">
        <f t="shared" si="22"/>
        <v>0</v>
      </c>
      <c r="L87" s="4">
        <f t="shared" si="13"/>
        <v>0</v>
      </c>
      <c r="M87" s="4">
        <f t="shared" si="23"/>
        <v>0</v>
      </c>
      <c r="N87" s="4">
        <v>340000</v>
      </c>
      <c r="O87" s="4">
        <f t="shared" si="15"/>
        <v>0</v>
      </c>
      <c r="P87" s="4">
        <f t="shared" si="16"/>
        <v>0</v>
      </c>
      <c r="Q87" s="4"/>
      <c r="R87" s="4"/>
      <c r="S87" s="4">
        <f t="shared" si="24"/>
        <v>0</v>
      </c>
      <c r="T87" s="4">
        <f t="shared" si="25"/>
        <v>0</v>
      </c>
      <c r="U87" s="4">
        <f t="shared" si="19"/>
        <v>340000</v>
      </c>
      <c r="V87" s="4">
        <f t="shared" si="20"/>
        <v>340000</v>
      </c>
      <c r="W87" s="4"/>
      <c r="X87" s="4"/>
      <c r="Y87" s="4"/>
      <c r="Z87" s="3"/>
      <c r="AA87" s="3" t="s">
        <v>1491</v>
      </c>
      <c r="AB87" s="3">
        <v>742000</v>
      </c>
      <c r="AC87" s="21"/>
      <c r="AD87" s="60"/>
      <c r="AE87" s="5"/>
      <c r="AF87" s="5"/>
    </row>
    <row r="88" spans="1:32" s="6" customFormat="1" ht="28">
      <c r="A88" s="3">
        <f t="shared" si="21"/>
        <v>83</v>
      </c>
      <c r="B88" s="42">
        <v>2108</v>
      </c>
      <c r="C88" s="3" t="s">
        <v>686</v>
      </c>
      <c r="D88" s="4">
        <f>3300000+3200000+2700000+4900000</f>
        <v>14100000</v>
      </c>
      <c r="E88" s="4"/>
      <c r="F88" s="4">
        <f t="shared" si="12"/>
        <v>14100000</v>
      </c>
      <c r="G88" s="4"/>
      <c r="H88" s="4"/>
      <c r="I88" s="4"/>
      <c r="J88" s="4"/>
      <c r="K88" s="4">
        <f t="shared" si="22"/>
        <v>0</v>
      </c>
      <c r="L88" s="4">
        <f t="shared" si="13"/>
        <v>0</v>
      </c>
      <c r="M88" s="4">
        <f t="shared" si="23"/>
        <v>0</v>
      </c>
      <c r="N88" s="4">
        <v>1200000</v>
      </c>
      <c r="O88" s="4">
        <f t="shared" si="15"/>
        <v>12900000</v>
      </c>
      <c r="P88" s="4">
        <f t="shared" si="16"/>
        <v>0</v>
      </c>
      <c r="Q88" s="4"/>
      <c r="R88" s="4"/>
      <c r="S88" s="4">
        <f t="shared" si="24"/>
        <v>0</v>
      </c>
      <c r="T88" s="4">
        <f t="shared" si="25"/>
        <v>0</v>
      </c>
      <c r="U88" s="4">
        <f t="shared" si="19"/>
        <v>1200000</v>
      </c>
      <c r="V88" s="4">
        <f t="shared" si="20"/>
        <v>1200000</v>
      </c>
      <c r="W88" s="4"/>
      <c r="X88" s="4"/>
      <c r="Y88" s="4"/>
      <c r="Z88" s="3"/>
      <c r="AA88" s="410" t="s">
        <v>1299</v>
      </c>
      <c r="AB88" s="3">
        <v>746000</v>
      </c>
      <c r="AC88" s="21"/>
      <c r="AD88" s="60"/>
      <c r="AE88" s="5"/>
      <c r="AF88" s="5"/>
    </row>
    <row r="89" spans="1:32" s="5" customFormat="1" ht="30" customHeight="1">
      <c r="A89" s="3">
        <f t="shared" si="21"/>
        <v>84</v>
      </c>
      <c r="B89" s="42">
        <v>2109</v>
      </c>
      <c r="C89" s="3" t="s">
        <v>687</v>
      </c>
      <c r="D89" s="4">
        <v>2000000</v>
      </c>
      <c r="E89" s="4"/>
      <c r="F89" s="4">
        <f t="shared" si="12"/>
        <v>2000000</v>
      </c>
      <c r="G89" s="4"/>
      <c r="H89" s="4"/>
      <c r="I89" s="4"/>
      <c r="J89" s="4"/>
      <c r="K89" s="4">
        <f t="shared" si="22"/>
        <v>0</v>
      </c>
      <c r="L89" s="4">
        <f t="shared" si="13"/>
        <v>0</v>
      </c>
      <c r="M89" s="4">
        <f t="shared" si="23"/>
        <v>0</v>
      </c>
      <c r="N89" s="4">
        <v>500000</v>
      </c>
      <c r="O89" s="4">
        <f t="shared" si="15"/>
        <v>1500000</v>
      </c>
      <c r="P89" s="4">
        <f t="shared" si="16"/>
        <v>0</v>
      </c>
      <c r="Q89" s="4"/>
      <c r="R89" s="4"/>
      <c r="S89" s="4">
        <f t="shared" si="24"/>
        <v>0</v>
      </c>
      <c r="T89" s="4">
        <f t="shared" si="25"/>
        <v>0</v>
      </c>
      <c r="U89" s="4">
        <f t="shared" si="19"/>
        <v>500000</v>
      </c>
      <c r="V89" s="4">
        <f t="shared" si="20"/>
        <v>500000</v>
      </c>
      <c r="W89" s="4"/>
      <c r="X89" s="4"/>
      <c r="Y89" s="4"/>
      <c r="Z89" s="3"/>
      <c r="AA89" s="408" t="s">
        <v>1500</v>
      </c>
      <c r="AB89" s="3">
        <v>742000</v>
      </c>
      <c r="AC89" s="21"/>
      <c r="AD89" s="60"/>
    </row>
    <row r="90" spans="1:32" s="5" customFormat="1" ht="30" customHeight="1">
      <c r="A90" s="3">
        <f t="shared" si="21"/>
        <v>85</v>
      </c>
      <c r="B90" s="42">
        <v>2110</v>
      </c>
      <c r="C90" s="3" t="s">
        <v>688</v>
      </c>
      <c r="D90" s="4">
        <v>16000000</v>
      </c>
      <c r="E90" s="4"/>
      <c r="F90" s="4">
        <f t="shared" si="12"/>
        <v>16000000</v>
      </c>
      <c r="G90" s="4"/>
      <c r="H90" s="4"/>
      <c r="I90" s="4"/>
      <c r="J90" s="4"/>
      <c r="K90" s="4">
        <f t="shared" si="22"/>
        <v>0</v>
      </c>
      <c r="L90" s="4">
        <f t="shared" si="13"/>
        <v>0</v>
      </c>
      <c r="M90" s="4">
        <f t="shared" si="23"/>
        <v>0</v>
      </c>
      <c r="N90" s="4">
        <f>1200000-700000</f>
        <v>500000</v>
      </c>
      <c r="O90" s="4">
        <f t="shared" si="15"/>
        <v>15500000</v>
      </c>
      <c r="P90" s="4">
        <f t="shared" si="16"/>
        <v>0</v>
      </c>
      <c r="Q90" s="4"/>
      <c r="R90" s="4"/>
      <c r="S90" s="4">
        <f t="shared" si="24"/>
        <v>0</v>
      </c>
      <c r="T90" s="4">
        <f t="shared" si="25"/>
        <v>0</v>
      </c>
      <c r="U90" s="4">
        <f t="shared" si="19"/>
        <v>500000</v>
      </c>
      <c r="V90" s="4">
        <f t="shared" si="20"/>
        <v>500000</v>
      </c>
      <c r="W90" s="4"/>
      <c r="X90" s="4"/>
      <c r="Y90" s="4"/>
      <c r="Z90" s="3"/>
      <c r="AA90" s="408" t="s">
        <v>1501</v>
      </c>
      <c r="AB90" s="3">
        <v>742000</v>
      </c>
      <c r="AC90" s="21"/>
      <c r="AD90" s="60"/>
    </row>
    <row r="91" spans="1:32" s="5" customFormat="1" ht="28">
      <c r="A91" s="3">
        <f t="shared" si="21"/>
        <v>86</v>
      </c>
      <c r="B91" s="42">
        <v>2111</v>
      </c>
      <c r="C91" s="3" t="s">
        <v>689</v>
      </c>
      <c r="D91" s="4">
        <v>10240000</v>
      </c>
      <c r="E91" s="4"/>
      <c r="F91" s="4">
        <f t="shared" si="12"/>
        <v>10240000</v>
      </c>
      <c r="G91" s="4"/>
      <c r="H91" s="4"/>
      <c r="I91" s="4"/>
      <c r="J91" s="4"/>
      <c r="K91" s="4">
        <f t="shared" si="22"/>
        <v>0</v>
      </c>
      <c r="L91" s="4">
        <f t="shared" si="13"/>
        <v>0</v>
      </c>
      <c r="M91" s="4">
        <f t="shared" si="23"/>
        <v>0</v>
      </c>
      <c r="N91" s="4">
        <f>1000000-500000</f>
        <v>500000</v>
      </c>
      <c r="O91" s="4">
        <f t="shared" si="15"/>
        <v>9740000</v>
      </c>
      <c r="P91" s="4">
        <f t="shared" si="16"/>
        <v>0</v>
      </c>
      <c r="Q91" s="4"/>
      <c r="R91" s="4"/>
      <c r="S91" s="4">
        <f t="shared" si="24"/>
        <v>0</v>
      </c>
      <c r="T91" s="4">
        <f t="shared" si="25"/>
        <v>0</v>
      </c>
      <c r="U91" s="4">
        <f t="shared" si="19"/>
        <v>500000</v>
      </c>
      <c r="V91" s="4">
        <f t="shared" si="20"/>
        <v>500000</v>
      </c>
      <c r="W91" s="4"/>
      <c r="X91" s="4"/>
      <c r="Y91" s="4"/>
      <c r="Z91" s="3"/>
      <c r="AA91" s="410" t="s">
        <v>1502</v>
      </c>
      <c r="AB91" s="3">
        <v>742000</v>
      </c>
      <c r="AC91" s="21"/>
      <c r="AD91" s="60"/>
    </row>
    <row r="92" spans="1:32" s="5" customFormat="1" ht="28">
      <c r="A92" s="3">
        <f t="shared" si="21"/>
        <v>87</v>
      </c>
      <c r="B92" s="42">
        <v>2112</v>
      </c>
      <c r="C92" s="3" t="s">
        <v>1494</v>
      </c>
      <c r="D92" s="4">
        <v>7650000</v>
      </c>
      <c r="E92" s="4"/>
      <c r="F92" s="4">
        <f t="shared" si="12"/>
        <v>7650000</v>
      </c>
      <c r="G92" s="4"/>
      <c r="H92" s="4"/>
      <c r="I92" s="4"/>
      <c r="J92" s="4"/>
      <c r="K92" s="4">
        <f t="shared" si="22"/>
        <v>0</v>
      </c>
      <c r="L92" s="4">
        <f t="shared" si="13"/>
        <v>0</v>
      </c>
      <c r="M92" s="4">
        <f t="shared" si="23"/>
        <v>0</v>
      </c>
      <c r="N92" s="4">
        <f>3160000-3000000</f>
        <v>160000</v>
      </c>
      <c r="O92" s="4">
        <f t="shared" si="15"/>
        <v>7490000</v>
      </c>
      <c r="P92" s="4">
        <f t="shared" si="16"/>
        <v>0</v>
      </c>
      <c r="Q92" s="4"/>
      <c r="R92" s="4"/>
      <c r="S92" s="4">
        <f t="shared" si="24"/>
        <v>0</v>
      </c>
      <c r="T92" s="4">
        <f t="shared" si="25"/>
        <v>0</v>
      </c>
      <c r="U92" s="4">
        <f t="shared" si="19"/>
        <v>160000</v>
      </c>
      <c r="V92" s="4">
        <f t="shared" si="20"/>
        <v>160000</v>
      </c>
      <c r="W92" s="4"/>
      <c r="X92" s="4"/>
      <c r="Y92" s="4"/>
      <c r="Z92" s="3"/>
      <c r="AA92" s="410" t="s">
        <v>1493</v>
      </c>
      <c r="AB92" s="3">
        <v>732000</v>
      </c>
      <c r="AC92" s="21"/>
      <c r="AD92" s="60"/>
    </row>
    <row r="93" spans="1:32" s="5" customFormat="1" ht="42">
      <c r="A93" s="3">
        <f t="shared" si="21"/>
        <v>88</v>
      </c>
      <c r="B93" s="42">
        <v>2113</v>
      </c>
      <c r="C93" s="3" t="s">
        <v>691</v>
      </c>
      <c r="D93" s="4">
        <v>2550000</v>
      </c>
      <c r="E93" s="4"/>
      <c r="F93" s="4">
        <f t="shared" si="12"/>
        <v>2550000</v>
      </c>
      <c r="G93" s="4"/>
      <c r="H93" s="4"/>
      <c r="I93" s="4"/>
      <c r="J93" s="4"/>
      <c r="K93" s="4">
        <f t="shared" si="22"/>
        <v>0</v>
      </c>
      <c r="L93" s="4">
        <f t="shared" si="13"/>
        <v>0</v>
      </c>
      <c r="M93" s="4">
        <f t="shared" si="23"/>
        <v>0</v>
      </c>
      <c r="N93" s="4">
        <v>1000000</v>
      </c>
      <c r="O93" s="4">
        <f t="shared" si="15"/>
        <v>1550000</v>
      </c>
      <c r="P93" s="4">
        <f t="shared" si="16"/>
        <v>0</v>
      </c>
      <c r="Q93" s="4"/>
      <c r="R93" s="4"/>
      <c r="S93" s="4">
        <f t="shared" si="24"/>
        <v>0</v>
      </c>
      <c r="T93" s="4">
        <f t="shared" si="25"/>
        <v>0</v>
      </c>
      <c r="U93" s="4">
        <f t="shared" si="19"/>
        <v>1000000</v>
      </c>
      <c r="V93" s="4">
        <f t="shared" si="20"/>
        <v>1000000</v>
      </c>
      <c r="W93" s="4"/>
      <c r="X93" s="4"/>
      <c r="Y93" s="4"/>
      <c r="Z93" s="3"/>
      <c r="AA93" s="410" t="s">
        <v>1495</v>
      </c>
      <c r="AB93" s="3">
        <v>732000</v>
      </c>
      <c r="AC93" s="21"/>
      <c r="AD93" s="60"/>
    </row>
    <row r="94" spans="1:32" s="6" customFormat="1" ht="56">
      <c r="A94" s="3">
        <f t="shared" si="21"/>
        <v>89</v>
      </c>
      <c r="B94" s="42">
        <v>2114</v>
      </c>
      <c r="C94" s="3" t="s">
        <v>1117</v>
      </c>
      <c r="D94" s="4">
        <v>1450000</v>
      </c>
      <c r="E94" s="4"/>
      <c r="F94" s="4">
        <f t="shared" si="12"/>
        <v>1450000</v>
      </c>
      <c r="G94" s="4"/>
      <c r="H94" s="4"/>
      <c r="I94" s="4"/>
      <c r="J94" s="4"/>
      <c r="K94" s="4">
        <f t="shared" si="22"/>
        <v>0</v>
      </c>
      <c r="L94" s="4">
        <f t="shared" si="13"/>
        <v>0</v>
      </c>
      <c r="M94" s="4">
        <f t="shared" si="23"/>
        <v>0</v>
      </c>
      <c r="N94" s="4">
        <v>700000</v>
      </c>
      <c r="O94" s="4">
        <f t="shared" si="15"/>
        <v>750000</v>
      </c>
      <c r="P94" s="4">
        <f t="shared" si="16"/>
        <v>0</v>
      </c>
      <c r="Q94" s="4"/>
      <c r="R94" s="4"/>
      <c r="S94" s="4">
        <f t="shared" si="24"/>
        <v>0</v>
      </c>
      <c r="T94" s="4">
        <f t="shared" si="25"/>
        <v>0</v>
      </c>
      <c r="U94" s="4">
        <f t="shared" si="19"/>
        <v>700000</v>
      </c>
      <c r="V94" s="4">
        <f t="shared" si="20"/>
        <v>700000</v>
      </c>
      <c r="W94" s="4"/>
      <c r="X94" s="4"/>
      <c r="Y94" s="4"/>
      <c r="Z94" s="3"/>
      <c r="AA94" s="3" t="s">
        <v>1116</v>
      </c>
      <c r="AB94" s="3">
        <v>732000</v>
      </c>
      <c r="AC94" s="21"/>
      <c r="AD94" s="60"/>
      <c r="AE94" s="5"/>
      <c r="AF94" s="5"/>
    </row>
    <row r="95" spans="1:32" s="6" customFormat="1" ht="42">
      <c r="A95" s="3">
        <f t="shared" si="21"/>
        <v>90</v>
      </c>
      <c r="B95" s="42">
        <v>2115</v>
      </c>
      <c r="C95" s="3" t="s">
        <v>692</v>
      </c>
      <c r="D95" s="4">
        <v>3100000</v>
      </c>
      <c r="E95" s="4"/>
      <c r="F95" s="4">
        <f t="shared" si="12"/>
        <v>3100000</v>
      </c>
      <c r="G95" s="4"/>
      <c r="H95" s="4"/>
      <c r="I95" s="4"/>
      <c r="J95" s="4"/>
      <c r="K95" s="4"/>
      <c r="L95" s="4"/>
      <c r="M95" s="4"/>
      <c r="N95" s="4">
        <f>1200000-700000</f>
        <v>500000</v>
      </c>
      <c r="O95" s="4">
        <f t="shared" si="15"/>
        <v>2600000</v>
      </c>
      <c r="P95" s="4">
        <f t="shared" si="16"/>
        <v>0</v>
      </c>
      <c r="Q95" s="4"/>
      <c r="R95" s="4"/>
      <c r="S95" s="4">
        <f t="shared" si="24"/>
        <v>0</v>
      </c>
      <c r="T95" s="4">
        <f t="shared" si="25"/>
        <v>0</v>
      </c>
      <c r="U95" s="4">
        <f t="shared" si="19"/>
        <v>500000</v>
      </c>
      <c r="V95" s="4">
        <f t="shared" si="20"/>
        <v>500000</v>
      </c>
      <c r="W95" s="4"/>
      <c r="X95" s="4"/>
      <c r="Y95" s="4"/>
      <c r="Z95" s="3"/>
      <c r="AA95" s="3" t="s">
        <v>1300</v>
      </c>
      <c r="AB95" s="3">
        <v>732000</v>
      </c>
      <c r="AC95" s="21"/>
      <c r="AD95" s="60"/>
      <c r="AE95" s="5"/>
      <c r="AF95" s="5"/>
    </row>
    <row r="96" spans="1:32" s="6" customFormat="1" ht="28">
      <c r="A96" s="3">
        <f t="shared" si="21"/>
        <v>91</v>
      </c>
      <c r="B96" s="42">
        <v>2116</v>
      </c>
      <c r="C96" s="3" t="s">
        <v>693</v>
      </c>
      <c r="D96" s="4">
        <v>1700000</v>
      </c>
      <c r="E96" s="10"/>
      <c r="F96" s="4">
        <f t="shared" si="12"/>
        <v>1700000</v>
      </c>
      <c r="G96" s="10"/>
      <c r="H96" s="10"/>
      <c r="I96" s="10"/>
      <c r="J96" s="10"/>
      <c r="K96" s="10"/>
      <c r="L96" s="10"/>
      <c r="M96" s="10"/>
      <c r="N96" s="4">
        <f>650000-150000</f>
        <v>500000</v>
      </c>
      <c r="O96" s="4">
        <f t="shared" si="15"/>
        <v>1200000</v>
      </c>
      <c r="P96" s="4">
        <f t="shared" si="16"/>
        <v>0</v>
      </c>
      <c r="Q96" s="4"/>
      <c r="R96" s="4"/>
      <c r="S96" s="4">
        <f t="shared" si="24"/>
        <v>0</v>
      </c>
      <c r="T96" s="4">
        <f t="shared" si="25"/>
        <v>0</v>
      </c>
      <c r="U96" s="4">
        <f t="shared" si="19"/>
        <v>500000</v>
      </c>
      <c r="V96" s="4">
        <f t="shared" si="20"/>
        <v>500000</v>
      </c>
      <c r="W96" s="10"/>
      <c r="X96" s="10"/>
      <c r="Y96" s="10"/>
      <c r="Z96" s="10"/>
      <c r="AA96" s="3" t="s">
        <v>694</v>
      </c>
      <c r="AB96" s="3">
        <v>732000</v>
      </c>
      <c r="AC96" s="21"/>
      <c r="AD96" s="60"/>
    </row>
    <row r="97" spans="1:32" s="6" customFormat="1" ht="28">
      <c r="A97" s="3">
        <f t="shared" si="21"/>
        <v>92</v>
      </c>
      <c r="B97" s="42">
        <v>2117</v>
      </c>
      <c r="C97" s="3" t="s">
        <v>695</v>
      </c>
      <c r="D97" s="4">
        <v>600000</v>
      </c>
      <c r="E97" s="4"/>
      <c r="F97" s="4">
        <f t="shared" si="12"/>
        <v>600000</v>
      </c>
      <c r="G97" s="4"/>
      <c r="H97" s="4"/>
      <c r="I97" s="4"/>
      <c r="J97" s="4"/>
      <c r="K97" s="4"/>
      <c r="L97" s="4"/>
      <c r="M97" s="4"/>
      <c r="N97" s="4">
        <v>300000</v>
      </c>
      <c r="O97" s="4">
        <f t="shared" si="15"/>
        <v>300000</v>
      </c>
      <c r="P97" s="4">
        <f t="shared" si="16"/>
        <v>0</v>
      </c>
      <c r="Q97" s="4"/>
      <c r="R97" s="4"/>
      <c r="S97" s="4">
        <f t="shared" si="24"/>
        <v>0</v>
      </c>
      <c r="T97" s="4">
        <f t="shared" si="25"/>
        <v>0</v>
      </c>
      <c r="U97" s="4">
        <f t="shared" si="19"/>
        <v>300000</v>
      </c>
      <c r="V97" s="4">
        <f t="shared" si="20"/>
        <v>300000</v>
      </c>
      <c r="W97" s="10"/>
      <c r="X97" s="10"/>
      <c r="Y97" s="10"/>
      <c r="Z97" s="10"/>
      <c r="AA97" s="3" t="s">
        <v>1496</v>
      </c>
      <c r="AB97" s="3">
        <v>732000</v>
      </c>
      <c r="AC97" s="21"/>
      <c r="AD97" s="60"/>
    </row>
    <row r="98" spans="1:32" s="6" customFormat="1" ht="28">
      <c r="A98" s="3">
        <f t="shared" si="21"/>
        <v>93</v>
      </c>
      <c r="B98" s="42">
        <v>2118</v>
      </c>
      <c r="C98" s="3" t="s">
        <v>697</v>
      </c>
      <c r="D98" s="4">
        <v>1800000</v>
      </c>
      <c r="E98" s="4"/>
      <c r="F98" s="4">
        <f t="shared" si="12"/>
        <v>1800000</v>
      </c>
      <c r="G98" s="4"/>
      <c r="H98" s="4"/>
      <c r="I98" s="4"/>
      <c r="J98" s="4"/>
      <c r="K98" s="4"/>
      <c r="L98" s="4"/>
      <c r="M98" s="4"/>
      <c r="N98" s="4">
        <v>200000</v>
      </c>
      <c r="O98" s="4">
        <f t="shared" si="15"/>
        <v>1600000</v>
      </c>
      <c r="P98" s="4">
        <f t="shared" si="16"/>
        <v>0</v>
      </c>
      <c r="Q98" s="4"/>
      <c r="R98" s="4"/>
      <c r="S98" s="4">
        <f t="shared" si="24"/>
        <v>0</v>
      </c>
      <c r="T98" s="4">
        <f t="shared" si="25"/>
        <v>0</v>
      </c>
      <c r="U98" s="4">
        <f t="shared" si="19"/>
        <v>200000</v>
      </c>
      <c r="V98" s="4">
        <f t="shared" si="20"/>
        <v>200000</v>
      </c>
      <c r="W98" s="10"/>
      <c r="X98" s="10"/>
      <c r="Y98" s="10"/>
      <c r="Z98" s="10"/>
      <c r="AA98" s="411" t="s">
        <v>1119</v>
      </c>
      <c r="AB98" s="3">
        <v>746000</v>
      </c>
      <c r="AC98" s="21"/>
      <c r="AD98" s="60"/>
    </row>
    <row r="99" spans="1:32" s="5" customFormat="1" ht="28">
      <c r="A99" s="3">
        <f t="shared" si="21"/>
        <v>94</v>
      </c>
      <c r="B99" s="42">
        <v>2119</v>
      </c>
      <c r="C99" s="3" t="s">
        <v>698</v>
      </c>
      <c r="D99" s="4">
        <v>1400000</v>
      </c>
      <c r="E99" s="4"/>
      <c r="F99" s="4">
        <f t="shared" si="12"/>
        <v>1400000</v>
      </c>
      <c r="G99" s="4"/>
      <c r="H99" s="4"/>
      <c r="I99" s="4"/>
      <c r="J99" s="4"/>
      <c r="K99" s="4"/>
      <c r="L99" s="4"/>
      <c r="M99" s="4"/>
      <c r="N99" s="4">
        <v>150000</v>
      </c>
      <c r="O99" s="4">
        <f t="shared" si="15"/>
        <v>1250000</v>
      </c>
      <c r="P99" s="4">
        <f t="shared" si="16"/>
        <v>0</v>
      </c>
      <c r="Q99" s="4"/>
      <c r="R99" s="4"/>
      <c r="S99" s="4">
        <f t="shared" si="24"/>
        <v>0</v>
      </c>
      <c r="T99" s="4">
        <f t="shared" si="25"/>
        <v>0</v>
      </c>
      <c r="U99" s="4">
        <f t="shared" si="19"/>
        <v>150000</v>
      </c>
      <c r="V99" s="4">
        <f t="shared" si="20"/>
        <v>150000</v>
      </c>
      <c r="W99" s="4"/>
      <c r="X99" s="4"/>
      <c r="Y99" s="4"/>
      <c r="Z99" s="3"/>
      <c r="AA99" s="3" t="s">
        <v>699</v>
      </c>
      <c r="AB99" s="3">
        <v>742000</v>
      </c>
      <c r="AC99" s="21"/>
      <c r="AD99" s="60"/>
      <c r="AE99" s="6"/>
      <c r="AF99" s="6"/>
    </row>
    <row r="100" spans="1:32" s="5" customFormat="1" ht="28">
      <c r="A100" s="3">
        <f t="shared" si="21"/>
        <v>95</v>
      </c>
      <c r="B100" s="42">
        <v>2120</v>
      </c>
      <c r="C100" s="3" t="s">
        <v>1198</v>
      </c>
      <c r="D100" s="4">
        <v>1000000</v>
      </c>
      <c r="E100" s="4"/>
      <c r="F100" s="4">
        <f t="shared" si="12"/>
        <v>1000000</v>
      </c>
      <c r="G100" s="4"/>
      <c r="H100" s="4"/>
      <c r="I100" s="4"/>
      <c r="J100" s="4"/>
      <c r="K100" s="4"/>
      <c r="L100" s="4"/>
      <c r="M100" s="4"/>
      <c r="N100" s="4">
        <v>1000000</v>
      </c>
      <c r="O100" s="4">
        <f t="shared" si="15"/>
        <v>0</v>
      </c>
      <c r="P100" s="4">
        <f t="shared" si="16"/>
        <v>0</v>
      </c>
      <c r="Q100" s="4"/>
      <c r="R100" s="4"/>
      <c r="S100" s="4">
        <f t="shared" si="24"/>
        <v>0</v>
      </c>
      <c r="T100" s="4">
        <f t="shared" si="25"/>
        <v>0</v>
      </c>
      <c r="U100" s="4">
        <f t="shared" si="19"/>
        <v>1000000</v>
      </c>
      <c r="V100" s="4">
        <f t="shared" si="20"/>
        <v>1000000</v>
      </c>
      <c r="W100" s="4"/>
      <c r="X100" s="4"/>
      <c r="Y100" s="4"/>
      <c r="Z100" s="3"/>
      <c r="AA100" s="3" t="s">
        <v>1197</v>
      </c>
      <c r="AB100" s="3">
        <v>732000</v>
      </c>
      <c r="AC100" s="21"/>
      <c r="AD100" s="60"/>
      <c r="AE100" s="6"/>
      <c r="AF100" s="6"/>
    </row>
    <row r="101" spans="1:32" s="5" customFormat="1" ht="42">
      <c r="A101" s="3">
        <f t="shared" si="21"/>
        <v>96</v>
      </c>
      <c r="B101" s="42">
        <v>2121</v>
      </c>
      <c r="C101" s="3" t="s">
        <v>1238</v>
      </c>
      <c r="D101" s="4">
        <v>300000</v>
      </c>
      <c r="E101" s="4"/>
      <c r="F101" s="4">
        <f t="shared" si="12"/>
        <v>300000</v>
      </c>
      <c r="G101" s="4"/>
      <c r="H101" s="4"/>
      <c r="I101" s="4"/>
      <c r="J101" s="4"/>
      <c r="K101" s="4"/>
      <c r="L101" s="4"/>
      <c r="M101" s="4"/>
      <c r="N101" s="4">
        <v>300000</v>
      </c>
      <c r="O101" s="4">
        <f t="shared" si="15"/>
        <v>0</v>
      </c>
      <c r="P101" s="4">
        <f t="shared" si="16"/>
        <v>0</v>
      </c>
      <c r="Q101" s="4"/>
      <c r="R101" s="4"/>
      <c r="S101" s="4">
        <f t="shared" si="24"/>
        <v>0</v>
      </c>
      <c r="T101" s="4">
        <f t="shared" si="25"/>
        <v>0</v>
      </c>
      <c r="U101" s="4">
        <f t="shared" si="19"/>
        <v>300000</v>
      </c>
      <c r="V101" s="4">
        <f t="shared" si="20"/>
        <v>90000</v>
      </c>
      <c r="W101" s="4"/>
      <c r="X101" s="4"/>
      <c r="Y101" s="4"/>
      <c r="Z101" s="4">
        <v>210000</v>
      </c>
      <c r="AA101" s="3" t="s">
        <v>1262</v>
      </c>
      <c r="AB101" s="3">
        <v>742000</v>
      </c>
      <c r="AC101" s="21"/>
      <c r="AD101" s="60"/>
      <c r="AE101" s="6"/>
      <c r="AF101" s="6"/>
    </row>
    <row r="102" spans="1:32" s="5" customFormat="1" ht="28">
      <c r="A102" s="3">
        <f t="shared" si="21"/>
        <v>97</v>
      </c>
      <c r="B102" s="42">
        <v>2122</v>
      </c>
      <c r="C102" s="3" t="s">
        <v>1487</v>
      </c>
      <c r="D102" s="4">
        <v>300000</v>
      </c>
      <c r="E102" s="4"/>
      <c r="F102" s="4">
        <f t="shared" si="12"/>
        <v>300000</v>
      </c>
      <c r="G102" s="4"/>
      <c r="H102" s="4"/>
      <c r="I102" s="4"/>
      <c r="J102" s="4"/>
      <c r="K102" s="4"/>
      <c r="L102" s="4"/>
      <c r="M102" s="4"/>
      <c r="N102" s="4">
        <v>300000</v>
      </c>
      <c r="O102" s="4">
        <f t="shared" si="15"/>
        <v>0</v>
      </c>
      <c r="P102" s="4">
        <f t="shared" si="16"/>
        <v>0</v>
      </c>
      <c r="Q102" s="4"/>
      <c r="R102" s="4"/>
      <c r="S102" s="4">
        <f t="shared" si="24"/>
        <v>0</v>
      </c>
      <c r="T102" s="4">
        <f t="shared" si="25"/>
        <v>0</v>
      </c>
      <c r="U102" s="4">
        <f t="shared" si="19"/>
        <v>300000</v>
      </c>
      <c r="V102" s="4">
        <f t="shared" si="20"/>
        <v>90000</v>
      </c>
      <c r="W102" s="4"/>
      <c r="X102" s="4"/>
      <c r="Y102" s="4"/>
      <c r="Z102" s="4">
        <v>210000</v>
      </c>
      <c r="AA102" s="3" t="s">
        <v>1261</v>
      </c>
      <c r="AB102" s="3">
        <v>742000</v>
      </c>
      <c r="AC102" s="21"/>
      <c r="AD102" s="60"/>
      <c r="AE102" s="6"/>
      <c r="AF102" s="6"/>
    </row>
    <row r="103" spans="1:32" s="5" customFormat="1" ht="28">
      <c r="A103" s="3">
        <f t="shared" si="21"/>
        <v>98</v>
      </c>
      <c r="B103" s="42">
        <v>2123</v>
      </c>
      <c r="C103" s="3" t="s">
        <v>1488</v>
      </c>
      <c r="D103" s="4">
        <v>750000</v>
      </c>
      <c r="E103" s="4"/>
      <c r="F103" s="4">
        <f>D103-E103</f>
        <v>750000</v>
      </c>
      <c r="G103" s="4"/>
      <c r="H103" s="4"/>
      <c r="I103" s="4"/>
      <c r="J103" s="4"/>
      <c r="K103" s="4"/>
      <c r="L103" s="4"/>
      <c r="M103" s="4"/>
      <c r="N103" s="4">
        <v>750000</v>
      </c>
      <c r="O103" s="4">
        <f>D103-L103-M103-N103</f>
        <v>0</v>
      </c>
      <c r="P103" s="4">
        <f>G103-L103</f>
        <v>0</v>
      </c>
      <c r="Q103" s="4"/>
      <c r="R103" s="4"/>
      <c r="S103" s="4">
        <f>SUM(Q103:R103)</f>
        <v>0</v>
      </c>
      <c r="T103" s="4">
        <f>P103-M103+S103</f>
        <v>0</v>
      </c>
      <c r="U103" s="4">
        <f>N103-T103</f>
        <v>750000</v>
      </c>
      <c r="V103" s="4">
        <f>U103-Z103-W103-Y103</f>
        <v>225000</v>
      </c>
      <c r="W103" s="4"/>
      <c r="X103" s="4"/>
      <c r="Y103" s="4"/>
      <c r="Z103" s="4">
        <v>525000</v>
      </c>
      <c r="AA103" s="3" t="s">
        <v>1301</v>
      </c>
      <c r="AB103" s="3">
        <v>742000</v>
      </c>
      <c r="AC103" s="21"/>
      <c r="AD103" s="60"/>
      <c r="AE103" s="6"/>
      <c r="AF103" s="6"/>
    </row>
    <row r="104" spans="1:32" s="6" customFormat="1">
      <c r="A104" s="9">
        <f>A103</f>
        <v>98</v>
      </c>
      <c r="B104" s="9"/>
      <c r="C104" s="9" t="s">
        <v>1172</v>
      </c>
      <c r="D104" s="10">
        <f t="shared" ref="D104:Z104" si="26">SUM(D6:D103)</f>
        <v>849930879</v>
      </c>
      <c r="E104" s="10">
        <f t="shared" si="26"/>
        <v>699330541</v>
      </c>
      <c r="F104" s="10">
        <f t="shared" si="26"/>
        <v>150600338</v>
      </c>
      <c r="G104" s="10">
        <f t="shared" si="26"/>
        <v>324115229</v>
      </c>
      <c r="H104" s="10">
        <f t="shared" si="26"/>
        <v>251391656.93999994</v>
      </c>
      <c r="I104" s="10">
        <f t="shared" si="26"/>
        <v>22234190.400000002</v>
      </c>
      <c r="J104" s="10">
        <f t="shared" si="26"/>
        <v>11172990.59</v>
      </c>
      <c r="K104" s="10">
        <f t="shared" si="26"/>
        <v>33407180.989999995</v>
      </c>
      <c r="L104" s="10">
        <f t="shared" si="26"/>
        <v>284798837.93000007</v>
      </c>
      <c r="M104" s="10">
        <f t="shared" si="26"/>
        <v>17597391.070000004</v>
      </c>
      <c r="N104" s="10">
        <f t="shared" si="26"/>
        <v>64635580</v>
      </c>
      <c r="O104" s="10">
        <f t="shared" si="26"/>
        <v>482899070</v>
      </c>
      <c r="P104" s="10">
        <f t="shared" si="26"/>
        <v>39316391.070000008</v>
      </c>
      <c r="Q104" s="10">
        <f t="shared" si="26"/>
        <v>500000</v>
      </c>
      <c r="R104" s="10">
        <f t="shared" si="26"/>
        <v>0</v>
      </c>
      <c r="S104" s="10">
        <f t="shared" si="26"/>
        <v>500000</v>
      </c>
      <c r="T104" s="10">
        <f t="shared" si="26"/>
        <v>22219000</v>
      </c>
      <c r="U104" s="10">
        <f t="shared" si="26"/>
        <v>42416580</v>
      </c>
      <c r="V104" s="10">
        <f t="shared" si="26"/>
        <v>39542003</v>
      </c>
      <c r="W104" s="10">
        <f t="shared" si="26"/>
        <v>0</v>
      </c>
      <c r="X104" s="10">
        <f t="shared" si="26"/>
        <v>0</v>
      </c>
      <c r="Y104" s="10">
        <f t="shared" si="26"/>
        <v>0</v>
      </c>
      <c r="Z104" s="10">
        <f t="shared" si="26"/>
        <v>2874577</v>
      </c>
      <c r="AA104" s="9"/>
      <c r="AB104" s="9"/>
      <c r="AC104" s="21"/>
      <c r="AD104" s="21"/>
    </row>
    <row r="105" spans="1:32" s="36" customFormat="1" ht="18" hidden="1">
      <c r="C105" s="412"/>
      <c r="D105" s="412"/>
      <c r="L105" s="24">
        <f>H104+K104</f>
        <v>284798837.92999995</v>
      </c>
      <c r="M105" s="24">
        <f>P104+S104-T104</f>
        <v>17597391.070000008</v>
      </c>
      <c r="P105" s="24">
        <f>G104-L104</f>
        <v>39316391.069999933</v>
      </c>
      <c r="U105" s="24">
        <f>N104-T104</f>
        <v>42416580</v>
      </c>
      <c r="V105" s="413"/>
      <c r="W105" s="413"/>
      <c r="AC105" s="21"/>
      <c r="AD105" s="21"/>
    </row>
    <row r="111" spans="1:32">
      <c r="U111" s="17"/>
    </row>
    <row r="112" spans="1:32">
      <c r="Q112" s="28"/>
    </row>
    <row r="113" spans="17:17">
      <c r="Q113" s="28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2"/>
  <sheetViews>
    <sheetView rightToLeft="1" topLeftCell="A10" zoomScaleNormal="100" workbookViewId="0">
      <selection activeCell="T20" sqref="T20"/>
    </sheetView>
  </sheetViews>
  <sheetFormatPr defaultColWidth="9.1796875" defaultRowHeight="14"/>
  <cols>
    <col min="1" max="3" width="4.1796875" style="353" customWidth="1"/>
    <col min="4" max="4" width="34.81640625" style="353" customWidth="1"/>
    <col min="5" max="5" width="30.453125" style="353" customWidth="1"/>
    <col min="6" max="6" width="12" style="353" customWidth="1"/>
    <col min="7" max="7" width="5.54296875" style="353" customWidth="1"/>
    <col min="8" max="9" width="12.1796875" style="353" customWidth="1"/>
    <col min="10" max="10" width="7.81640625" style="353" customWidth="1"/>
    <col min="11" max="16384" width="9.1796875" style="353"/>
  </cols>
  <sheetData>
    <row r="3" spans="1:17" ht="20.5">
      <c r="A3" s="352"/>
      <c r="C3" s="354" t="s">
        <v>480</v>
      </c>
      <c r="D3" s="352"/>
      <c r="E3" s="352"/>
      <c r="F3" s="352"/>
      <c r="G3" s="352"/>
      <c r="H3" s="352"/>
      <c r="I3" s="352"/>
      <c r="J3" s="352"/>
      <c r="K3" s="352"/>
      <c r="L3" s="352"/>
    </row>
    <row r="4" spans="1:17" ht="21" thickBot="1">
      <c r="A4" s="352"/>
      <c r="C4" s="354"/>
      <c r="D4" s="352"/>
      <c r="E4" s="352"/>
      <c r="F4" s="352"/>
      <c r="G4" s="352"/>
      <c r="H4" s="352"/>
      <c r="I4" s="352"/>
      <c r="J4" s="352"/>
      <c r="K4" s="352"/>
      <c r="L4" s="352"/>
    </row>
    <row r="5" spans="1:17" ht="16" thickBot="1">
      <c r="A5" s="352"/>
      <c r="B5" s="355" t="s">
        <v>344</v>
      </c>
      <c r="C5" s="352" t="s">
        <v>1227</v>
      </c>
      <c r="D5" s="352"/>
      <c r="E5" s="352"/>
      <c r="F5" s="356">
        <f>'תקציב החברה לפיתוח 2019'!U117</f>
        <v>309252680</v>
      </c>
      <c r="I5" s="352"/>
      <c r="J5" s="352"/>
      <c r="K5" s="352"/>
      <c r="L5" s="352"/>
    </row>
    <row r="6" spans="1:17" ht="21" thickBot="1">
      <c r="A6" s="352"/>
      <c r="C6" s="354"/>
      <c r="D6" s="352"/>
      <c r="E6" s="352"/>
      <c r="F6" s="352"/>
      <c r="H6" s="352"/>
      <c r="I6" s="352"/>
      <c r="J6" s="352"/>
      <c r="K6" s="352"/>
      <c r="L6" s="352"/>
    </row>
    <row r="7" spans="1:17" ht="16" thickBot="1">
      <c r="B7" s="355" t="s">
        <v>344</v>
      </c>
      <c r="C7" s="352" t="s">
        <v>550</v>
      </c>
      <c r="D7" s="352"/>
      <c r="F7" s="356">
        <f>'תקציב החברה לפיתוח 2019'!A117</f>
        <v>105</v>
      </c>
      <c r="I7" s="352"/>
      <c r="J7" s="352"/>
      <c r="K7" s="352"/>
      <c r="L7" s="352"/>
      <c r="M7" s="352"/>
      <c r="N7" s="352"/>
      <c r="O7" s="352"/>
      <c r="P7" s="352"/>
      <c r="Q7" s="352"/>
    </row>
    <row r="8" spans="1:17" ht="15.5">
      <c r="B8" s="355"/>
      <c r="C8" s="352"/>
      <c r="D8" s="352"/>
      <c r="E8" s="352"/>
      <c r="F8" s="352"/>
      <c r="H8" s="352"/>
      <c r="I8" s="352"/>
      <c r="J8" s="352"/>
      <c r="K8" s="352"/>
      <c r="L8" s="352"/>
      <c r="M8" s="352"/>
      <c r="N8" s="352"/>
      <c r="O8" s="352"/>
      <c r="P8" s="352"/>
      <c r="Q8" s="352"/>
    </row>
    <row r="9" spans="1:17" ht="15.5">
      <c r="B9" s="355" t="s">
        <v>344</v>
      </c>
      <c r="C9" s="352" t="s">
        <v>547</v>
      </c>
      <c r="D9" s="352"/>
      <c r="E9" s="352"/>
      <c r="F9" s="352"/>
      <c r="G9" s="352"/>
      <c r="H9" s="352"/>
      <c r="I9" s="352"/>
      <c r="J9" s="352"/>
      <c r="K9" s="352"/>
      <c r="L9" s="352"/>
    </row>
    <row r="10" spans="1:17" ht="16" thickBot="1">
      <c r="B10" s="352"/>
      <c r="C10" s="352"/>
      <c r="D10" s="352"/>
      <c r="E10" s="352"/>
      <c r="F10" s="352"/>
      <c r="G10" s="352"/>
      <c r="H10" s="352"/>
      <c r="I10" s="352"/>
      <c r="J10" s="352"/>
      <c r="K10" s="352"/>
      <c r="L10" s="352"/>
      <c r="M10" s="352"/>
      <c r="N10" s="352"/>
      <c r="O10" s="352"/>
      <c r="P10" s="352"/>
      <c r="Q10" s="352"/>
    </row>
    <row r="11" spans="1:17" ht="15.5">
      <c r="D11" s="365" t="s">
        <v>548</v>
      </c>
      <c r="E11" s="366" t="s">
        <v>549</v>
      </c>
      <c r="F11" s="367" t="s">
        <v>551</v>
      </c>
      <c r="G11" s="352"/>
      <c r="H11" s="352"/>
      <c r="I11" s="352"/>
      <c r="J11" s="352"/>
      <c r="K11" s="352"/>
      <c r="L11" s="352"/>
      <c r="M11" s="352"/>
      <c r="N11" s="352"/>
      <c r="O11" s="352"/>
      <c r="P11" s="352"/>
      <c r="Q11" s="352"/>
    </row>
    <row r="12" spans="1:17" ht="15.5">
      <c r="C12" s="355"/>
      <c r="D12" s="359" t="s">
        <v>13</v>
      </c>
      <c r="E12" s="368">
        <f>'תקציב החברה לפיתוח 2019'!V117</f>
        <v>193844870</v>
      </c>
      <c r="F12" s="376">
        <f>E12/$E$16</f>
        <v>0.62681710632224752</v>
      </c>
      <c r="G12" s="352"/>
      <c r="H12" s="352"/>
      <c r="I12" s="352"/>
      <c r="J12" s="352"/>
      <c r="K12" s="352"/>
      <c r="L12" s="352"/>
      <c r="M12" s="352"/>
      <c r="N12" s="352"/>
      <c r="O12" s="352"/>
      <c r="P12" s="352"/>
      <c r="Q12" s="352"/>
    </row>
    <row r="13" spans="1:17" ht="15.5">
      <c r="C13" s="355"/>
      <c r="D13" s="359" t="s">
        <v>14</v>
      </c>
      <c r="E13" s="368">
        <f>'תקציב החברה לפיתוח 2019'!W117</f>
        <v>2500000</v>
      </c>
      <c r="F13" s="376">
        <f>E13/$E$16</f>
        <v>8.0840043164702724E-3</v>
      </c>
      <c r="G13" s="352"/>
      <c r="H13" s="352"/>
      <c r="I13" s="352"/>
      <c r="J13" s="352"/>
      <c r="K13" s="352"/>
      <c r="L13" s="352"/>
      <c r="M13" s="352"/>
      <c r="N13" s="352"/>
      <c r="O13" s="352"/>
      <c r="P13" s="352"/>
      <c r="Q13" s="352"/>
    </row>
    <row r="14" spans="1:17" ht="15.5">
      <c r="C14" s="355"/>
      <c r="D14" s="359" t="s">
        <v>556</v>
      </c>
      <c r="E14" s="368">
        <f>'תקציב החברה לפיתוח 2019'!Y117</f>
        <v>34722657</v>
      </c>
      <c r="F14" s="376">
        <f>E14/$E$16</f>
        <v>0.11227924362692669</v>
      </c>
      <c r="G14" s="352"/>
      <c r="H14" s="352"/>
      <c r="I14" s="352"/>
      <c r="J14" s="352"/>
      <c r="K14" s="352"/>
      <c r="L14" s="352"/>
      <c r="M14" s="352"/>
      <c r="N14" s="352"/>
      <c r="O14" s="352"/>
      <c r="P14" s="352"/>
      <c r="Q14" s="352"/>
    </row>
    <row r="15" spans="1:17" ht="15.5">
      <c r="C15" s="355"/>
      <c r="D15" s="359" t="s">
        <v>140</v>
      </c>
      <c r="E15" s="368">
        <f>'תקציב החברה לפיתוח 2019'!Z117</f>
        <v>78185153</v>
      </c>
      <c r="F15" s="376">
        <f>E15/$E$16</f>
        <v>0.2528196457343555</v>
      </c>
      <c r="G15" s="352"/>
      <c r="H15" s="352"/>
      <c r="I15" s="352"/>
      <c r="J15" s="352"/>
      <c r="K15" s="352"/>
      <c r="L15" s="352"/>
      <c r="M15" s="352"/>
      <c r="N15" s="352"/>
      <c r="O15" s="352"/>
      <c r="P15" s="352"/>
      <c r="Q15" s="352"/>
    </row>
    <row r="16" spans="1:17" ht="16" thickBot="1">
      <c r="C16" s="355"/>
      <c r="D16" s="362" t="s">
        <v>160</v>
      </c>
      <c r="E16" s="370">
        <f>SUM(E12:E15)</f>
        <v>309252680</v>
      </c>
      <c r="F16" s="653">
        <f>SUM(F12:F15)</f>
        <v>1</v>
      </c>
      <c r="G16" s="352"/>
      <c r="H16" s="352"/>
      <c r="I16" s="352"/>
      <c r="J16" s="352"/>
      <c r="K16" s="352"/>
      <c r="L16" s="352"/>
      <c r="M16" s="352"/>
      <c r="N16" s="352"/>
      <c r="O16" s="352"/>
      <c r="P16" s="352"/>
      <c r="Q16" s="352"/>
    </row>
    <row r="17" spans="1:17" ht="15.5">
      <c r="B17" s="355"/>
      <c r="C17" s="352"/>
      <c r="D17" s="352"/>
      <c r="E17" s="352"/>
      <c r="F17" s="352"/>
      <c r="G17" s="352"/>
      <c r="H17" s="352"/>
      <c r="I17" s="352"/>
      <c r="J17" s="352"/>
      <c r="K17" s="352"/>
      <c r="L17" s="352"/>
      <c r="M17" s="352"/>
      <c r="N17" s="352"/>
      <c r="O17" s="352"/>
      <c r="P17" s="352"/>
      <c r="Q17" s="352"/>
    </row>
    <row r="18" spans="1:17" ht="15.5">
      <c r="D18" s="669"/>
    </row>
    <row r="19" spans="1:17" s="628" customFormat="1" ht="15.5">
      <c r="C19" s="630" t="s">
        <v>344</v>
      </c>
      <c r="D19" s="627" t="s">
        <v>1478</v>
      </c>
      <c r="E19" s="627"/>
      <c r="F19" s="627"/>
      <c r="G19" s="627"/>
      <c r="H19" s="627"/>
      <c r="I19" s="627"/>
      <c r="J19" s="627"/>
      <c r="K19" s="627"/>
      <c r="L19" s="627"/>
      <c r="M19" s="627"/>
      <c r="N19" s="627"/>
      <c r="O19" s="627"/>
      <c r="P19" s="627"/>
      <c r="Q19" s="627"/>
    </row>
    <row r="20" spans="1:17" s="628" customFormat="1" ht="15.5">
      <c r="C20" s="630"/>
      <c r="D20" s="627"/>
      <c r="E20" s="627"/>
      <c r="F20" s="627"/>
      <c r="G20" s="627"/>
      <c r="H20" s="627"/>
      <c r="I20" s="627"/>
      <c r="J20" s="627"/>
      <c r="K20" s="627"/>
      <c r="L20" s="627"/>
      <c r="M20" s="627"/>
      <c r="N20" s="627"/>
      <c r="O20" s="627"/>
      <c r="P20" s="627"/>
      <c r="Q20" s="627"/>
    </row>
    <row r="21" spans="1:17" s="628" customFormat="1" ht="15.5">
      <c r="A21" s="627"/>
      <c r="B21" s="627"/>
      <c r="C21" s="627"/>
      <c r="D21" s="627" t="s">
        <v>1553</v>
      </c>
      <c r="E21" s="627"/>
      <c r="F21" s="627"/>
      <c r="G21" s="627"/>
      <c r="H21" s="627"/>
      <c r="I21" s="627"/>
      <c r="J21" s="627"/>
      <c r="K21" s="627"/>
      <c r="L21" s="627"/>
      <c r="M21" s="627"/>
      <c r="N21" s="627"/>
      <c r="O21" s="627"/>
      <c r="P21" s="627"/>
      <c r="Q21" s="627"/>
    </row>
    <row r="22" spans="1:17" s="628" customFormat="1" ht="15.5">
      <c r="A22" s="627"/>
      <c r="B22" s="627"/>
      <c r="C22" s="627"/>
      <c r="D22" s="627"/>
      <c r="E22" s="627"/>
      <c r="F22" s="627"/>
      <c r="G22" s="627"/>
      <c r="H22" s="627"/>
      <c r="I22" s="627"/>
      <c r="J22" s="627"/>
      <c r="K22" s="627"/>
      <c r="L22" s="627"/>
      <c r="M22" s="627"/>
      <c r="N22" s="627"/>
      <c r="O22" s="627"/>
      <c r="P22" s="627"/>
      <c r="Q22" s="627"/>
    </row>
    <row r="23" spans="1:17" s="628" customFormat="1" ht="15.5">
      <c r="A23" s="627"/>
      <c r="B23" s="627"/>
      <c r="C23" s="627"/>
      <c r="D23" s="627" t="s">
        <v>1554</v>
      </c>
      <c r="E23" s="627"/>
      <c r="F23" s="627"/>
      <c r="G23" s="627"/>
      <c r="H23" s="627"/>
      <c r="I23" s="627"/>
      <c r="J23" s="627"/>
      <c r="K23" s="627"/>
      <c r="L23" s="627"/>
      <c r="M23" s="627"/>
      <c r="N23" s="627"/>
      <c r="O23" s="627"/>
      <c r="P23" s="627"/>
      <c r="Q23" s="627"/>
    </row>
    <row r="24" spans="1:17" s="628" customFormat="1" ht="15.5">
      <c r="A24" s="627"/>
      <c r="B24" s="627"/>
      <c r="C24" s="627"/>
      <c r="D24" s="627"/>
      <c r="E24" s="627"/>
      <c r="F24" s="627"/>
      <c r="G24" s="627"/>
      <c r="H24" s="627"/>
      <c r="I24" s="627"/>
      <c r="J24" s="627"/>
      <c r="K24" s="627"/>
      <c r="L24" s="627"/>
      <c r="M24" s="627"/>
      <c r="N24" s="627"/>
      <c r="O24" s="627"/>
      <c r="P24" s="627"/>
      <c r="Q24" s="627"/>
    </row>
    <row r="25" spans="1:17" s="628" customFormat="1" ht="15.5">
      <c r="A25" s="627"/>
      <c r="B25" s="627"/>
      <c r="C25" s="627"/>
      <c r="D25" s="627" t="s">
        <v>1555</v>
      </c>
      <c r="E25" s="627"/>
      <c r="F25" s="627"/>
      <c r="G25" s="627"/>
      <c r="H25" s="627"/>
      <c r="I25" s="627"/>
      <c r="J25" s="627"/>
      <c r="K25" s="627"/>
      <c r="L25" s="627"/>
      <c r="M25" s="627"/>
      <c r="N25" s="627"/>
      <c r="O25" s="627"/>
      <c r="P25" s="627"/>
      <c r="Q25" s="627"/>
    </row>
    <row r="26" spans="1:17" s="628" customFormat="1" ht="15.5">
      <c r="A26" s="627"/>
      <c r="B26" s="627"/>
      <c r="C26" s="627"/>
      <c r="D26" s="627"/>
      <c r="E26" s="627"/>
      <c r="F26" s="627"/>
      <c r="G26" s="627"/>
      <c r="H26" s="627"/>
      <c r="I26" s="627"/>
      <c r="J26" s="627"/>
      <c r="K26" s="627"/>
      <c r="L26" s="627"/>
      <c r="M26" s="627"/>
      <c r="N26" s="627"/>
      <c r="O26" s="627"/>
      <c r="P26" s="627"/>
      <c r="Q26" s="627"/>
    </row>
    <row r="27" spans="1:17" s="628" customFormat="1" ht="15.5">
      <c r="A27" s="627"/>
      <c r="B27" s="627"/>
      <c r="C27" s="627"/>
      <c r="D27" s="627" t="s">
        <v>1556</v>
      </c>
      <c r="E27" s="627"/>
      <c r="F27" s="627"/>
      <c r="G27" s="627"/>
      <c r="H27" s="627"/>
      <c r="I27" s="627"/>
      <c r="J27" s="627"/>
      <c r="K27" s="627"/>
      <c r="L27" s="627"/>
      <c r="M27" s="627"/>
      <c r="N27" s="627"/>
      <c r="O27" s="627"/>
      <c r="P27" s="627"/>
      <c r="Q27" s="627"/>
    </row>
    <row r="30" spans="1:17" ht="15.5">
      <c r="D30" s="352"/>
    </row>
    <row r="32" spans="1:17" s="685" customFormat="1" ht="15.5">
      <c r="C32" s="686" t="s">
        <v>344</v>
      </c>
      <c r="D32" s="687" t="s">
        <v>1503</v>
      </c>
      <c r="E32" s="687"/>
      <c r="F32" s="687"/>
      <c r="G32" s="687"/>
      <c r="H32" s="687"/>
      <c r="I32" s="687"/>
      <c r="J32" s="687"/>
      <c r="K32" s="687"/>
      <c r="L32" s="687"/>
      <c r="M32" s="687"/>
      <c r="N32" s="687"/>
      <c r="O32" s="687"/>
      <c r="P32" s="687"/>
      <c r="Q32" s="687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5"/>
  <sheetViews>
    <sheetView rightToLeft="1" topLeftCell="A19" workbookViewId="0">
      <selection activeCell="T20" sqref="T20"/>
    </sheetView>
  </sheetViews>
  <sheetFormatPr defaultColWidth="9.1796875" defaultRowHeight="14"/>
  <cols>
    <col min="1" max="3" width="4.1796875" style="353" customWidth="1"/>
    <col min="4" max="4" width="34.81640625" style="353" customWidth="1"/>
    <col min="5" max="5" width="30.453125" style="353" customWidth="1"/>
    <col min="6" max="6" width="12" style="353" customWidth="1"/>
    <col min="7" max="7" width="5.54296875" style="353" customWidth="1"/>
    <col min="8" max="9" width="12.1796875" style="353" customWidth="1"/>
    <col min="10" max="10" width="7.81640625" style="353" customWidth="1"/>
    <col min="11" max="16384" width="9.1796875" style="353"/>
  </cols>
  <sheetData>
    <row r="2" spans="1:17" ht="20.5">
      <c r="A2" s="352"/>
      <c r="C2" s="354" t="s">
        <v>350</v>
      </c>
      <c r="D2" s="352"/>
      <c r="E2" s="352"/>
      <c r="F2" s="352"/>
      <c r="G2" s="352"/>
      <c r="H2" s="352"/>
      <c r="I2" s="352"/>
      <c r="J2" s="352"/>
      <c r="K2" s="352"/>
      <c r="L2" s="352"/>
    </row>
    <row r="3" spans="1:17" ht="20.5">
      <c r="A3" s="352"/>
      <c r="C3" s="354"/>
      <c r="D3" s="352"/>
      <c r="E3" s="352"/>
      <c r="F3" s="352"/>
      <c r="G3" s="352"/>
      <c r="H3" s="352"/>
      <c r="I3" s="352"/>
      <c r="J3" s="352"/>
      <c r="K3" s="352"/>
      <c r="L3" s="352"/>
    </row>
    <row r="4" spans="1:17" ht="15.5">
      <c r="B4" s="355"/>
      <c r="C4" s="352"/>
      <c r="D4" s="352"/>
      <c r="E4" s="352"/>
      <c r="F4" s="352"/>
      <c r="G4" s="352"/>
      <c r="H4" s="352"/>
      <c r="I4" s="352"/>
      <c r="J4" s="352"/>
      <c r="K4" s="352"/>
      <c r="L4" s="352"/>
      <c r="M4" s="352"/>
      <c r="N4" s="352"/>
      <c r="O4" s="352"/>
      <c r="P4" s="352"/>
      <c r="Q4" s="352"/>
    </row>
    <row r="5" spans="1:17" ht="15.5">
      <c r="B5" s="355" t="s">
        <v>344</v>
      </c>
      <c r="C5" s="352" t="s">
        <v>1200</v>
      </c>
      <c r="D5" s="352"/>
      <c r="E5" s="352"/>
      <c r="F5" s="352"/>
      <c r="H5" s="361"/>
      <c r="I5" s="352"/>
      <c r="J5" s="352"/>
      <c r="K5" s="352"/>
      <c r="L5" s="352"/>
      <c r="M5" s="352"/>
      <c r="N5" s="352"/>
      <c r="O5" s="352"/>
      <c r="P5" s="352"/>
      <c r="Q5" s="352"/>
    </row>
    <row r="6" spans="1:17" ht="16" thickBot="1">
      <c r="C6" s="352"/>
      <c r="D6" s="352"/>
      <c r="E6" s="352"/>
      <c r="F6" s="352"/>
      <c r="H6" s="352"/>
      <c r="I6" s="352"/>
      <c r="J6" s="352"/>
      <c r="K6" s="352"/>
      <c r="L6" s="352"/>
    </row>
    <row r="7" spans="1:17" ht="15.5">
      <c r="D7" s="365" t="s">
        <v>552</v>
      </c>
      <c r="E7" s="357" t="s">
        <v>549</v>
      </c>
      <c r="F7" s="358"/>
      <c r="G7" s="352"/>
      <c r="H7" s="352"/>
      <c r="I7" s="352"/>
      <c r="J7" s="352"/>
      <c r="K7" s="352"/>
      <c r="L7" s="352"/>
      <c r="M7" s="352"/>
      <c r="N7" s="352"/>
      <c r="O7" s="352"/>
      <c r="P7" s="352"/>
      <c r="Q7" s="352"/>
    </row>
    <row r="8" spans="1:17" ht="15.5">
      <c r="C8" s="355"/>
      <c r="D8" s="359" t="s">
        <v>553</v>
      </c>
      <c r="E8" s="371">
        <f>'תקציב החברה לפיתוח 2019'!U115</f>
        <v>104360270</v>
      </c>
      <c r="F8" s="361"/>
      <c r="G8" s="352"/>
      <c r="H8" s="352"/>
      <c r="I8" s="352"/>
      <c r="J8" s="352"/>
      <c r="K8" s="352"/>
      <c r="L8" s="352"/>
      <c r="M8" s="352"/>
      <c r="N8" s="352"/>
      <c r="O8" s="352"/>
      <c r="P8" s="352"/>
      <c r="Q8" s="352"/>
    </row>
    <row r="9" spans="1:17" ht="15.5">
      <c r="C9" s="355"/>
      <c r="D9" s="359" t="s">
        <v>554</v>
      </c>
      <c r="E9" s="371">
        <f>'תקציב החברה לפיתוח 2019'!U93</f>
        <v>204892410</v>
      </c>
      <c r="F9" s="361"/>
      <c r="G9" s="352"/>
      <c r="H9" s="352"/>
      <c r="I9" s="352"/>
      <c r="J9" s="352"/>
      <c r="K9" s="352"/>
      <c r="L9" s="352"/>
      <c r="M9" s="352"/>
      <c r="N9" s="352"/>
      <c r="O9" s="352"/>
      <c r="P9" s="352"/>
      <c r="Q9" s="352"/>
    </row>
    <row r="10" spans="1:17" ht="15.5">
      <c r="C10" s="355"/>
      <c r="D10" s="359" t="s">
        <v>555</v>
      </c>
      <c r="E10" s="371"/>
      <c r="F10" s="361"/>
      <c r="G10" s="352"/>
      <c r="H10" s="352"/>
      <c r="I10" s="352"/>
      <c r="J10" s="352"/>
      <c r="K10" s="352"/>
      <c r="L10" s="352"/>
      <c r="M10" s="352"/>
      <c r="N10" s="352"/>
      <c r="O10" s="352"/>
      <c r="P10" s="352"/>
      <c r="Q10" s="352"/>
    </row>
    <row r="11" spans="1:17" ht="15.5">
      <c r="C11" s="355"/>
      <c r="D11" s="359" t="s">
        <v>192</v>
      </c>
      <c r="E11" s="360">
        <f>'תקציב החברה לפיתוח 2019'!U43</f>
        <v>28500000</v>
      </c>
      <c r="F11" s="361"/>
      <c r="G11" s="352"/>
      <c r="H11" s="352"/>
      <c r="I11" s="352"/>
      <c r="J11" s="352"/>
      <c r="K11" s="352"/>
      <c r="L11" s="352"/>
      <c r="M11" s="352"/>
      <c r="N11" s="352"/>
      <c r="O11" s="352"/>
      <c r="P11" s="352"/>
      <c r="Q11" s="352"/>
    </row>
    <row r="12" spans="1:17" ht="15.5">
      <c r="C12" s="355"/>
      <c r="D12" s="359" t="s">
        <v>31</v>
      </c>
      <c r="E12" s="360">
        <f>'תקציב החברה לפיתוח 2019'!U24</f>
        <v>26000000</v>
      </c>
      <c r="F12" s="361"/>
      <c r="G12" s="352"/>
      <c r="H12" s="352"/>
      <c r="I12" s="352"/>
      <c r="J12" s="352"/>
      <c r="K12" s="352"/>
      <c r="L12" s="352"/>
      <c r="M12" s="352"/>
      <c r="N12" s="352"/>
      <c r="O12" s="352"/>
      <c r="P12" s="352"/>
      <c r="Q12" s="352"/>
    </row>
    <row r="13" spans="1:17" ht="15.5">
      <c r="D13" s="359" t="s">
        <v>1506</v>
      </c>
      <c r="E13" s="360">
        <v>18000000</v>
      </c>
    </row>
    <row r="14" spans="1:17" ht="15.5">
      <c r="C14" s="355"/>
      <c r="D14" s="359" t="s">
        <v>1504</v>
      </c>
      <c r="E14" s="360">
        <f>'תקציב החברה לפיתוח 2019'!U7</f>
        <v>14500000</v>
      </c>
      <c r="G14" s="352"/>
      <c r="H14" s="352"/>
      <c r="I14" s="352"/>
      <c r="J14" s="352"/>
      <c r="K14" s="352"/>
      <c r="L14" s="352"/>
      <c r="M14" s="352"/>
      <c r="N14" s="352"/>
      <c r="O14" s="352"/>
      <c r="P14" s="352"/>
      <c r="Q14" s="352"/>
    </row>
    <row r="15" spans="1:17" ht="15.75" customHeight="1">
      <c r="D15" s="359" t="s">
        <v>302</v>
      </c>
      <c r="E15" s="360">
        <f>'תקציב החברה לפיתוח 2019'!U62</f>
        <v>14500000</v>
      </c>
      <c r="H15" s="667"/>
    </row>
    <row r="16" spans="1:17" ht="15.5">
      <c r="C16" s="355"/>
      <c r="D16" s="359" t="s">
        <v>499</v>
      </c>
      <c r="E16" s="360">
        <f>'תקציב החברה לפיתוח 2019'!U42</f>
        <v>14000000</v>
      </c>
      <c r="F16" s="361"/>
      <c r="G16" s="352"/>
      <c r="H16" s="352"/>
      <c r="I16" s="352"/>
      <c r="J16" s="352"/>
      <c r="K16" s="352"/>
      <c r="L16" s="352"/>
      <c r="M16" s="352"/>
      <c r="N16" s="352"/>
      <c r="O16" s="352"/>
      <c r="P16" s="352"/>
      <c r="Q16" s="352"/>
    </row>
    <row r="17" spans="3:17" ht="15.5">
      <c r="C17" s="355"/>
      <c r="D17" s="359" t="s">
        <v>579</v>
      </c>
      <c r="E17" s="360">
        <v>8050000</v>
      </c>
      <c r="F17" s="361"/>
      <c r="G17" s="352"/>
      <c r="H17" s="352"/>
      <c r="I17" s="352"/>
      <c r="J17" s="352"/>
      <c r="K17" s="352"/>
      <c r="L17" s="352"/>
      <c r="M17" s="352"/>
      <c r="N17" s="352"/>
      <c r="O17" s="352"/>
      <c r="P17" s="352"/>
      <c r="Q17" s="352"/>
    </row>
    <row r="18" spans="3:17" ht="15.5">
      <c r="D18" s="359" t="s">
        <v>1321</v>
      </c>
      <c r="E18" s="360">
        <f>'תקציב החברה לפיתוח 2019'!U53</f>
        <v>7600000</v>
      </c>
    </row>
    <row r="19" spans="3:17" ht="15.5">
      <c r="C19" s="355"/>
      <c r="D19" s="359" t="s">
        <v>591</v>
      </c>
      <c r="E19" s="360">
        <f>'תקציב החברה לפיתוח 2019'!U26</f>
        <v>7500000</v>
      </c>
      <c r="F19" s="361"/>
      <c r="G19" s="352"/>
      <c r="H19" s="352"/>
      <c r="I19" s="352"/>
      <c r="J19" s="352"/>
      <c r="K19" s="352"/>
      <c r="L19" s="352"/>
      <c r="M19" s="352"/>
      <c r="N19" s="352"/>
      <c r="O19" s="352"/>
      <c r="P19" s="352"/>
      <c r="Q19" s="352"/>
    </row>
    <row r="20" spans="3:17" ht="15.5">
      <c r="C20" s="355"/>
      <c r="D20" s="359" t="s">
        <v>588</v>
      </c>
      <c r="E20" s="360">
        <f>'תקציב החברה לפיתוח 2019'!U40</f>
        <v>6800000</v>
      </c>
      <c r="F20" s="361"/>
      <c r="G20" s="352"/>
      <c r="H20" s="352"/>
      <c r="I20" s="352"/>
      <c r="J20" s="352"/>
      <c r="K20" s="352"/>
      <c r="L20" s="352"/>
      <c r="M20" s="352"/>
      <c r="N20" s="352"/>
      <c r="O20" s="352"/>
      <c r="P20" s="352"/>
      <c r="Q20" s="352"/>
    </row>
    <row r="21" spans="3:17" ht="15.5">
      <c r="C21" s="355"/>
      <c r="D21" s="359" t="s">
        <v>1229</v>
      </c>
      <c r="E21" s="360">
        <f>'תקציב החברה לפיתוח 2019'!U20</f>
        <v>6250000</v>
      </c>
      <c r="F21" s="361"/>
      <c r="G21" s="352"/>
      <c r="H21" s="352"/>
      <c r="I21" s="352"/>
      <c r="J21" s="352"/>
      <c r="K21" s="352"/>
      <c r="L21" s="352"/>
      <c r="M21" s="352"/>
      <c r="N21" s="352"/>
      <c r="O21" s="352"/>
      <c r="P21" s="352"/>
      <c r="Q21" s="352"/>
    </row>
    <row r="22" spans="3:17" ht="21" customHeight="1" thickBot="1">
      <c r="D22" s="374" t="s">
        <v>1507</v>
      </c>
      <c r="E22" s="375">
        <v>6000000</v>
      </c>
    </row>
    <row r="24" spans="3:17" ht="15.5">
      <c r="D24" s="669" t="s">
        <v>1235</v>
      </c>
    </row>
    <row r="34" spans="4:4">
      <c r="D34" s="666"/>
    </row>
    <row r="35" spans="4:4" ht="15.5">
      <c r="D35" s="352" t="s">
        <v>1410</v>
      </c>
    </row>
  </sheetData>
  <sortState ref="A11:Q22">
    <sortCondition descending="1" ref="E11:E22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Q151"/>
  <sheetViews>
    <sheetView showZeros="0" rightToLeft="1" zoomScaleNormal="100" workbookViewId="0">
      <pane xSplit="3" ySplit="5" topLeftCell="D84" activePane="bottomRight" state="frozen"/>
      <selection activeCell="T20" sqref="T20"/>
      <selection pane="topRight" activeCell="T20" sqref="T20"/>
      <selection pane="bottomLeft" activeCell="T20" sqref="T20"/>
      <selection pane="bottomRight" activeCell="T20" sqref="T20"/>
    </sheetView>
  </sheetViews>
  <sheetFormatPr defaultColWidth="9.1796875" defaultRowHeight="18"/>
  <cols>
    <col min="1" max="1" width="4" style="418" customWidth="1"/>
    <col min="2" max="2" width="4.81640625" style="419" customWidth="1"/>
    <col min="3" max="3" width="20.54296875" style="266" customWidth="1"/>
    <col min="4" max="4" width="12.54296875" style="248" customWidth="1"/>
    <col min="5" max="5" width="12.7265625" style="248" customWidth="1"/>
    <col min="6" max="6" width="11" style="248" customWidth="1"/>
    <col min="7" max="10" width="12.7265625" style="248" hidden="1" customWidth="1"/>
    <col min="11" max="11" width="11.26953125" style="248" hidden="1" customWidth="1"/>
    <col min="12" max="12" width="11" style="248" customWidth="1"/>
    <col min="13" max="14" width="11.1796875" style="248" customWidth="1"/>
    <col min="15" max="15" width="12.54296875" style="248" customWidth="1"/>
    <col min="16" max="17" width="11.1796875" style="248" hidden="1" customWidth="1"/>
    <col min="18" max="18" width="10.26953125" style="248" hidden="1" customWidth="1"/>
    <col min="19" max="19" width="12" style="248" hidden="1" customWidth="1"/>
    <col min="20" max="20" width="9.81640625" style="248" customWidth="1"/>
    <col min="21" max="21" width="10.81640625" style="247" customWidth="1"/>
    <col min="22" max="22" width="11.1796875" style="247" customWidth="1"/>
    <col min="23" max="23" width="8.81640625" style="247" customWidth="1"/>
    <col min="24" max="24" width="11.81640625" style="247" hidden="1" customWidth="1"/>
    <col min="25" max="25" width="10.1796875" style="247" customWidth="1"/>
    <col min="26" max="26" width="11.1796875" style="247" customWidth="1"/>
    <col min="27" max="27" width="21.7265625" style="420" hidden="1" customWidth="1"/>
    <col min="28" max="28" width="21.7265625" style="247" hidden="1" customWidth="1"/>
    <col min="29" max="29" width="21.7265625" style="420" customWidth="1"/>
    <col min="30" max="30" width="15.81640625" style="266" customWidth="1"/>
    <col min="31" max="31" width="11.81640625" style="420" customWidth="1"/>
    <col min="32" max="32" width="9.1796875" style="247" customWidth="1"/>
    <col min="33" max="33" width="11.1796875" style="247" customWidth="1"/>
    <col min="34" max="35" width="9.1796875" style="247" customWidth="1"/>
    <col min="36" max="36" width="1.54296875" style="416" customWidth="1"/>
    <col min="37" max="37" width="10.54296875" style="416" customWidth="1"/>
    <col min="38" max="38" width="11.453125" style="416" customWidth="1"/>
    <col min="39" max="39" width="9.1796875" style="247" customWidth="1"/>
    <col min="40" max="40" width="9.1796875" style="247"/>
    <col min="41" max="41" width="10.1796875" style="247" bestFit="1" customWidth="1"/>
    <col min="42" max="16384" width="9.1796875" style="247"/>
  </cols>
  <sheetData>
    <row r="2" spans="1:38" s="416" customFormat="1">
      <c r="A2" s="414"/>
      <c r="B2" s="414"/>
      <c r="C2" s="593"/>
      <c r="D2" s="414"/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414"/>
      <c r="R2" s="414"/>
      <c r="S2" s="414"/>
      <c r="T2" s="414"/>
      <c r="U2" s="414"/>
      <c r="V2" s="414"/>
      <c r="W2" s="414"/>
      <c r="X2" s="414"/>
      <c r="Y2" s="414"/>
      <c r="Z2" s="414"/>
      <c r="AA2" s="415"/>
      <c r="AC2" s="415"/>
      <c r="AD2" s="266"/>
    </row>
    <row r="3" spans="1:38">
      <c r="A3" s="414" t="s">
        <v>444</v>
      </c>
      <c r="B3" s="414"/>
      <c r="C3" s="593"/>
      <c r="D3" s="414"/>
      <c r="E3" s="414"/>
      <c r="F3" s="414"/>
      <c r="G3" s="414"/>
      <c r="H3" s="414"/>
      <c r="I3" s="414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414"/>
      <c r="AA3" s="418"/>
      <c r="AC3" s="418"/>
      <c r="AE3" s="247"/>
      <c r="AJ3" s="247"/>
      <c r="AK3" s="247"/>
      <c r="AL3" s="247"/>
    </row>
    <row r="4" spans="1:38">
      <c r="U4" s="248"/>
    </row>
    <row r="5" spans="1:38" s="422" customFormat="1" ht="86.25" customHeight="1">
      <c r="A5" s="250" t="s">
        <v>0</v>
      </c>
      <c r="B5" s="250" t="s">
        <v>1</v>
      </c>
      <c r="C5" s="250" t="s">
        <v>2</v>
      </c>
      <c r="D5" s="250" t="s">
        <v>3</v>
      </c>
      <c r="E5" s="250" t="s">
        <v>4</v>
      </c>
      <c r="F5" s="250" t="s">
        <v>5</v>
      </c>
      <c r="G5" s="250" t="s">
        <v>6</v>
      </c>
      <c r="H5" s="250" t="s">
        <v>7</v>
      </c>
      <c r="I5" s="250" t="s">
        <v>9</v>
      </c>
      <c r="J5" s="250" t="s">
        <v>318</v>
      </c>
      <c r="K5" s="250" t="s">
        <v>10</v>
      </c>
      <c r="L5" s="250" t="s">
        <v>11</v>
      </c>
      <c r="M5" s="11" t="s">
        <v>627</v>
      </c>
      <c r="N5" s="250" t="s">
        <v>628</v>
      </c>
      <c r="O5" s="250" t="s">
        <v>629</v>
      </c>
      <c r="P5" s="250" t="s">
        <v>12</v>
      </c>
      <c r="Q5" s="250" t="s">
        <v>700</v>
      </c>
      <c r="R5" s="250" t="s">
        <v>701</v>
      </c>
      <c r="S5" s="250" t="s">
        <v>632</v>
      </c>
      <c r="T5" s="250" t="s">
        <v>633</v>
      </c>
      <c r="U5" s="250" t="s">
        <v>634</v>
      </c>
      <c r="V5" s="250" t="s">
        <v>13</v>
      </c>
      <c r="W5" s="19" t="s">
        <v>14</v>
      </c>
      <c r="X5" s="250" t="s">
        <v>15</v>
      </c>
      <c r="Y5" s="250" t="s">
        <v>523</v>
      </c>
      <c r="Z5" s="250" t="s">
        <v>140</v>
      </c>
      <c r="AA5" s="421" t="s">
        <v>635</v>
      </c>
      <c r="AB5" s="250" t="s">
        <v>16</v>
      </c>
      <c r="AC5" s="420"/>
      <c r="AD5" s="266"/>
      <c r="AE5" s="420"/>
      <c r="AJ5" s="416"/>
      <c r="AK5" s="416"/>
      <c r="AL5" s="416"/>
    </row>
    <row r="6" spans="1:38" s="258" customFormat="1">
      <c r="A6" s="254"/>
      <c r="B6" s="254"/>
      <c r="C6" s="254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  <c r="Y6" s="255"/>
      <c r="Z6" s="254"/>
      <c r="AA6" s="698"/>
      <c r="AB6" s="251"/>
      <c r="AC6" s="420"/>
      <c r="AD6" s="266"/>
      <c r="AE6" s="420"/>
      <c r="AJ6" s="416"/>
      <c r="AK6" s="416"/>
      <c r="AL6" s="416"/>
    </row>
    <row r="7" spans="1:38" s="258" customFormat="1" ht="35.15" customHeight="1">
      <c r="A7" s="254">
        <f>A6+1</f>
        <v>1</v>
      </c>
      <c r="B7" s="254">
        <v>382</v>
      </c>
      <c r="C7" s="254" t="s">
        <v>1508</v>
      </c>
      <c r="D7" s="255">
        <f>49581930+21799400+1500000</f>
        <v>72881330</v>
      </c>
      <c r="E7" s="255">
        <v>49581930</v>
      </c>
      <c r="F7" s="255">
        <f t="shared" ref="F7:F84" si="0">D7-E7</f>
        <v>23299400</v>
      </c>
      <c r="G7" s="255">
        <f>39881330+1500000</f>
        <v>41381330</v>
      </c>
      <c r="H7" s="255">
        <v>39212248.18</v>
      </c>
      <c r="I7" s="255"/>
      <c r="J7" s="255">
        <v>2169071.08</v>
      </c>
      <c r="K7" s="255">
        <f>SUM(I7:J7)</f>
        <v>2169071.08</v>
      </c>
      <c r="L7" s="255">
        <f t="shared" ref="L7:L70" si="1">K7+H7</f>
        <v>41381319.259999998</v>
      </c>
      <c r="M7" s="255">
        <f>P7+S7</f>
        <v>5500010.7400000021</v>
      </c>
      <c r="N7" s="255">
        <f>24500000-10000000</f>
        <v>14500000</v>
      </c>
      <c r="O7" s="255">
        <f>D7-L7-M7-N7</f>
        <v>11500000</v>
      </c>
      <c r="P7" s="255">
        <f>G7-L7</f>
        <v>10.740000002086163</v>
      </c>
      <c r="Q7" s="423">
        <f>1500000+4000000</f>
        <v>5500000</v>
      </c>
      <c r="R7" s="255"/>
      <c r="S7" s="255">
        <f>SUM(Q7:R7)</f>
        <v>5500000</v>
      </c>
      <c r="T7" s="255">
        <f>P7-M7+S7</f>
        <v>0</v>
      </c>
      <c r="U7" s="255">
        <f>N7-T7</f>
        <v>14500000</v>
      </c>
      <c r="V7" s="255">
        <f>U7-Y7-X7-Z7-W7</f>
        <v>14500000</v>
      </c>
      <c r="W7" s="255"/>
      <c r="X7" s="255"/>
      <c r="Y7" s="255"/>
      <c r="Z7" s="254"/>
      <c r="AA7" s="699" t="s">
        <v>1302</v>
      </c>
      <c r="AB7" s="254">
        <v>742000</v>
      </c>
      <c r="AC7" s="420"/>
      <c r="AD7" s="266"/>
      <c r="AE7" s="425"/>
      <c r="AJ7" s="416"/>
      <c r="AK7" s="416"/>
      <c r="AL7" s="416"/>
    </row>
    <row r="8" spans="1:38" s="259" customFormat="1" ht="35.15" customHeight="1">
      <c r="A8" s="254">
        <f>A7+1</f>
        <v>2</v>
      </c>
      <c r="B8" s="254">
        <v>532</v>
      </c>
      <c r="C8" s="254" t="s">
        <v>128</v>
      </c>
      <c r="D8" s="255">
        <v>80090000</v>
      </c>
      <c r="E8" s="255">
        <v>80090000</v>
      </c>
      <c r="F8" s="255">
        <f t="shared" si="0"/>
        <v>0</v>
      </c>
      <c r="G8" s="255">
        <v>75090000</v>
      </c>
      <c r="H8" s="255">
        <v>67445015.310000002</v>
      </c>
      <c r="I8" s="255"/>
      <c r="J8" s="255">
        <v>3423266.65</v>
      </c>
      <c r="K8" s="255">
        <f t="shared" ref="K8:K58" si="2">SUM(I8:J8)</f>
        <v>3423266.65</v>
      </c>
      <c r="L8" s="255">
        <f t="shared" si="1"/>
        <v>70868281.960000008</v>
      </c>
      <c r="M8" s="255">
        <f t="shared" ref="M8:M71" si="3">P8+S8</f>
        <v>9221718.0399999917</v>
      </c>
      <c r="N8" s="255"/>
      <c r="O8" s="255">
        <f t="shared" ref="O8:O71" si="4">D8-L8-M8-N8</f>
        <v>0</v>
      </c>
      <c r="P8" s="255">
        <f t="shared" ref="P8:P71" si="5">G8-L8</f>
        <v>4221718.0399999917</v>
      </c>
      <c r="Q8" s="255">
        <v>5000000</v>
      </c>
      <c r="R8" s="255"/>
      <c r="S8" s="255">
        <f t="shared" ref="S8:S71" si="6">SUM(Q8:R8)</f>
        <v>5000000</v>
      </c>
      <c r="T8" s="255">
        <f t="shared" ref="T8:T71" si="7">P8-M8+S8</f>
        <v>0</v>
      </c>
      <c r="U8" s="255">
        <f t="shared" ref="U8:U71" si="8">N8-T8</f>
        <v>0</v>
      </c>
      <c r="V8" s="255">
        <f t="shared" ref="V8:V71" si="9">U8-Y8-X8-Z8-W8</f>
        <v>0</v>
      </c>
      <c r="W8" s="255"/>
      <c r="X8" s="255"/>
      <c r="Y8" s="255"/>
      <c r="Z8" s="254"/>
      <c r="AA8" s="700" t="s">
        <v>1052</v>
      </c>
      <c r="AB8" s="254">
        <v>742000</v>
      </c>
      <c r="AC8" s="420"/>
      <c r="AD8" s="266"/>
      <c r="AE8" s="425"/>
      <c r="AF8" s="258"/>
      <c r="AJ8" s="416"/>
      <c r="AK8" s="416"/>
      <c r="AL8" s="416"/>
    </row>
    <row r="9" spans="1:38" s="259" customFormat="1" ht="35.15" customHeight="1">
      <c r="A9" s="254">
        <f t="shared" ref="A9:A72" si="10">A8+1</f>
        <v>3</v>
      </c>
      <c r="B9" s="254">
        <v>576</v>
      </c>
      <c r="C9" s="254" t="s">
        <v>129</v>
      </c>
      <c r="D9" s="255">
        <v>55113000</v>
      </c>
      <c r="E9" s="255">
        <v>55113000</v>
      </c>
      <c r="F9" s="255">
        <f t="shared" si="0"/>
        <v>0</v>
      </c>
      <c r="G9" s="255">
        <v>43913000</v>
      </c>
      <c r="H9" s="255">
        <v>42939526.600000001</v>
      </c>
      <c r="I9" s="255"/>
      <c r="J9" s="255">
        <v>476421.91</v>
      </c>
      <c r="K9" s="255">
        <f t="shared" si="2"/>
        <v>476421.91</v>
      </c>
      <c r="L9" s="255">
        <f t="shared" si="1"/>
        <v>43415948.509999998</v>
      </c>
      <c r="M9" s="255">
        <f t="shared" si="3"/>
        <v>10497051.490000002</v>
      </c>
      <c r="N9" s="255">
        <v>1200000</v>
      </c>
      <c r="O9" s="255">
        <f t="shared" si="4"/>
        <v>0</v>
      </c>
      <c r="P9" s="255">
        <f t="shared" si="5"/>
        <v>497051.49000000209</v>
      </c>
      <c r="Q9" s="255">
        <v>10000000</v>
      </c>
      <c r="R9" s="255"/>
      <c r="S9" s="255">
        <f t="shared" si="6"/>
        <v>10000000</v>
      </c>
      <c r="T9" s="255">
        <f t="shared" si="7"/>
        <v>0</v>
      </c>
      <c r="U9" s="255">
        <f t="shared" si="8"/>
        <v>1200000</v>
      </c>
      <c r="V9" s="255">
        <f t="shared" si="9"/>
        <v>600000</v>
      </c>
      <c r="W9" s="255"/>
      <c r="X9" s="255"/>
      <c r="Y9" s="255"/>
      <c r="Z9" s="255">
        <v>600000</v>
      </c>
      <c r="AA9" s="427" t="s">
        <v>1055</v>
      </c>
      <c r="AB9" s="254">
        <v>760000</v>
      </c>
      <c r="AC9" s="420"/>
      <c r="AD9" s="266"/>
      <c r="AE9" s="425"/>
      <c r="AF9" s="258"/>
      <c r="AJ9" s="416"/>
      <c r="AK9" s="416"/>
      <c r="AL9" s="416"/>
    </row>
    <row r="10" spans="1:38" s="259" customFormat="1" ht="35.15" customHeight="1">
      <c r="A10" s="254">
        <f t="shared" si="10"/>
        <v>4</v>
      </c>
      <c r="B10" s="254">
        <v>634</v>
      </c>
      <c r="C10" s="254" t="s">
        <v>1316</v>
      </c>
      <c r="D10" s="255">
        <v>57250000</v>
      </c>
      <c r="E10" s="255">
        <v>57250000</v>
      </c>
      <c r="F10" s="255">
        <f t="shared" si="0"/>
        <v>0</v>
      </c>
      <c r="G10" s="255">
        <v>57250000</v>
      </c>
      <c r="H10" s="255">
        <v>55114069.850000001</v>
      </c>
      <c r="I10" s="255"/>
      <c r="J10" s="255">
        <v>1188923.04</v>
      </c>
      <c r="K10" s="255">
        <f t="shared" si="2"/>
        <v>1188923.04</v>
      </c>
      <c r="L10" s="255">
        <f t="shared" si="1"/>
        <v>56302992.890000001</v>
      </c>
      <c r="M10" s="255">
        <f>P10+S10-900000</f>
        <v>47007.109999999404</v>
      </c>
      <c r="N10" s="255"/>
      <c r="O10" s="255">
        <f t="shared" si="4"/>
        <v>900000</v>
      </c>
      <c r="P10" s="255">
        <f t="shared" si="5"/>
        <v>947007.1099999994</v>
      </c>
      <c r="Q10" s="255"/>
      <c r="R10" s="255"/>
      <c r="S10" s="255">
        <f t="shared" si="6"/>
        <v>0</v>
      </c>
      <c r="T10" s="255">
        <f t="shared" si="7"/>
        <v>900000</v>
      </c>
      <c r="U10" s="255">
        <f t="shared" si="8"/>
        <v>-900000</v>
      </c>
      <c r="V10" s="255">
        <f t="shared" si="9"/>
        <v>-900000</v>
      </c>
      <c r="W10" s="255"/>
      <c r="X10" s="255"/>
      <c r="Y10" s="255"/>
      <c r="Z10" s="254"/>
      <c r="AA10" s="427" t="s">
        <v>1432</v>
      </c>
      <c r="AB10" s="254">
        <v>732000</v>
      </c>
      <c r="AC10" s="420"/>
      <c r="AD10" s="266"/>
      <c r="AE10" s="425"/>
      <c r="AF10" s="258"/>
      <c r="AJ10" s="416"/>
      <c r="AK10" s="416"/>
      <c r="AL10" s="416"/>
    </row>
    <row r="11" spans="1:38" s="258" customFormat="1" ht="35.15" customHeight="1">
      <c r="A11" s="254">
        <f t="shared" si="10"/>
        <v>5</v>
      </c>
      <c r="B11" s="254">
        <v>1067</v>
      </c>
      <c r="C11" s="254" t="s">
        <v>131</v>
      </c>
      <c r="D11" s="255">
        <v>3725000</v>
      </c>
      <c r="E11" s="255">
        <v>3725000</v>
      </c>
      <c r="F11" s="255">
        <f t="shared" si="0"/>
        <v>0</v>
      </c>
      <c r="G11" s="255">
        <v>3575000</v>
      </c>
      <c r="H11" s="255">
        <v>2510465.44</v>
      </c>
      <c r="I11" s="255"/>
      <c r="J11" s="255">
        <v>108849.76</v>
      </c>
      <c r="K11" s="255">
        <f t="shared" si="2"/>
        <v>108849.76</v>
      </c>
      <c r="L11" s="255">
        <f t="shared" si="1"/>
        <v>2619315.1999999997</v>
      </c>
      <c r="M11" s="255">
        <f t="shared" si="3"/>
        <v>1105684.8000000003</v>
      </c>
      <c r="N11" s="255"/>
      <c r="O11" s="255">
        <f t="shared" si="4"/>
        <v>0</v>
      </c>
      <c r="P11" s="255">
        <f t="shared" si="5"/>
        <v>955684.80000000028</v>
      </c>
      <c r="Q11" s="255">
        <v>150000</v>
      </c>
      <c r="R11" s="255"/>
      <c r="S11" s="255">
        <f t="shared" si="6"/>
        <v>150000</v>
      </c>
      <c r="T11" s="255">
        <f t="shared" si="7"/>
        <v>0</v>
      </c>
      <c r="U11" s="255">
        <f t="shared" si="8"/>
        <v>0</v>
      </c>
      <c r="V11" s="255">
        <f t="shared" si="9"/>
        <v>0</v>
      </c>
      <c r="W11" s="255"/>
      <c r="X11" s="255"/>
      <c r="Y11" s="255"/>
      <c r="Z11" s="254"/>
      <c r="AA11" s="700" t="s">
        <v>702</v>
      </c>
      <c r="AB11" s="254">
        <v>742000</v>
      </c>
      <c r="AC11" s="420"/>
      <c r="AD11" s="266"/>
      <c r="AE11" s="425"/>
      <c r="AJ11" s="416"/>
      <c r="AK11" s="416"/>
      <c r="AL11" s="416"/>
    </row>
    <row r="12" spans="1:38" s="259" customFormat="1" ht="35.15" customHeight="1">
      <c r="A12" s="254">
        <f t="shared" si="10"/>
        <v>6</v>
      </c>
      <c r="B12" s="254">
        <v>1207</v>
      </c>
      <c r="C12" s="254" t="s">
        <v>132</v>
      </c>
      <c r="D12" s="255">
        <v>50650000</v>
      </c>
      <c r="E12" s="255">
        <v>50650000</v>
      </c>
      <c r="F12" s="255">
        <f t="shared" si="0"/>
        <v>0</v>
      </c>
      <c r="G12" s="255">
        <v>21650000</v>
      </c>
      <c r="H12" s="255">
        <v>18541918.899999999</v>
      </c>
      <c r="I12" s="255"/>
      <c r="J12" s="255">
        <v>3102404.99</v>
      </c>
      <c r="K12" s="255">
        <f t="shared" si="2"/>
        <v>3102404.99</v>
      </c>
      <c r="L12" s="255">
        <f t="shared" si="1"/>
        <v>21644323.890000001</v>
      </c>
      <c r="M12" s="255">
        <f t="shared" si="3"/>
        <v>14005676.109999999</v>
      </c>
      <c r="N12" s="255">
        <f>15000000-10000000</f>
        <v>5000000</v>
      </c>
      <c r="O12" s="255">
        <f t="shared" si="4"/>
        <v>10000000</v>
      </c>
      <c r="P12" s="255">
        <f t="shared" si="5"/>
        <v>5676.109999999404</v>
      </c>
      <c r="Q12" s="255">
        <v>14000000</v>
      </c>
      <c r="R12" s="255"/>
      <c r="S12" s="255">
        <f t="shared" si="6"/>
        <v>14000000</v>
      </c>
      <c r="T12" s="255">
        <f t="shared" si="7"/>
        <v>0</v>
      </c>
      <c r="U12" s="255">
        <f t="shared" si="8"/>
        <v>5000000</v>
      </c>
      <c r="V12" s="255">
        <f t="shared" si="9"/>
        <v>5000000</v>
      </c>
      <c r="W12" s="255"/>
      <c r="X12" s="255"/>
      <c r="Y12" s="255"/>
      <c r="Z12" s="254"/>
      <c r="AA12" s="700" t="s">
        <v>1255</v>
      </c>
      <c r="AB12" s="254">
        <v>742000</v>
      </c>
      <c r="AC12" s="420"/>
      <c r="AD12" s="266"/>
      <c r="AE12" s="425"/>
      <c r="AF12" s="258"/>
      <c r="AJ12" s="416"/>
      <c r="AK12" s="416"/>
      <c r="AL12" s="416"/>
    </row>
    <row r="13" spans="1:38" s="259" customFormat="1" ht="35.15" customHeight="1">
      <c r="A13" s="254">
        <f t="shared" si="10"/>
        <v>7</v>
      </c>
      <c r="B13" s="254">
        <v>1238</v>
      </c>
      <c r="C13" s="254" t="s">
        <v>133</v>
      </c>
      <c r="D13" s="255">
        <v>32940000</v>
      </c>
      <c r="E13" s="255">
        <v>32940000</v>
      </c>
      <c r="F13" s="255">
        <f t="shared" si="0"/>
        <v>0</v>
      </c>
      <c r="G13" s="255">
        <v>26440000</v>
      </c>
      <c r="H13" s="255">
        <v>25492352.199999999</v>
      </c>
      <c r="I13" s="255"/>
      <c r="J13" s="255">
        <v>802970.7</v>
      </c>
      <c r="K13" s="255">
        <f t="shared" si="2"/>
        <v>802970.7</v>
      </c>
      <c r="L13" s="255">
        <f t="shared" si="1"/>
        <v>26295322.899999999</v>
      </c>
      <c r="M13" s="255">
        <f t="shared" si="3"/>
        <v>144677.10000000149</v>
      </c>
      <c r="N13" s="255"/>
      <c r="O13" s="255">
        <f t="shared" si="4"/>
        <v>6500000</v>
      </c>
      <c r="P13" s="255">
        <f t="shared" si="5"/>
        <v>144677.10000000149</v>
      </c>
      <c r="Q13" s="255"/>
      <c r="R13" s="255"/>
      <c r="S13" s="255">
        <f t="shared" si="6"/>
        <v>0</v>
      </c>
      <c r="T13" s="255">
        <f t="shared" si="7"/>
        <v>0</v>
      </c>
      <c r="U13" s="255">
        <f t="shared" si="8"/>
        <v>0</v>
      </c>
      <c r="V13" s="255">
        <f t="shared" si="9"/>
        <v>0</v>
      </c>
      <c r="W13" s="255"/>
      <c r="X13" s="255"/>
      <c r="Y13" s="255"/>
      <c r="Z13" s="254"/>
      <c r="AA13" s="427"/>
      <c r="AB13" s="254">
        <v>742000</v>
      </c>
      <c r="AC13" s="420"/>
      <c r="AD13" s="266"/>
      <c r="AE13" s="425"/>
      <c r="AF13" s="258"/>
      <c r="AJ13" s="416"/>
      <c r="AK13" s="416"/>
      <c r="AL13" s="416"/>
    </row>
    <row r="14" spans="1:38" s="259" customFormat="1" ht="35.15" customHeight="1">
      <c r="A14" s="254">
        <f t="shared" si="10"/>
        <v>8</v>
      </c>
      <c r="B14" s="254">
        <v>1298</v>
      </c>
      <c r="C14" s="254" t="s">
        <v>40</v>
      </c>
      <c r="D14" s="255">
        <f>4100000+500000+200000-200000</f>
        <v>4600000</v>
      </c>
      <c r="E14" s="255">
        <v>4100000</v>
      </c>
      <c r="F14" s="255">
        <f t="shared" si="0"/>
        <v>500000</v>
      </c>
      <c r="G14" s="255">
        <f>3600000+200000</f>
        <v>3800000</v>
      </c>
      <c r="H14" s="255">
        <v>3447721.87</v>
      </c>
      <c r="I14" s="255"/>
      <c r="J14" s="255">
        <v>152279.51</v>
      </c>
      <c r="K14" s="255">
        <f t="shared" si="2"/>
        <v>152279.51</v>
      </c>
      <c r="L14" s="255">
        <f t="shared" si="1"/>
        <v>3600001.38</v>
      </c>
      <c r="M14" s="255">
        <f t="shared" si="3"/>
        <v>499998.62000000011</v>
      </c>
      <c r="N14" s="255">
        <f>500000-200000+200000</f>
        <v>500000</v>
      </c>
      <c r="O14" s="255">
        <f t="shared" si="4"/>
        <v>0</v>
      </c>
      <c r="P14" s="255">
        <f t="shared" si="5"/>
        <v>199998.62000000011</v>
      </c>
      <c r="Q14" s="423">
        <f>500000-200000</f>
        <v>300000</v>
      </c>
      <c r="R14" s="255"/>
      <c r="S14" s="255">
        <f t="shared" si="6"/>
        <v>300000</v>
      </c>
      <c r="T14" s="255">
        <f t="shared" si="7"/>
        <v>0</v>
      </c>
      <c r="U14" s="255">
        <f t="shared" si="8"/>
        <v>500000</v>
      </c>
      <c r="V14" s="255">
        <f t="shared" si="9"/>
        <v>500000</v>
      </c>
      <c r="W14" s="255"/>
      <c r="X14" s="255"/>
      <c r="Y14" s="255"/>
      <c r="Z14" s="254"/>
      <c r="AA14" s="700" t="s">
        <v>703</v>
      </c>
      <c r="AB14" s="254">
        <v>742000</v>
      </c>
      <c r="AC14" s="420"/>
      <c r="AD14" s="266"/>
      <c r="AE14" s="425"/>
      <c r="AF14" s="258"/>
      <c r="AJ14" s="416"/>
      <c r="AK14" s="416"/>
      <c r="AL14" s="416"/>
    </row>
    <row r="15" spans="1:38" s="258" customFormat="1" ht="35.15" customHeight="1">
      <c r="A15" s="254">
        <f t="shared" si="10"/>
        <v>9</v>
      </c>
      <c r="B15" s="254">
        <v>1312</v>
      </c>
      <c r="C15" s="254" t="s">
        <v>41</v>
      </c>
      <c r="D15" s="255">
        <f>121000000-11500000</f>
        <v>109500000</v>
      </c>
      <c r="E15" s="255">
        <v>121000000</v>
      </c>
      <c r="F15" s="255">
        <f t="shared" si="0"/>
        <v>-11500000</v>
      </c>
      <c r="G15" s="255">
        <v>109500000</v>
      </c>
      <c r="H15" s="255">
        <v>100850839</v>
      </c>
      <c r="I15" s="255"/>
      <c r="J15" s="255">
        <v>7828114</v>
      </c>
      <c r="K15" s="255">
        <f t="shared" si="2"/>
        <v>7828114</v>
      </c>
      <c r="L15" s="255">
        <f t="shared" si="1"/>
        <v>108678953</v>
      </c>
      <c r="M15" s="255">
        <f t="shared" si="3"/>
        <v>821047</v>
      </c>
      <c r="N15" s="255"/>
      <c r="O15" s="255">
        <f t="shared" si="4"/>
        <v>0</v>
      </c>
      <c r="P15" s="255">
        <f t="shared" si="5"/>
        <v>821047</v>
      </c>
      <c r="Q15" s="255"/>
      <c r="R15" s="255"/>
      <c r="S15" s="255">
        <f t="shared" si="6"/>
        <v>0</v>
      </c>
      <c r="T15" s="255">
        <f t="shared" si="7"/>
        <v>0</v>
      </c>
      <c r="U15" s="255">
        <f t="shared" si="8"/>
        <v>0</v>
      </c>
      <c r="V15" s="255">
        <f t="shared" si="9"/>
        <v>0</v>
      </c>
      <c r="W15" s="255"/>
      <c r="X15" s="255"/>
      <c r="Y15" s="255"/>
      <c r="Z15" s="254"/>
      <c r="AA15" s="427" t="s">
        <v>1512</v>
      </c>
      <c r="AB15" s="254">
        <v>930000</v>
      </c>
      <c r="AC15" s="420"/>
      <c r="AD15" s="266"/>
      <c r="AE15" s="425"/>
      <c r="AJ15" s="416"/>
      <c r="AK15" s="416"/>
      <c r="AL15" s="416"/>
    </row>
    <row r="16" spans="1:38" s="258" customFormat="1" ht="35.15" customHeight="1">
      <c r="A16" s="254">
        <f t="shared" si="10"/>
        <v>10</v>
      </c>
      <c r="B16" s="254">
        <v>1375</v>
      </c>
      <c r="C16" s="254" t="s">
        <v>1317</v>
      </c>
      <c r="D16" s="255">
        <f>39800000+250000+100000</f>
        <v>40150000</v>
      </c>
      <c r="E16" s="255">
        <v>39800000</v>
      </c>
      <c r="F16" s="255">
        <f t="shared" si="0"/>
        <v>350000</v>
      </c>
      <c r="G16" s="255">
        <v>29500000</v>
      </c>
      <c r="H16" s="255">
        <v>27046641.710000001</v>
      </c>
      <c r="I16" s="255"/>
      <c r="J16" s="255">
        <v>532778.13</v>
      </c>
      <c r="K16" s="255">
        <f t="shared" si="2"/>
        <v>532778.13</v>
      </c>
      <c r="L16" s="255">
        <f t="shared" si="1"/>
        <v>27579419.84</v>
      </c>
      <c r="M16" s="255">
        <f t="shared" si="3"/>
        <v>1920580.1600000001</v>
      </c>
      <c r="N16" s="255">
        <f>10650000-10000000</f>
        <v>650000</v>
      </c>
      <c r="O16" s="255">
        <f t="shared" si="4"/>
        <v>10000000</v>
      </c>
      <c r="P16" s="255">
        <f t="shared" si="5"/>
        <v>1920580.1600000001</v>
      </c>
      <c r="Q16" s="255"/>
      <c r="R16" s="255"/>
      <c r="S16" s="255">
        <f t="shared" si="6"/>
        <v>0</v>
      </c>
      <c r="T16" s="255">
        <f t="shared" si="7"/>
        <v>0</v>
      </c>
      <c r="U16" s="255">
        <f t="shared" si="8"/>
        <v>650000</v>
      </c>
      <c r="V16" s="255">
        <f t="shared" si="9"/>
        <v>650000</v>
      </c>
      <c r="W16" s="255"/>
      <c r="X16" s="255"/>
      <c r="Y16" s="255"/>
      <c r="Z16" s="254"/>
      <c r="AA16" s="427" t="s">
        <v>1303</v>
      </c>
      <c r="AB16" s="254">
        <v>747000</v>
      </c>
      <c r="AC16" s="420"/>
      <c r="AD16" s="266"/>
      <c r="AE16" s="425"/>
      <c r="AJ16" s="416"/>
      <c r="AK16" s="416"/>
      <c r="AL16" s="416"/>
    </row>
    <row r="17" spans="1:38" s="258" customFormat="1" ht="35.15" customHeight="1">
      <c r="A17" s="254">
        <f t="shared" si="10"/>
        <v>11</v>
      </c>
      <c r="B17" s="254">
        <v>1402</v>
      </c>
      <c r="C17" s="254" t="s">
        <v>135</v>
      </c>
      <c r="D17" s="255">
        <v>7700000</v>
      </c>
      <c r="E17" s="255">
        <v>7700000</v>
      </c>
      <c r="F17" s="255">
        <f t="shared" si="0"/>
        <v>0</v>
      </c>
      <c r="G17" s="255">
        <v>7700000</v>
      </c>
      <c r="H17" s="255">
        <v>7686958.6200000001</v>
      </c>
      <c r="I17" s="255"/>
      <c r="J17" s="255">
        <v>10526.88</v>
      </c>
      <c r="K17" s="255">
        <f t="shared" si="2"/>
        <v>10526.88</v>
      </c>
      <c r="L17" s="255">
        <f t="shared" si="1"/>
        <v>7697485.5</v>
      </c>
      <c r="M17" s="255">
        <f t="shared" si="3"/>
        <v>2514.5</v>
      </c>
      <c r="N17" s="255"/>
      <c r="O17" s="255">
        <f t="shared" si="4"/>
        <v>0</v>
      </c>
      <c r="P17" s="255">
        <f t="shared" si="5"/>
        <v>2514.5</v>
      </c>
      <c r="Q17" s="255"/>
      <c r="R17" s="255"/>
      <c r="S17" s="255">
        <f t="shared" si="6"/>
        <v>0</v>
      </c>
      <c r="T17" s="255">
        <f t="shared" si="7"/>
        <v>0</v>
      </c>
      <c r="U17" s="255">
        <f t="shared" si="8"/>
        <v>0</v>
      </c>
      <c r="V17" s="255">
        <f t="shared" si="9"/>
        <v>0</v>
      </c>
      <c r="W17" s="255"/>
      <c r="X17" s="255"/>
      <c r="Y17" s="255"/>
      <c r="Z17" s="254"/>
      <c r="AA17" s="427"/>
      <c r="AB17" s="254">
        <v>714000</v>
      </c>
      <c r="AC17" s="420"/>
      <c r="AD17" s="266"/>
      <c r="AE17" s="425"/>
      <c r="AJ17" s="416"/>
      <c r="AK17" s="416"/>
      <c r="AL17" s="416"/>
    </row>
    <row r="18" spans="1:38" s="258" customFormat="1" ht="35.15" customHeight="1">
      <c r="A18" s="254">
        <f t="shared" si="10"/>
        <v>12</v>
      </c>
      <c r="B18" s="254">
        <v>1403</v>
      </c>
      <c r="C18" s="254" t="s">
        <v>704</v>
      </c>
      <c r="D18" s="255">
        <v>31750000</v>
      </c>
      <c r="E18" s="255">
        <v>31750000</v>
      </c>
      <c r="F18" s="255">
        <f t="shared" si="0"/>
        <v>0</v>
      </c>
      <c r="G18" s="255">
        <v>27849800</v>
      </c>
      <c r="H18" s="255">
        <v>19438206</v>
      </c>
      <c r="I18" s="255"/>
      <c r="J18" s="255">
        <v>6913157</v>
      </c>
      <c r="K18" s="255">
        <f t="shared" si="2"/>
        <v>6913157</v>
      </c>
      <c r="L18" s="255">
        <f t="shared" si="1"/>
        <v>26351363</v>
      </c>
      <c r="M18" s="255">
        <f t="shared" si="3"/>
        <v>4148437</v>
      </c>
      <c r="N18" s="255">
        <v>1250200</v>
      </c>
      <c r="O18" s="255">
        <f t="shared" si="4"/>
        <v>0</v>
      </c>
      <c r="P18" s="255">
        <f t="shared" si="5"/>
        <v>1498437</v>
      </c>
      <c r="Q18" s="255">
        <v>650000</v>
      </c>
      <c r="R18" s="255">
        <v>2000000</v>
      </c>
      <c r="S18" s="255">
        <f t="shared" si="6"/>
        <v>2650000</v>
      </c>
      <c r="T18" s="255">
        <f t="shared" si="7"/>
        <v>0</v>
      </c>
      <c r="U18" s="255">
        <f t="shared" si="8"/>
        <v>1250200</v>
      </c>
      <c r="V18" s="255">
        <f t="shared" si="9"/>
        <v>1250200</v>
      </c>
      <c r="W18" s="255"/>
      <c r="X18" s="255"/>
      <c r="Y18" s="255"/>
      <c r="Z18" s="254"/>
      <c r="AA18" s="427" t="s">
        <v>1304</v>
      </c>
      <c r="AB18" s="254">
        <v>826000</v>
      </c>
      <c r="AC18" s="420"/>
      <c r="AD18" s="266"/>
      <c r="AE18" s="425"/>
      <c r="AJ18" s="416"/>
      <c r="AK18" s="416"/>
      <c r="AL18" s="416"/>
    </row>
    <row r="19" spans="1:38" s="258" customFormat="1" ht="35.15" customHeight="1">
      <c r="A19" s="254">
        <f t="shared" si="10"/>
        <v>13</v>
      </c>
      <c r="B19" s="254">
        <v>1443</v>
      </c>
      <c r="C19" s="254" t="s">
        <v>136</v>
      </c>
      <c r="D19" s="255">
        <v>78500000</v>
      </c>
      <c r="E19" s="255">
        <v>78500000</v>
      </c>
      <c r="F19" s="255">
        <f t="shared" si="0"/>
        <v>0</v>
      </c>
      <c r="G19" s="255">
        <v>50840000</v>
      </c>
      <c r="H19" s="255">
        <v>50824299</v>
      </c>
      <c r="I19" s="255"/>
      <c r="J19" s="255"/>
      <c r="K19" s="255">
        <f t="shared" si="2"/>
        <v>0</v>
      </c>
      <c r="L19" s="255">
        <f t="shared" si="1"/>
        <v>50824299</v>
      </c>
      <c r="M19" s="255">
        <f t="shared" si="3"/>
        <v>15701</v>
      </c>
      <c r="N19" s="255"/>
      <c r="O19" s="255">
        <f t="shared" si="4"/>
        <v>27660000</v>
      </c>
      <c r="P19" s="255">
        <f t="shared" si="5"/>
        <v>15701</v>
      </c>
      <c r="Q19" s="255"/>
      <c r="R19" s="255"/>
      <c r="S19" s="255">
        <f t="shared" si="6"/>
        <v>0</v>
      </c>
      <c r="T19" s="255">
        <f t="shared" si="7"/>
        <v>0</v>
      </c>
      <c r="U19" s="255">
        <f t="shared" si="8"/>
        <v>0</v>
      </c>
      <c r="V19" s="255">
        <f t="shared" si="9"/>
        <v>0</v>
      </c>
      <c r="W19" s="255"/>
      <c r="X19" s="255"/>
      <c r="Y19" s="255"/>
      <c r="Z19" s="254"/>
      <c r="AA19" s="427"/>
      <c r="AB19" s="254">
        <v>749000</v>
      </c>
      <c r="AC19" s="420"/>
      <c r="AD19" s="266"/>
      <c r="AE19" s="425"/>
      <c r="AJ19" s="416"/>
      <c r="AK19" s="416"/>
      <c r="AL19" s="416"/>
    </row>
    <row r="20" spans="1:38" s="258" customFormat="1" ht="35.15" customHeight="1">
      <c r="A20" s="254">
        <f t="shared" si="10"/>
        <v>14</v>
      </c>
      <c r="B20" s="254">
        <v>1446</v>
      </c>
      <c r="C20" s="254" t="s">
        <v>321</v>
      </c>
      <c r="D20" s="255">
        <v>14250000</v>
      </c>
      <c r="E20" s="255">
        <v>14250000</v>
      </c>
      <c r="F20" s="255">
        <f t="shared" si="0"/>
        <v>0</v>
      </c>
      <c r="G20" s="255">
        <v>5000000</v>
      </c>
      <c r="H20" s="255">
        <v>2780916.5</v>
      </c>
      <c r="I20" s="255">
        <v>1.1599999999999999</v>
      </c>
      <c r="J20" s="255">
        <v>2118058</v>
      </c>
      <c r="K20" s="255">
        <f t="shared" si="2"/>
        <v>2118059.16</v>
      </c>
      <c r="L20" s="255">
        <f t="shared" si="1"/>
        <v>4898975.66</v>
      </c>
      <c r="M20" s="255">
        <f t="shared" si="3"/>
        <v>3101024.34</v>
      </c>
      <c r="N20" s="255">
        <v>6250000</v>
      </c>
      <c r="O20" s="255">
        <f t="shared" si="4"/>
        <v>0</v>
      </c>
      <c r="P20" s="255">
        <f t="shared" si="5"/>
        <v>101024.33999999985</v>
      </c>
      <c r="Q20" s="255">
        <v>3000000</v>
      </c>
      <c r="R20" s="255"/>
      <c r="S20" s="255">
        <f t="shared" si="6"/>
        <v>3000000</v>
      </c>
      <c r="T20" s="255">
        <f t="shared" si="7"/>
        <v>0</v>
      </c>
      <c r="U20" s="255">
        <f t="shared" si="8"/>
        <v>6250000</v>
      </c>
      <c r="V20" s="255">
        <f t="shared" si="9"/>
        <v>6250000</v>
      </c>
      <c r="W20" s="255"/>
      <c r="X20" s="255"/>
      <c r="Y20" s="255"/>
      <c r="Z20" s="254"/>
      <c r="AA20" s="700" t="s">
        <v>1058</v>
      </c>
      <c r="AB20" s="254">
        <v>742000</v>
      </c>
      <c r="AC20" s="420"/>
      <c r="AD20" s="266"/>
      <c r="AE20" s="425"/>
      <c r="AJ20" s="416"/>
      <c r="AK20" s="416"/>
      <c r="AL20" s="416"/>
    </row>
    <row r="21" spans="1:38" s="258" customFormat="1" ht="35.15" customHeight="1">
      <c r="A21" s="254">
        <f t="shared" si="10"/>
        <v>15</v>
      </c>
      <c r="B21" s="254">
        <v>1455</v>
      </c>
      <c r="C21" s="254" t="s">
        <v>45</v>
      </c>
      <c r="D21" s="255">
        <v>4500000</v>
      </c>
      <c r="E21" s="255">
        <v>4500000</v>
      </c>
      <c r="F21" s="255">
        <f t="shared" si="0"/>
        <v>0</v>
      </c>
      <c r="G21" s="255">
        <v>4500000</v>
      </c>
      <c r="H21" s="255">
        <v>1029179.7</v>
      </c>
      <c r="I21" s="255"/>
      <c r="J21" s="255">
        <v>3323385.7</v>
      </c>
      <c r="K21" s="255">
        <f t="shared" si="2"/>
        <v>3323385.7</v>
      </c>
      <c r="L21" s="255">
        <f t="shared" si="1"/>
        <v>4352565.4000000004</v>
      </c>
      <c r="M21" s="255">
        <f t="shared" si="3"/>
        <v>147434.59999999963</v>
      </c>
      <c r="N21" s="255"/>
      <c r="O21" s="255">
        <f t="shared" si="4"/>
        <v>0</v>
      </c>
      <c r="P21" s="255">
        <f t="shared" si="5"/>
        <v>147434.59999999963</v>
      </c>
      <c r="Q21" s="255"/>
      <c r="R21" s="255"/>
      <c r="S21" s="255">
        <f t="shared" si="6"/>
        <v>0</v>
      </c>
      <c r="T21" s="255">
        <f t="shared" si="7"/>
        <v>0</v>
      </c>
      <c r="U21" s="255">
        <f t="shared" si="8"/>
        <v>0</v>
      </c>
      <c r="V21" s="255">
        <f t="shared" si="9"/>
        <v>0</v>
      </c>
      <c r="W21" s="255"/>
      <c r="X21" s="255"/>
      <c r="Y21" s="255"/>
      <c r="Z21" s="254"/>
      <c r="AA21" s="700"/>
      <c r="AB21" s="254">
        <v>742000</v>
      </c>
      <c r="AC21" s="420"/>
      <c r="AD21" s="266"/>
      <c r="AE21" s="425"/>
      <c r="AJ21" s="416"/>
      <c r="AK21" s="416"/>
      <c r="AL21" s="416"/>
    </row>
    <row r="22" spans="1:38" s="258" customFormat="1" ht="35.15" customHeight="1">
      <c r="A22" s="254">
        <f t="shared" si="10"/>
        <v>16</v>
      </c>
      <c r="B22" s="254">
        <v>1462</v>
      </c>
      <c r="C22" s="254" t="s">
        <v>705</v>
      </c>
      <c r="D22" s="255">
        <v>7500000</v>
      </c>
      <c r="E22" s="255">
        <v>7500000</v>
      </c>
      <c r="F22" s="255">
        <f t="shared" si="0"/>
        <v>0</v>
      </c>
      <c r="G22" s="255">
        <v>4600000</v>
      </c>
      <c r="H22" s="255">
        <v>2520514</v>
      </c>
      <c r="I22" s="255"/>
      <c r="J22" s="255">
        <v>1858217</v>
      </c>
      <c r="K22" s="255">
        <f t="shared" si="2"/>
        <v>1858217</v>
      </c>
      <c r="L22" s="255">
        <f t="shared" si="1"/>
        <v>4378731</v>
      </c>
      <c r="M22" s="255">
        <f t="shared" si="3"/>
        <v>3121269</v>
      </c>
      <c r="N22" s="255"/>
      <c r="O22" s="255">
        <f t="shared" si="4"/>
        <v>0</v>
      </c>
      <c r="P22" s="255">
        <f t="shared" si="5"/>
        <v>221269</v>
      </c>
      <c r="Q22" s="255">
        <v>2900000</v>
      </c>
      <c r="R22" s="255"/>
      <c r="S22" s="255">
        <f t="shared" si="6"/>
        <v>2900000</v>
      </c>
      <c r="T22" s="255">
        <f t="shared" si="7"/>
        <v>0</v>
      </c>
      <c r="U22" s="255">
        <f t="shared" si="8"/>
        <v>0</v>
      </c>
      <c r="V22" s="255">
        <f t="shared" si="9"/>
        <v>0</v>
      </c>
      <c r="W22" s="255"/>
      <c r="X22" s="255"/>
      <c r="Y22" s="255"/>
      <c r="Z22" s="254"/>
      <c r="AA22" s="427" t="s">
        <v>1433</v>
      </c>
      <c r="AB22" s="254">
        <v>742000</v>
      </c>
      <c r="AC22" s="420"/>
      <c r="AD22" s="266"/>
      <c r="AE22" s="425"/>
      <c r="AJ22" s="416"/>
      <c r="AK22" s="416"/>
      <c r="AL22" s="416"/>
    </row>
    <row r="23" spans="1:38" s="258" customFormat="1" ht="35.15" customHeight="1">
      <c r="A23" s="254">
        <f t="shared" si="10"/>
        <v>17</v>
      </c>
      <c r="B23" s="254">
        <v>1539</v>
      </c>
      <c r="C23" s="254" t="s">
        <v>47</v>
      </c>
      <c r="D23" s="255">
        <v>16300000</v>
      </c>
      <c r="E23" s="255">
        <v>16300000</v>
      </c>
      <c r="F23" s="255">
        <f t="shared" si="0"/>
        <v>0</v>
      </c>
      <c r="G23" s="255">
        <v>11240068</v>
      </c>
      <c r="H23" s="255">
        <v>4351428</v>
      </c>
      <c r="I23" s="255">
        <v>54264.4</v>
      </c>
      <c r="J23" s="255">
        <v>4279760</v>
      </c>
      <c r="K23" s="255">
        <f t="shared" si="2"/>
        <v>4334024.4000000004</v>
      </c>
      <c r="L23" s="255">
        <f t="shared" si="1"/>
        <v>8685452.4000000004</v>
      </c>
      <c r="M23" s="255">
        <f t="shared" si="3"/>
        <v>7614547.5999999996</v>
      </c>
      <c r="N23" s="255"/>
      <c r="O23" s="255">
        <f t="shared" si="4"/>
        <v>0</v>
      </c>
      <c r="P23" s="255">
        <f t="shared" si="5"/>
        <v>2554615.5999999996</v>
      </c>
      <c r="Q23" s="255">
        <v>5059932</v>
      </c>
      <c r="R23" s="255"/>
      <c r="S23" s="255">
        <f t="shared" si="6"/>
        <v>5059932</v>
      </c>
      <c r="T23" s="255">
        <f t="shared" si="7"/>
        <v>0</v>
      </c>
      <c r="U23" s="255">
        <f t="shared" si="8"/>
        <v>0</v>
      </c>
      <c r="V23" s="255">
        <f t="shared" si="9"/>
        <v>0</v>
      </c>
      <c r="W23" s="255"/>
      <c r="X23" s="255"/>
      <c r="Y23" s="255"/>
      <c r="Z23" s="254"/>
      <c r="AA23" s="427" t="s">
        <v>1434</v>
      </c>
      <c r="AB23" s="254">
        <v>742000</v>
      </c>
      <c r="AC23" s="420"/>
      <c r="AD23" s="266"/>
      <c r="AE23" s="425"/>
      <c r="AJ23" s="416"/>
      <c r="AK23" s="416"/>
      <c r="AL23" s="416"/>
    </row>
    <row r="24" spans="1:38" s="258" customFormat="1" ht="35.15" customHeight="1">
      <c r="A24" s="254">
        <f t="shared" si="10"/>
        <v>18</v>
      </c>
      <c r="B24" s="254">
        <v>1588</v>
      </c>
      <c r="C24" s="254" t="s">
        <v>31</v>
      </c>
      <c r="D24" s="255">
        <v>50500000</v>
      </c>
      <c r="E24" s="255">
        <v>50500000</v>
      </c>
      <c r="F24" s="255">
        <f t="shared" si="0"/>
        <v>0</v>
      </c>
      <c r="G24" s="255">
        <f>15500000+5000000</f>
        <v>20500000</v>
      </c>
      <c r="H24" s="255">
        <v>14968892</v>
      </c>
      <c r="I24" s="255">
        <v>682147.41</v>
      </c>
      <c r="J24" s="255">
        <v>3348957</v>
      </c>
      <c r="K24" s="255">
        <f t="shared" si="2"/>
        <v>4031104.41</v>
      </c>
      <c r="L24" s="255">
        <f t="shared" si="1"/>
        <v>18999996.41</v>
      </c>
      <c r="M24" s="255">
        <f t="shared" si="3"/>
        <v>5500003.5899999999</v>
      </c>
      <c r="N24" s="255">
        <f>28000000-2000000</f>
        <v>26000000</v>
      </c>
      <c r="O24" s="255">
        <f t="shared" si="4"/>
        <v>0</v>
      </c>
      <c r="P24" s="255">
        <f t="shared" si="5"/>
        <v>1500003.5899999999</v>
      </c>
      <c r="Q24" s="255"/>
      <c r="R24" s="423">
        <f>7000000-3000000</f>
        <v>4000000</v>
      </c>
      <c r="S24" s="255">
        <f t="shared" si="6"/>
        <v>4000000</v>
      </c>
      <c r="T24" s="255">
        <f t="shared" si="7"/>
        <v>0</v>
      </c>
      <c r="U24" s="255">
        <f t="shared" si="8"/>
        <v>26000000</v>
      </c>
      <c r="V24" s="255">
        <f t="shared" si="9"/>
        <v>26000000</v>
      </c>
      <c r="W24" s="255"/>
      <c r="X24" s="255"/>
      <c r="Y24" s="255"/>
      <c r="Z24" s="254"/>
      <c r="AA24" s="427" t="s">
        <v>1059</v>
      </c>
      <c r="AB24" s="254">
        <v>742000</v>
      </c>
      <c r="AC24" s="420"/>
      <c r="AD24" s="266"/>
      <c r="AE24" s="425"/>
      <c r="AJ24" s="416"/>
      <c r="AK24" s="416"/>
      <c r="AL24" s="416"/>
    </row>
    <row r="25" spans="1:38" s="258" customFormat="1" ht="35.15" customHeight="1">
      <c r="A25" s="254">
        <f t="shared" si="10"/>
        <v>19</v>
      </c>
      <c r="B25" s="254">
        <v>1614</v>
      </c>
      <c r="C25" s="254" t="s">
        <v>706</v>
      </c>
      <c r="D25" s="255">
        <v>7200000</v>
      </c>
      <c r="E25" s="255">
        <v>7200000</v>
      </c>
      <c r="F25" s="255">
        <f t="shared" si="0"/>
        <v>0</v>
      </c>
      <c r="G25" s="255">
        <v>500000</v>
      </c>
      <c r="H25" s="255">
        <v>376009</v>
      </c>
      <c r="I25" s="255">
        <v>4790.92</v>
      </c>
      <c r="J25" s="255">
        <v>9452.2900000000009</v>
      </c>
      <c r="K25" s="255">
        <f t="shared" si="2"/>
        <v>14243.210000000001</v>
      </c>
      <c r="L25" s="255">
        <f t="shared" si="1"/>
        <v>390252.21</v>
      </c>
      <c r="M25" s="255">
        <f t="shared" si="3"/>
        <v>5809747.79</v>
      </c>
      <c r="N25" s="255">
        <v>1000000</v>
      </c>
      <c r="O25" s="255">
        <f t="shared" si="4"/>
        <v>0</v>
      </c>
      <c r="P25" s="255">
        <f t="shared" si="5"/>
        <v>109747.78999999998</v>
      </c>
      <c r="Q25" s="255">
        <v>5700000</v>
      </c>
      <c r="R25" s="255"/>
      <c r="S25" s="255">
        <f t="shared" si="6"/>
        <v>5700000</v>
      </c>
      <c r="T25" s="255">
        <f t="shared" si="7"/>
        <v>0</v>
      </c>
      <c r="U25" s="255">
        <f t="shared" si="8"/>
        <v>1000000</v>
      </c>
      <c r="V25" s="255">
        <f t="shared" si="9"/>
        <v>1000000</v>
      </c>
      <c r="W25" s="255"/>
      <c r="X25" s="255"/>
      <c r="Y25" s="255"/>
      <c r="Z25" s="254"/>
      <c r="AA25" s="427" t="s">
        <v>1060</v>
      </c>
      <c r="AB25" s="254">
        <v>742000</v>
      </c>
      <c r="AC25" s="420"/>
      <c r="AD25" s="266"/>
      <c r="AE25" s="425"/>
      <c r="AJ25" s="416"/>
      <c r="AK25" s="416"/>
      <c r="AL25" s="416"/>
    </row>
    <row r="26" spans="1:38" s="258" customFormat="1" ht="35.15" customHeight="1">
      <c r="A26" s="254">
        <f t="shared" si="10"/>
        <v>20</v>
      </c>
      <c r="B26" s="254">
        <v>1615</v>
      </c>
      <c r="C26" s="254" t="s">
        <v>200</v>
      </c>
      <c r="D26" s="255">
        <v>27700000</v>
      </c>
      <c r="E26" s="255">
        <v>27700000</v>
      </c>
      <c r="F26" s="255">
        <f t="shared" si="0"/>
        <v>0</v>
      </c>
      <c r="G26" s="255">
        <v>13200000</v>
      </c>
      <c r="H26" s="255">
        <v>8108780</v>
      </c>
      <c r="I26" s="255"/>
      <c r="J26" s="255">
        <v>4500965</v>
      </c>
      <c r="K26" s="255">
        <f t="shared" si="2"/>
        <v>4500965</v>
      </c>
      <c r="L26" s="255">
        <f t="shared" si="1"/>
        <v>12609745</v>
      </c>
      <c r="M26" s="255">
        <f t="shared" si="3"/>
        <v>7590255</v>
      </c>
      <c r="N26" s="255">
        <v>7500000</v>
      </c>
      <c r="O26" s="255">
        <f t="shared" si="4"/>
        <v>0</v>
      </c>
      <c r="P26" s="255">
        <f t="shared" si="5"/>
        <v>590255</v>
      </c>
      <c r="Q26" s="255">
        <v>7000000</v>
      </c>
      <c r="R26" s="255"/>
      <c r="S26" s="255">
        <f t="shared" si="6"/>
        <v>7000000</v>
      </c>
      <c r="T26" s="255">
        <f t="shared" si="7"/>
        <v>0</v>
      </c>
      <c r="U26" s="255">
        <f t="shared" si="8"/>
        <v>7500000</v>
      </c>
      <c r="V26" s="255">
        <f t="shared" si="9"/>
        <v>7500000</v>
      </c>
      <c r="W26" s="255"/>
      <c r="X26" s="255"/>
      <c r="Y26" s="255"/>
      <c r="Z26" s="254"/>
      <c r="AA26" s="427" t="s">
        <v>1061</v>
      </c>
      <c r="AB26" s="254">
        <v>742000</v>
      </c>
      <c r="AC26" s="420"/>
      <c r="AD26" s="266"/>
      <c r="AE26" s="425"/>
      <c r="AJ26" s="416"/>
      <c r="AK26" s="416"/>
      <c r="AL26" s="416"/>
    </row>
    <row r="27" spans="1:38" s="258" customFormat="1" ht="35.15" customHeight="1">
      <c r="A27" s="254">
        <f t="shared" si="10"/>
        <v>21</v>
      </c>
      <c r="B27" s="254">
        <v>1625</v>
      </c>
      <c r="C27" s="254" t="s">
        <v>206</v>
      </c>
      <c r="D27" s="255">
        <v>100000000</v>
      </c>
      <c r="E27" s="255">
        <v>100000000</v>
      </c>
      <c r="F27" s="255">
        <f t="shared" si="0"/>
        <v>0</v>
      </c>
      <c r="G27" s="255">
        <v>5125000</v>
      </c>
      <c r="H27" s="255">
        <v>4996356.58</v>
      </c>
      <c r="I27" s="255"/>
      <c r="J27" s="255">
        <v>118788.1</v>
      </c>
      <c r="K27" s="255">
        <f t="shared" si="2"/>
        <v>118788.1</v>
      </c>
      <c r="L27" s="255">
        <f t="shared" si="1"/>
        <v>5115144.68</v>
      </c>
      <c r="M27" s="255">
        <f t="shared" si="3"/>
        <v>9855.320000000298</v>
      </c>
      <c r="N27" s="255"/>
      <c r="O27" s="255">
        <f t="shared" si="4"/>
        <v>94875000</v>
      </c>
      <c r="P27" s="255">
        <f t="shared" si="5"/>
        <v>9855.320000000298</v>
      </c>
      <c r="Q27" s="255"/>
      <c r="R27" s="255"/>
      <c r="S27" s="255">
        <f t="shared" si="6"/>
        <v>0</v>
      </c>
      <c r="T27" s="255">
        <f t="shared" si="7"/>
        <v>0</v>
      </c>
      <c r="U27" s="255">
        <f t="shared" si="8"/>
        <v>0</v>
      </c>
      <c r="V27" s="255">
        <f t="shared" si="9"/>
        <v>0</v>
      </c>
      <c r="W27" s="255"/>
      <c r="X27" s="255"/>
      <c r="Y27" s="255"/>
      <c r="Z27" s="254"/>
      <c r="AA27" s="427"/>
      <c r="AB27" s="254">
        <v>829000</v>
      </c>
      <c r="AC27" s="420"/>
      <c r="AD27" s="266"/>
      <c r="AE27" s="425"/>
      <c r="AJ27" s="416"/>
      <c r="AK27" s="416"/>
      <c r="AL27" s="416"/>
    </row>
    <row r="28" spans="1:38" s="258" customFormat="1" ht="35.15" customHeight="1">
      <c r="A28" s="254">
        <f t="shared" si="10"/>
        <v>22</v>
      </c>
      <c r="B28" s="254">
        <v>1656</v>
      </c>
      <c r="C28" s="254" t="s">
        <v>49</v>
      </c>
      <c r="D28" s="255">
        <f>10800000-1400000</f>
        <v>9400000</v>
      </c>
      <c r="E28" s="255">
        <v>10800000</v>
      </c>
      <c r="F28" s="255">
        <f t="shared" si="0"/>
        <v>-1400000</v>
      </c>
      <c r="G28" s="255">
        <v>10800000</v>
      </c>
      <c r="H28" s="255">
        <v>6188759.0999999996</v>
      </c>
      <c r="I28" s="255">
        <v>30194.89</v>
      </c>
      <c r="J28" s="255">
        <v>2988274.59</v>
      </c>
      <c r="K28" s="255">
        <f t="shared" si="2"/>
        <v>3018469.48</v>
      </c>
      <c r="L28" s="255">
        <f t="shared" si="1"/>
        <v>9207228.5800000001</v>
      </c>
      <c r="M28" s="255">
        <f>P28+S28-1400000</f>
        <v>192771.41999999993</v>
      </c>
      <c r="N28" s="255"/>
      <c r="O28" s="255">
        <f t="shared" si="4"/>
        <v>0</v>
      </c>
      <c r="P28" s="255">
        <f t="shared" si="5"/>
        <v>1592771.42</v>
      </c>
      <c r="Q28" s="255"/>
      <c r="R28" s="255"/>
      <c r="S28" s="255">
        <f t="shared" si="6"/>
        <v>0</v>
      </c>
      <c r="T28" s="255">
        <f t="shared" si="7"/>
        <v>1400000</v>
      </c>
      <c r="U28" s="255">
        <f t="shared" si="8"/>
        <v>-1400000</v>
      </c>
      <c r="V28" s="255">
        <f t="shared" si="9"/>
        <v>-1400000</v>
      </c>
      <c r="W28" s="255"/>
      <c r="X28" s="255"/>
      <c r="Y28" s="255"/>
      <c r="Z28" s="254"/>
      <c r="AA28" s="700"/>
      <c r="AB28" s="254">
        <v>742000</v>
      </c>
      <c r="AC28" s="420"/>
      <c r="AD28" s="266"/>
      <c r="AE28" s="425"/>
      <c r="AJ28" s="416"/>
      <c r="AK28" s="416"/>
      <c r="AL28" s="416"/>
    </row>
    <row r="29" spans="1:38" s="258" customFormat="1" ht="35.15" customHeight="1">
      <c r="A29" s="254">
        <f t="shared" si="10"/>
        <v>23</v>
      </c>
      <c r="B29" s="254">
        <v>1657</v>
      </c>
      <c r="C29" s="254" t="s">
        <v>33</v>
      </c>
      <c r="D29" s="255">
        <v>60000000</v>
      </c>
      <c r="E29" s="255">
        <v>60000000</v>
      </c>
      <c r="F29" s="255">
        <f t="shared" si="0"/>
        <v>0</v>
      </c>
      <c r="G29" s="255">
        <v>10700000</v>
      </c>
      <c r="H29" s="255">
        <v>1285188.1599999999</v>
      </c>
      <c r="I29" s="255">
        <v>167189.14000000001</v>
      </c>
      <c r="J29" s="255">
        <v>1443624.21</v>
      </c>
      <c r="K29" s="255">
        <f t="shared" si="2"/>
        <v>1610813.35</v>
      </c>
      <c r="L29" s="255">
        <f t="shared" si="1"/>
        <v>2896001.51</v>
      </c>
      <c r="M29" s="255">
        <f t="shared" si="3"/>
        <v>10803998.49</v>
      </c>
      <c r="N29" s="255">
        <v>210000</v>
      </c>
      <c r="O29" s="255">
        <f t="shared" si="4"/>
        <v>46090000</v>
      </c>
      <c r="P29" s="255">
        <f t="shared" si="5"/>
        <v>7803998.4900000002</v>
      </c>
      <c r="Q29" s="255">
        <v>3000000</v>
      </c>
      <c r="R29" s="255"/>
      <c r="S29" s="255">
        <f t="shared" si="6"/>
        <v>3000000</v>
      </c>
      <c r="T29" s="255">
        <f t="shared" si="7"/>
        <v>0</v>
      </c>
      <c r="U29" s="255">
        <f t="shared" si="8"/>
        <v>210000</v>
      </c>
      <c r="V29" s="255">
        <f t="shared" si="9"/>
        <v>0</v>
      </c>
      <c r="W29" s="255"/>
      <c r="X29" s="255"/>
      <c r="Y29" s="255"/>
      <c r="Z29" s="255">
        <v>210000</v>
      </c>
      <c r="AA29" s="408" t="s">
        <v>1305</v>
      </c>
      <c r="AB29" s="254">
        <v>742000</v>
      </c>
      <c r="AC29" s="420"/>
      <c r="AD29" s="266"/>
      <c r="AE29" s="425"/>
      <c r="AJ29" s="416"/>
      <c r="AK29" s="416"/>
      <c r="AL29" s="416"/>
    </row>
    <row r="30" spans="1:38" s="258" customFormat="1" ht="35.15" customHeight="1">
      <c r="A30" s="254">
        <f t="shared" si="10"/>
        <v>24</v>
      </c>
      <c r="B30" s="254">
        <v>1718</v>
      </c>
      <c r="C30" s="254" t="s">
        <v>64</v>
      </c>
      <c r="D30" s="255">
        <f>13200000-2000000</f>
        <v>11200000</v>
      </c>
      <c r="E30" s="255">
        <v>13200000</v>
      </c>
      <c r="F30" s="255">
        <f t="shared" si="0"/>
        <v>-2000000</v>
      </c>
      <c r="G30" s="255">
        <v>13200000</v>
      </c>
      <c r="H30" s="255">
        <v>10395784.18</v>
      </c>
      <c r="I30" s="255">
        <v>32327.69</v>
      </c>
      <c r="J30" s="255">
        <v>591129.55000000005</v>
      </c>
      <c r="K30" s="255">
        <f t="shared" si="2"/>
        <v>623457.24</v>
      </c>
      <c r="L30" s="255">
        <f t="shared" si="1"/>
        <v>11019241.42</v>
      </c>
      <c r="M30" s="255">
        <f>P30+S30-2000000</f>
        <v>180758.58000000007</v>
      </c>
      <c r="N30" s="255"/>
      <c r="O30" s="255">
        <f t="shared" si="4"/>
        <v>0</v>
      </c>
      <c r="P30" s="255">
        <f t="shared" si="5"/>
        <v>2180758.58</v>
      </c>
      <c r="Q30" s="255"/>
      <c r="R30" s="255"/>
      <c r="S30" s="255">
        <f t="shared" si="6"/>
        <v>0</v>
      </c>
      <c r="T30" s="255">
        <f t="shared" si="7"/>
        <v>2000000</v>
      </c>
      <c r="U30" s="255">
        <f t="shared" si="8"/>
        <v>-2000000</v>
      </c>
      <c r="V30" s="255">
        <f t="shared" si="9"/>
        <v>-2000000</v>
      </c>
      <c r="W30" s="255"/>
      <c r="X30" s="255"/>
      <c r="Y30" s="255"/>
      <c r="Z30" s="254"/>
      <c r="AA30" s="427"/>
      <c r="AB30" s="254">
        <v>742000</v>
      </c>
      <c r="AC30" s="420"/>
      <c r="AD30" s="266"/>
      <c r="AE30" s="425"/>
      <c r="AJ30" s="416"/>
      <c r="AK30" s="416"/>
      <c r="AL30" s="416"/>
    </row>
    <row r="31" spans="1:38" s="258" customFormat="1" ht="35.15" customHeight="1">
      <c r="A31" s="254">
        <f t="shared" si="10"/>
        <v>25</v>
      </c>
      <c r="B31" s="254">
        <v>1723</v>
      </c>
      <c r="C31" s="254" t="s">
        <v>34</v>
      </c>
      <c r="D31" s="255">
        <v>17500000</v>
      </c>
      <c r="E31" s="255">
        <v>17500000</v>
      </c>
      <c r="F31" s="255">
        <f t="shared" si="0"/>
        <v>0</v>
      </c>
      <c r="G31" s="255">
        <v>12212460</v>
      </c>
      <c r="H31" s="255">
        <v>1125069</v>
      </c>
      <c r="I31" s="255"/>
      <c r="J31" s="255">
        <v>6598927.9400000004</v>
      </c>
      <c r="K31" s="255">
        <f t="shared" si="2"/>
        <v>6598927.9400000004</v>
      </c>
      <c r="L31" s="255">
        <f t="shared" si="1"/>
        <v>7723996.9400000004</v>
      </c>
      <c r="M31" s="255">
        <f t="shared" si="3"/>
        <v>4488463.0599999996</v>
      </c>
      <c r="N31" s="255">
        <v>5287540</v>
      </c>
      <c r="O31" s="255">
        <f t="shared" si="4"/>
        <v>0</v>
      </c>
      <c r="P31" s="255">
        <f t="shared" si="5"/>
        <v>4488463.0599999996</v>
      </c>
      <c r="Q31" s="255"/>
      <c r="R31" s="255"/>
      <c r="S31" s="255">
        <f t="shared" si="6"/>
        <v>0</v>
      </c>
      <c r="T31" s="255">
        <f t="shared" si="7"/>
        <v>0</v>
      </c>
      <c r="U31" s="255">
        <f t="shared" si="8"/>
        <v>5287540</v>
      </c>
      <c r="V31" s="255">
        <f t="shared" si="9"/>
        <v>825000</v>
      </c>
      <c r="W31" s="255"/>
      <c r="X31" s="255"/>
      <c r="Y31" s="255"/>
      <c r="Z31" s="255">
        <f>8745387-4282847</f>
        <v>4462540</v>
      </c>
      <c r="AA31" s="427" t="s">
        <v>1306</v>
      </c>
      <c r="AB31" s="254">
        <v>732000</v>
      </c>
      <c r="AC31" s="420"/>
      <c r="AD31" s="266"/>
      <c r="AE31" s="425"/>
      <c r="AJ31" s="416"/>
      <c r="AK31" s="416"/>
      <c r="AL31" s="416"/>
    </row>
    <row r="32" spans="1:38" s="258" customFormat="1" ht="35.15" customHeight="1">
      <c r="A32" s="254">
        <f t="shared" si="10"/>
        <v>26</v>
      </c>
      <c r="B32" s="254">
        <v>1739</v>
      </c>
      <c r="C32" s="254" t="s">
        <v>175</v>
      </c>
      <c r="D32" s="255">
        <f>6550000-235000</f>
        <v>6315000</v>
      </c>
      <c r="E32" s="255">
        <v>6550000</v>
      </c>
      <c r="F32" s="255">
        <f t="shared" si="0"/>
        <v>-235000</v>
      </c>
      <c r="G32" s="255">
        <v>6550000</v>
      </c>
      <c r="H32" s="255">
        <v>6261075</v>
      </c>
      <c r="I32" s="255"/>
      <c r="J32" s="255"/>
      <c r="K32" s="255">
        <f t="shared" si="2"/>
        <v>0</v>
      </c>
      <c r="L32" s="255">
        <f t="shared" si="1"/>
        <v>6261075</v>
      </c>
      <c r="M32" s="255">
        <f>P32+S32-235000</f>
        <v>53925</v>
      </c>
      <c r="N32" s="255"/>
      <c r="O32" s="255">
        <f t="shared" si="4"/>
        <v>0</v>
      </c>
      <c r="P32" s="255">
        <f t="shared" si="5"/>
        <v>288925</v>
      </c>
      <c r="Q32" s="255"/>
      <c r="R32" s="255"/>
      <c r="S32" s="255">
        <f t="shared" si="6"/>
        <v>0</v>
      </c>
      <c r="T32" s="255">
        <f t="shared" si="7"/>
        <v>235000</v>
      </c>
      <c r="U32" s="255">
        <f t="shared" si="8"/>
        <v>-235000</v>
      </c>
      <c r="V32" s="255">
        <f t="shared" si="9"/>
        <v>-235000</v>
      </c>
      <c r="W32" s="255"/>
      <c r="X32" s="255"/>
      <c r="Y32" s="255"/>
      <c r="Z32" s="255"/>
      <c r="AA32" s="427"/>
      <c r="AB32" s="254">
        <v>747000</v>
      </c>
      <c r="AC32" s="420"/>
      <c r="AD32" s="266"/>
      <c r="AE32" s="425"/>
      <c r="AJ32" s="416"/>
      <c r="AK32" s="416"/>
      <c r="AL32" s="416"/>
    </row>
    <row r="33" spans="1:43" s="258" customFormat="1" ht="35.15" customHeight="1">
      <c r="A33" s="254">
        <f t="shared" si="10"/>
        <v>27</v>
      </c>
      <c r="B33" s="254">
        <v>1751</v>
      </c>
      <c r="C33" s="254" t="s">
        <v>172</v>
      </c>
      <c r="D33" s="255">
        <v>4800000</v>
      </c>
      <c r="E33" s="255">
        <v>4800000</v>
      </c>
      <c r="F33" s="255">
        <f t="shared" si="0"/>
        <v>0</v>
      </c>
      <c r="G33" s="255">
        <v>4000000</v>
      </c>
      <c r="H33" s="255">
        <v>2019880</v>
      </c>
      <c r="I33" s="255"/>
      <c r="J33" s="255">
        <v>972804.37</v>
      </c>
      <c r="K33" s="255">
        <f t="shared" si="2"/>
        <v>972804.37</v>
      </c>
      <c r="L33" s="255">
        <f t="shared" si="1"/>
        <v>2992684.37</v>
      </c>
      <c r="M33" s="255">
        <f t="shared" si="3"/>
        <v>1807315.63</v>
      </c>
      <c r="N33" s="255"/>
      <c r="O33" s="255">
        <f t="shared" si="4"/>
        <v>0</v>
      </c>
      <c r="P33" s="255">
        <f t="shared" si="5"/>
        <v>1007315.6299999999</v>
      </c>
      <c r="Q33" s="255">
        <v>800000</v>
      </c>
      <c r="R33" s="255"/>
      <c r="S33" s="255">
        <f t="shared" si="6"/>
        <v>800000</v>
      </c>
      <c r="T33" s="255">
        <f t="shared" si="7"/>
        <v>0</v>
      </c>
      <c r="U33" s="255">
        <f t="shared" si="8"/>
        <v>0</v>
      </c>
      <c r="V33" s="255">
        <f t="shared" si="9"/>
        <v>0</v>
      </c>
      <c r="W33" s="255"/>
      <c r="X33" s="255"/>
      <c r="Y33" s="255"/>
      <c r="Z33" s="254"/>
      <c r="AA33" s="427" t="s">
        <v>1439</v>
      </c>
      <c r="AB33" s="254">
        <v>810000</v>
      </c>
      <c r="AC33" s="420"/>
      <c r="AD33" s="266"/>
      <c r="AE33" s="425"/>
      <c r="AJ33" s="416"/>
      <c r="AK33" s="416"/>
      <c r="AL33" s="416"/>
    </row>
    <row r="34" spans="1:43" s="265" customFormat="1" ht="35.15" customHeight="1">
      <c r="A34" s="254">
        <f t="shared" si="10"/>
        <v>28</v>
      </c>
      <c r="B34" s="254">
        <v>1763</v>
      </c>
      <c r="C34" s="254" t="s">
        <v>179</v>
      </c>
      <c r="D34" s="255">
        <v>4200000</v>
      </c>
      <c r="E34" s="255">
        <v>4200000</v>
      </c>
      <c r="F34" s="255">
        <f t="shared" si="0"/>
        <v>0</v>
      </c>
      <c r="G34" s="255">
        <v>4200000</v>
      </c>
      <c r="H34" s="255">
        <v>4018658</v>
      </c>
      <c r="I34" s="255"/>
      <c r="J34" s="255">
        <v>181154.89</v>
      </c>
      <c r="K34" s="255">
        <f t="shared" si="2"/>
        <v>181154.89</v>
      </c>
      <c r="L34" s="255">
        <f t="shared" si="1"/>
        <v>4199812.8899999997</v>
      </c>
      <c r="M34" s="255">
        <f t="shared" si="3"/>
        <v>187.11000000033528</v>
      </c>
      <c r="N34" s="255"/>
      <c r="O34" s="255">
        <f t="shared" si="4"/>
        <v>0</v>
      </c>
      <c r="P34" s="255">
        <f t="shared" si="5"/>
        <v>187.11000000033528</v>
      </c>
      <c r="Q34" s="255"/>
      <c r="R34" s="255"/>
      <c r="S34" s="255">
        <f t="shared" si="6"/>
        <v>0</v>
      </c>
      <c r="T34" s="255">
        <f t="shared" si="7"/>
        <v>0</v>
      </c>
      <c r="U34" s="255">
        <f t="shared" si="8"/>
        <v>0</v>
      </c>
      <c r="V34" s="255">
        <f t="shared" si="9"/>
        <v>0</v>
      </c>
      <c r="W34" s="255"/>
      <c r="X34" s="255"/>
      <c r="Y34" s="255"/>
      <c r="Z34" s="254"/>
      <c r="AA34" s="427"/>
      <c r="AB34" s="254">
        <v>742000</v>
      </c>
      <c r="AC34" s="420"/>
      <c r="AD34" s="266"/>
      <c r="AE34" s="425"/>
      <c r="AF34" s="258"/>
      <c r="AG34" s="258"/>
      <c r="AH34" s="258"/>
      <c r="AI34" s="258"/>
      <c r="AJ34" s="416"/>
      <c r="AK34" s="416"/>
      <c r="AL34" s="416"/>
      <c r="AM34" s="258"/>
      <c r="AN34" s="258"/>
      <c r="AO34" s="258"/>
      <c r="AP34" s="258"/>
      <c r="AQ34" s="258"/>
    </row>
    <row r="35" spans="1:43" s="266" customFormat="1" ht="35.15" customHeight="1">
      <c r="A35" s="254">
        <f t="shared" si="10"/>
        <v>29</v>
      </c>
      <c r="B35" s="254">
        <v>1765</v>
      </c>
      <c r="C35" s="254" t="s">
        <v>171</v>
      </c>
      <c r="D35" s="255">
        <v>2800000</v>
      </c>
      <c r="E35" s="255">
        <v>2800000</v>
      </c>
      <c r="F35" s="255">
        <f t="shared" si="0"/>
        <v>0</v>
      </c>
      <c r="G35" s="255">
        <v>2800000</v>
      </c>
      <c r="H35" s="255">
        <v>1618136.36</v>
      </c>
      <c r="I35" s="255"/>
      <c r="J35" s="255">
        <v>282628.65999999997</v>
      </c>
      <c r="K35" s="255">
        <f t="shared" si="2"/>
        <v>282628.65999999997</v>
      </c>
      <c r="L35" s="255">
        <f t="shared" si="1"/>
        <v>1900765.02</v>
      </c>
      <c r="M35" s="255">
        <f t="shared" si="3"/>
        <v>899234.98</v>
      </c>
      <c r="N35" s="255"/>
      <c r="O35" s="255">
        <f t="shared" si="4"/>
        <v>0</v>
      </c>
      <c r="P35" s="255">
        <f t="shared" si="5"/>
        <v>899234.98</v>
      </c>
      <c r="Q35" s="255"/>
      <c r="R35" s="255"/>
      <c r="S35" s="255">
        <f t="shared" si="6"/>
        <v>0</v>
      </c>
      <c r="T35" s="255">
        <f t="shared" si="7"/>
        <v>0</v>
      </c>
      <c r="U35" s="255">
        <f t="shared" si="8"/>
        <v>0</v>
      </c>
      <c r="V35" s="255">
        <f t="shared" si="9"/>
        <v>0</v>
      </c>
      <c r="W35" s="255"/>
      <c r="X35" s="255"/>
      <c r="Y35" s="255"/>
      <c r="Z35" s="254"/>
      <c r="AA35" s="427" t="s">
        <v>1435</v>
      </c>
      <c r="AB35" s="254">
        <v>742000</v>
      </c>
      <c r="AC35" s="420"/>
      <c r="AE35" s="425"/>
      <c r="AF35" s="258"/>
      <c r="AG35" s="258"/>
      <c r="AH35" s="258"/>
      <c r="AI35" s="258"/>
      <c r="AJ35" s="416"/>
      <c r="AK35" s="416"/>
      <c r="AL35" s="416"/>
      <c r="AM35" s="265"/>
      <c r="AN35" s="265"/>
      <c r="AO35" s="265"/>
      <c r="AP35" s="265"/>
      <c r="AQ35" s="265"/>
    </row>
    <row r="36" spans="1:43" s="259" customFormat="1" ht="35.15" customHeight="1">
      <c r="A36" s="254">
        <f t="shared" si="10"/>
        <v>30</v>
      </c>
      <c r="B36" s="254">
        <v>1798</v>
      </c>
      <c r="C36" s="254" t="s">
        <v>180</v>
      </c>
      <c r="D36" s="255">
        <v>1600000</v>
      </c>
      <c r="E36" s="255">
        <v>1600000</v>
      </c>
      <c r="F36" s="255">
        <f t="shared" si="0"/>
        <v>0</v>
      </c>
      <c r="G36" s="255">
        <v>1600000</v>
      </c>
      <c r="H36" s="255">
        <v>1450765</v>
      </c>
      <c r="I36" s="255"/>
      <c r="J36" s="255">
        <v>149231.26999999999</v>
      </c>
      <c r="K36" s="255">
        <f t="shared" si="2"/>
        <v>149231.26999999999</v>
      </c>
      <c r="L36" s="255">
        <f t="shared" si="1"/>
        <v>1599996.27</v>
      </c>
      <c r="M36" s="255">
        <f t="shared" si="3"/>
        <v>3.7299999999813735</v>
      </c>
      <c r="N36" s="255"/>
      <c r="O36" s="255">
        <f t="shared" si="4"/>
        <v>0</v>
      </c>
      <c r="P36" s="255">
        <f t="shared" si="5"/>
        <v>3.7299999999813735</v>
      </c>
      <c r="Q36" s="255"/>
      <c r="R36" s="255"/>
      <c r="S36" s="255">
        <f t="shared" si="6"/>
        <v>0</v>
      </c>
      <c r="T36" s="255">
        <f t="shared" si="7"/>
        <v>0</v>
      </c>
      <c r="U36" s="255">
        <f t="shared" si="8"/>
        <v>0</v>
      </c>
      <c r="V36" s="255">
        <f t="shared" si="9"/>
        <v>0</v>
      </c>
      <c r="W36" s="255"/>
      <c r="X36" s="255"/>
      <c r="Y36" s="255"/>
      <c r="Z36" s="254"/>
      <c r="AA36" s="427"/>
      <c r="AB36" s="254">
        <v>829000</v>
      </c>
      <c r="AC36" s="420"/>
      <c r="AD36" s="266"/>
      <c r="AE36" s="425"/>
      <c r="AF36" s="258"/>
      <c r="AG36" s="258"/>
      <c r="AJ36" s="416"/>
      <c r="AK36" s="416"/>
      <c r="AL36" s="416"/>
    </row>
    <row r="37" spans="1:43" ht="35.15" customHeight="1">
      <c r="A37" s="254">
        <f t="shared" si="10"/>
        <v>31</v>
      </c>
      <c r="B37" s="254">
        <v>1806</v>
      </c>
      <c r="C37" s="254" t="s">
        <v>216</v>
      </c>
      <c r="D37" s="255">
        <f>500000+400000-400000</f>
        <v>500000</v>
      </c>
      <c r="E37" s="255">
        <v>500000</v>
      </c>
      <c r="F37" s="255">
        <f t="shared" si="0"/>
        <v>0</v>
      </c>
      <c r="G37" s="255">
        <v>350000</v>
      </c>
      <c r="H37" s="255">
        <v>111153</v>
      </c>
      <c r="I37" s="255"/>
      <c r="J37" s="255">
        <v>87981.07</v>
      </c>
      <c r="K37" s="255">
        <f t="shared" si="2"/>
        <v>87981.07</v>
      </c>
      <c r="L37" s="255">
        <f t="shared" si="1"/>
        <v>199134.07</v>
      </c>
      <c r="M37" s="255">
        <f t="shared" si="3"/>
        <v>150865.93</v>
      </c>
      <c r="N37" s="255">
        <v>150000</v>
      </c>
      <c r="O37" s="255">
        <f t="shared" si="4"/>
        <v>0</v>
      </c>
      <c r="P37" s="255">
        <f t="shared" si="5"/>
        <v>150865.93</v>
      </c>
      <c r="Q37" s="255"/>
      <c r="R37" s="255"/>
      <c r="S37" s="255">
        <f t="shared" si="6"/>
        <v>0</v>
      </c>
      <c r="T37" s="255">
        <f t="shared" si="7"/>
        <v>0</v>
      </c>
      <c r="U37" s="255">
        <f t="shared" si="8"/>
        <v>150000</v>
      </c>
      <c r="V37" s="255">
        <f t="shared" si="9"/>
        <v>150000</v>
      </c>
      <c r="W37" s="255"/>
      <c r="X37" s="255"/>
      <c r="Y37" s="255"/>
      <c r="Z37" s="254"/>
      <c r="AA37" s="700" t="s">
        <v>707</v>
      </c>
      <c r="AB37" s="254">
        <v>732000</v>
      </c>
      <c r="AE37" s="425"/>
      <c r="AF37" s="258"/>
      <c r="AG37" s="266"/>
      <c r="AH37" s="266"/>
      <c r="AI37" s="266"/>
      <c r="AM37" s="266"/>
      <c r="AN37" s="266"/>
      <c r="AO37" s="266"/>
      <c r="AP37" s="266"/>
      <c r="AQ37" s="266"/>
    </row>
    <row r="38" spans="1:43" ht="35.15" customHeight="1">
      <c r="A38" s="254">
        <f t="shared" si="10"/>
        <v>32</v>
      </c>
      <c r="B38" s="254">
        <v>1808</v>
      </c>
      <c r="C38" s="254" t="s">
        <v>186</v>
      </c>
      <c r="D38" s="255">
        <v>1800000</v>
      </c>
      <c r="E38" s="255">
        <v>1800000</v>
      </c>
      <c r="F38" s="255">
        <f t="shared" si="0"/>
        <v>0</v>
      </c>
      <c r="G38" s="255">
        <v>1800000</v>
      </c>
      <c r="H38" s="255">
        <v>1512488</v>
      </c>
      <c r="I38" s="255"/>
      <c r="J38" s="255">
        <v>287218</v>
      </c>
      <c r="K38" s="255">
        <f t="shared" si="2"/>
        <v>287218</v>
      </c>
      <c r="L38" s="255">
        <f t="shared" si="1"/>
        <v>1799706</v>
      </c>
      <c r="M38" s="255">
        <f t="shared" si="3"/>
        <v>294</v>
      </c>
      <c r="N38" s="255"/>
      <c r="O38" s="255">
        <f t="shared" si="4"/>
        <v>0</v>
      </c>
      <c r="P38" s="255">
        <f t="shared" si="5"/>
        <v>294</v>
      </c>
      <c r="Q38" s="255"/>
      <c r="R38" s="255"/>
      <c r="S38" s="255">
        <f t="shared" si="6"/>
        <v>0</v>
      </c>
      <c r="T38" s="255">
        <f t="shared" si="7"/>
        <v>0</v>
      </c>
      <c r="U38" s="255">
        <f t="shared" si="8"/>
        <v>0</v>
      </c>
      <c r="V38" s="255">
        <f t="shared" si="9"/>
        <v>0</v>
      </c>
      <c r="W38" s="255"/>
      <c r="X38" s="255"/>
      <c r="Y38" s="255"/>
      <c r="Z38" s="254"/>
      <c r="AA38" s="427"/>
      <c r="AB38" s="254">
        <v>742000</v>
      </c>
      <c r="AE38" s="425"/>
      <c r="AF38" s="258"/>
      <c r="AG38" s="266"/>
      <c r="AH38" s="266"/>
      <c r="AI38" s="266"/>
    </row>
    <row r="39" spans="1:43" ht="35.15" customHeight="1">
      <c r="A39" s="254">
        <f t="shared" si="10"/>
        <v>33</v>
      </c>
      <c r="B39" s="254">
        <v>1809</v>
      </c>
      <c r="C39" s="254" t="s">
        <v>187</v>
      </c>
      <c r="D39" s="255">
        <v>680000</v>
      </c>
      <c r="E39" s="255">
        <v>680000</v>
      </c>
      <c r="F39" s="255">
        <f t="shared" si="0"/>
        <v>0</v>
      </c>
      <c r="G39" s="255">
        <v>680000</v>
      </c>
      <c r="H39" s="255">
        <v>266012</v>
      </c>
      <c r="I39" s="255"/>
      <c r="J39" s="255">
        <v>413976.2</v>
      </c>
      <c r="K39" s="255">
        <f t="shared" si="2"/>
        <v>413976.2</v>
      </c>
      <c r="L39" s="255">
        <f t="shared" si="1"/>
        <v>679988.2</v>
      </c>
      <c r="M39" s="255">
        <f t="shared" si="3"/>
        <v>11.800000000046566</v>
      </c>
      <c r="N39" s="255"/>
      <c r="O39" s="255">
        <f t="shared" si="4"/>
        <v>0</v>
      </c>
      <c r="P39" s="255">
        <f t="shared" si="5"/>
        <v>11.800000000046566</v>
      </c>
      <c r="Q39" s="255"/>
      <c r="R39" s="255"/>
      <c r="S39" s="255">
        <f t="shared" si="6"/>
        <v>0</v>
      </c>
      <c r="T39" s="255">
        <f t="shared" si="7"/>
        <v>0</v>
      </c>
      <c r="U39" s="255">
        <f t="shared" si="8"/>
        <v>0</v>
      </c>
      <c r="V39" s="255">
        <f t="shared" si="9"/>
        <v>0</v>
      </c>
      <c r="W39" s="255"/>
      <c r="X39" s="255"/>
      <c r="Y39" s="255"/>
      <c r="Z39" s="254"/>
      <c r="AA39" s="427"/>
      <c r="AB39" s="254">
        <v>742000</v>
      </c>
      <c r="AE39" s="425"/>
      <c r="AF39" s="258"/>
      <c r="AG39" s="266"/>
      <c r="AH39" s="266"/>
      <c r="AI39" s="266"/>
    </row>
    <row r="40" spans="1:43" ht="35.15" customHeight="1">
      <c r="A40" s="254">
        <f t="shared" si="10"/>
        <v>34</v>
      </c>
      <c r="B40" s="427">
        <v>1819</v>
      </c>
      <c r="C40" s="254" t="s">
        <v>1505</v>
      </c>
      <c r="D40" s="255">
        <v>18000000</v>
      </c>
      <c r="E40" s="255">
        <v>18000000</v>
      </c>
      <c r="F40" s="255">
        <f t="shared" si="0"/>
        <v>0</v>
      </c>
      <c r="G40" s="255">
        <v>2200000</v>
      </c>
      <c r="H40" s="255">
        <v>834062.1</v>
      </c>
      <c r="I40" s="255"/>
      <c r="J40" s="255">
        <v>1031865.66</v>
      </c>
      <c r="K40" s="255">
        <f t="shared" si="2"/>
        <v>1031865.66</v>
      </c>
      <c r="L40" s="255">
        <f t="shared" si="1"/>
        <v>1865927.76</v>
      </c>
      <c r="M40" s="255">
        <f t="shared" si="3"/>
        <v>7334072.2400000002</v>
      </c>
      <c r="N40" s="255">
        <f>8800000-2000000</f>
        <v>6800000</v>
      </c>
      <c r="O40" s="255">
        <f t="shared" si="4"/>
        <v>2000000</v>
      </c>
      <c r="P40" s="255">
        <f t="shared" si="5"/>
        <v>334072.24</v>
      </c>
      <c r="Q40" s="255">
        <v>7000000</v>
      </c>
      <c r="R40" s="255"/>
      <c r="S40" s="255">
        <f t="shared" si="6"/>
        <v>7000000</v>
      </c>
      <c r="T40" s="255">
        <f t="shared" si="7"/>
        <v>0</v>
      </c>
      <c r="U40" s="255">
        <f t="shared" si="8"/>
        <v>6800000</v>
      </c>
      <c r="V40" s="255">
        <f t="shared" si="9"/>
        <v>6800000</v>
      </c>
      <c r="W40" s="255"/>
      <c r="X40" s="255"/>
      <c r="Y40" s="255"/>
      <c r="Z40" s="254"/>
      <c r="AA40" s="427" t="s">
        <v>1513</v>
      </c>
      <c r="AB40" s="254">
        <v>742000</v>
      </c>
      <c r="AE40" s="425"/>
      <c r="AF40" s="258"/>
      <c r="AG40" s="266"/>
      <c r="AH40" s="266"/>
      <c r="AI40" s="266"/>
    </row>
    <row r="41" spans="1:43" s="258" customFormat="1" ht="35.15" customHeight="1">
      <c r="A41" s="254">
        <f t="shared" si="10"/>
        <v>35</v>
      </c>
      <c r="B41" s="254">
        <v>1825</v>
      </c>
      <c r="C41" s="254" t="s">
        <v>1064</v>
      </c>
      <c r="D41" s="255">
        <f>36500000+2500000</f>
        <v>39000000</v>
      </c>
      <c r="E41" s="255">
        <v>36500000</v>
      </c>
      <c r="F41" s="255">
        <f t="shared" si="0"/>
        <v>2500000</v>
      </c>
      <c r="G41" s="255">
        <v>35681330</v>
      </c>
      <c r="H41" s="255">
        <v>29050568</v>
      </c>
      <c r="I41" s="255"/>
      <c r="J41" s="255">
        <v>1133344.95</v>
      </c>
      <c r="K41" s="255">
        <f t="shared" si="2"/>
        <v>1133344.95</v>
      </c>
      <c r="L41" s="255">
        <f t="shared" si="1"/>
        <v>30183912.949999999</v>
      </c>
      <c r="M41" s="255">
        <f t="shared" si="3"/>
        <v>5497417.0500000007</v>
      </c>
      <c r="N41" s="255">
        <f>2500000+818670</f>
        <v>3318670</v>
      </c>
      <c r="O41" s="255">
        <f t="shared" si="4"/>
        <v>0</v>
      </c>
      <c r="P41" s="255">
        <f t="shared" si="5"/>
        <v>5497417.0500000007</v>
      </c>
      <c r="Q41" s="255"/>
      <c r="R41" s="255"/>
      <c r="S41" s="255">
        <f t="shared" si="6"/>
        <v>0</v>
      </c>
      <c r="T41" s="255">
        <f t="shared" si="7"/>
        <v>0</v>
      </c>
      <c r="U41" s="255">
        <f t="shared" si="8"/>
        <v>3318670</v>
      </c>
      <c r="V41" s="255">
        <f t="shared" si="9"/>
        <v>3318670</v>
      </c>
      <c r="W41" s="255"/>
      <c r="X41" s="255"/>
      <c r="Y41" s="255"/>
      <c r="Z41" s="254"/>
      <c r="AA41" s="701" t="s">
        <v>1063</v>
      </c>
      <c r="AB41" s="254">
        <v>810000</v>
      </c>
      <c r="AC41" s="420"/>
      <c r="AD41" s="266"/>
      <c r="AE41" s="425"/>
      <c r="AJ41" s="416"/>
      <c r="AK41" s="416"/>
      <c r="AL41" s="416"/>
    </row>
    <row r="42" spans="1:43" ht="35.15" customHeight="1">
      <c r="A42" s="254">
        <f t="shared" si="10"/>
        <v>36</v>
      </c>
      <c r="B42" s="427">
        <v>1833</v>
      </c>
      <c r="C42" s="254" t="s">
        <v>208</v>
      </c>
      <c r="D42" s="255">
        <f>28500000+500000</f>
        <v>29000000</v>
      </c>
      <c r="E42" s="255">
        <v>24000000</v>
      </c>
      <c r="F42" s="255">
        <f t="shared" si="0"/>
        <v>5000000</v>
      </c>
      <c r="G42" s="255">
        <f>500000+500000</f>
        <v>1000000</v>
      </c>
      <c r="H42" s="255">
        <v>107269</v>
      </c>
      <c r="I42" s="255"/>
      <c r="J42" s="255">
        <v>361413.42</v>
      </c>
      <c r="K42" s="255">
        <f t="shared" si="2"/>
        <v>361413.42</v>
      </c>
      <c r="L42" s="255">
        <f t="shared" si="1"/>
        <v>468682.42</v>
      </c>
      <c r="M42" s="255">
        <f t="shared" si="3"/>
        <v>531317.58000000007</v>
      </c>
      <c r="N42" s="255">
        <f>28000000-14000000</f>
        <v>14000000</v>
      </c>
      <c r="O42" s="255">
        <f t="shared" si="4"/>
        <v>14000000</v>
      </c>
      <c r="P42" s="255">
        <f t="shared" si="5"/>
        <v>531317.58000000007</v>
      </c>
      <c r="Q42" s="255"/>
      <c r="R42" s="255"/>
      <c r="S42" s="255">
        <f t="shared" si="6"/>
        <v>0</v>
      </c>
      <c r="T42" s="255">
        <f t="shared" si="7"/>
        <v>0</v>
      </c>
      <c r="U42" s="255">
        <f t="shared" si="8"/>
        <v>14000000</v>
      </c>
      <c r="V42" s="255">
        <f t="shared" si="9"/>
        <v>14000000</v>
      </c>
      <c r="W42" s="255"/>
      <c r="X42" s="255"/>
      <c r="Y42" s="255"/>
      <c r="Z42" s="254"/>
      <c r="AA42" s="427" t="s">
        <v>1444</v>
      </c>
      <c r="AB42" s="254">
        <v>829000</v>
      </c>
      <c r="AE42" s="425"/>
      <c r="AF42" s="258"/>
      <c r="AG42" s="266"/>
      <c r="AH42" s="266"/>
      <c r="AI42" s="266"/>
    </row>
    <row r="43" spans="1:43" s="258" customFormat="1" ht="35.15" customHeight="1">
      <c r="A43" s="254">
        <f t="shared" si="10"/>
        <v>37</v>
      </c>
      <c r="B43" s="254">
        <v>1834</v>
      </c>
      <c r="C43" s="254" t="s">
        <v>192</v>
      </c>
      <c r="D43" s="255">
        <v>60000000</v>
      </c>
      <c r="E43" s="255">
        <v>60000000</v>
      </c>
      <c r="F43" s="255">
        <f t="shared" si="0"/>
        <v>0</v>
      </c>
      <c r="G43" s="255">
        <v>2100000</v>
      </c>
      <c r="H43" s="255">
        <v>373623</v>
      </c>
      <c r="I43" s="255"/>
      <c r="J43" s="255">
        <v>1654455.23</v>
      </c>
      <c r="K43" s="255">
        <f t="shared" si="2"/>
        <v>1654455.23</v>
      </c>
      <c r="L43" s="255">
        <f t="shared" si="1"/>
        <v>2028078.23</v>
      </c>
      <c r="M43" s="255">
        <f t="shared" si="3"/>
        <v>3071921.77</v>
      </c>
      <c r="N43" s="255">
        <f>38500000-10000000</f>
        <v>28500000</v>
      </c>
      <c r="O43" s="255">
        <f t="shared" si="4"/>
        <v>26400000</v>
      </c>
      <c r="P43" s="255">
        <f t="shared" si="5"/>
        <v>71921.770000000019</v>
      </c>
      <c r="Q43" s="255">
        <v>3000000</v>
      </c>
      <c r="R43" s="255"/>
      <c r="S43" s="255">
        <f t="shared" si="6"/>
        <v>3000000</v>
      </c>
      <c r="T43" s="255">
        <f t="shared" si="7"/>
        <v>0</v>
      </c>
      <c r="U43" s="255">
        <f t="shared" si="8"/>
        <v>28500000</v>
      </c>
      <c r="V43" s="255">
        <f t="shared" si="9"/>
        <v>28500000</v>
      </c>
      <c r="W43" s="255"/>
      <c r="X43" s="255"/>
      <c r="Y43" s="255"/>
      <c r="Z43" s="254"/>
      <c r="AA43" s="427" t="s">
        <v>1445</v>
      </c>
      <c r="AB43" s="254">
        <v>824000</v>
      </c>
      <c r="AC43" s="420"/>
      <c r="AD43" s="266"/>
      <c r="AE43" s="425"/>
      <c r="AJ43" s="416"/>
      <c r="AK43" s="416"/>
      <c r="AL43" s="416"/>
    </row>
    <row r="44" spans="1:43" s="258" customFormat="1" ht="35.15" customHeight="1">
      <c r="A44" s="254">
        <f t="shared" si="10"/>
        <v>38</v>
      </c>
      <c r="B44" s="254">
        <v>1835</v>
      </c>
      <c r="C44" s="254" t="s">
        <v>1319</v>
      </c>
      <c r="D44" s="255">
        <v>58000000</v>
      </c>
      <c r="E44" s="255">
        <v>58000000</v>
      </c>
      <c r="F44" s="255">
        <f t="shared" si="0"/>
        <v>0</v>
      </c>
      <c r="G44" s="255">
        <v>3400000</v>
      </c>
      <c r="H44" s="255">
        <v>383268</v>
      </c>
      <c r="I44" s="255"/>
      <c r="J44" s="255">
        <v>2926209.49</v>
      </c>
      <c r="K44" s="255">
        <f t="shared" si="2"/>
        <v>2926209.49</v>
      </c>
      <c r="L44" s="255">
        <f t="shared" si="1"/>
        <v>3309477.49</v>
      </c>
      <c r="M44" s="255">
        <f t="shared" si="3"/>
        <v>8590522.5099999998</v>
      </c>
      <c r="N44" s="255"/>
      <c r="O44" s="255">
        <f t="shared" si="4"/>
        <v>46100000</v>
      </c>
      <c r="P44" s="255">
        <f t="shared" si="5"/>
        <v>90522.509999999776</v>
      </c>
      <c r="Q44" s="255">
        <v>8500000</v>
      </c>
      <c r="R44" s="255"/>
      <c r="S44" s="255">
        <f t="shared" si="6"/>
        <v>8500000</v>
      </c>
      <c r="T44" s="255">
        <f t="shared" si="7"/>
        <v>0</v>
      </c>
      <c r="U44" s="255">
        <f t="shared" si="8"/>
        <v>0</v>
      </c>
      <c r="V44" s="255">
        <f t="shared" si="9"/>
        <v>0</v>
      </c>
      <c r="W44" s="255"/>
      <c r="X44" s="255"/>
      <c r="Y44" s="255"/>
      <c r="Z44" s="254"/>
      <c r="AA44" s="698" t="s">
        <v>1446</v>
      </c>
      <c r="AB44" s="254">
        <v>824000</v>
      </c>
      <c r="AC44" s="420"/>
      <c r="AD44" s="266"/>
      <c r="AE44" s="425"/>
      <c r="AJ44" s="416"/>
      <c r="AK44" s="416"/>
      <c r="AL44" s="416"/>
    </row>
    <row r="45" spans="1:43" s="258" customFormat="1" ht="35.15" customHeight="1">
      <c r="A45" s="254">
        <f t="shared" si="10"/>
        <v>39</v>
      </c>
      <c r="B45" s="254">
        <v>1836</v>
      </c>
      <c r="C45" s="254" t="s">
        <v>194</v>
      </c>
      <c r="D45" s="255">
        <v>500000</v>
      </c>
      <c r="E45" s="255">
        <v>500000</v>
      </c>
      <c r="F45" s="255">
        <f t="shared" si="0"/>
        <v>0</v>
      </c>
      <c r="G45" s="255">
        <v>500000</v>
      </c>
      <c r="H45" s="255">
        <v>375301</v>
      </c>
      <c r="I45" s="255"/>
      <c r="J45" s="255">
        <v>124609.99</v>
      </c>
      <c r="K45" s="255">
        <f t="shared" si="2"/>
        <v>124609.99</v>
      </c>
      <c r="L45" s="255">
        <f t="shared" si="1"/>
        <v>499910.99</v>
      </c>
      <c r="M45" s="255">
        <f t="shared" si="3"/>
        <v>89.010000000009313</v>
      </c>
      <c r="N45" s="255"/>
      <c r="O45" s="255">
        <f t="shared" si="4"/>
        <v>0</v>
      </c>
      <c r="P45" s="255">
        <f t="shared" si="5"/>
        <v>89.010000000009313</v>
      </c>
      <c r="Q45" s="255"/>
      <c r="R45" s="255"/>
      <c r="S45" s="255">
        <f t="shared" si="6"/>
        <v>0</v>
      </c>
      <c r="T45" s="255">
        <f t="shared" si="7"/>
        <v>0</v>
      </c>
      <c r="U45" s="255">
        <f t="shared" si="8"/>
        <v>0</v>
      </c>
      <c r="V45" s="255">
        <f t="shared" si="9"/>
        <v>0</v>
      </c>
      <c r="W45" s="255"/>
      <c r="X45" s="255"/>
      <c r="Y45" s="255"/>
      <c r="Z45" s="254"/>
      <c r="AA45" s="427"/>
      <c r="AB45" s="254">
        <v>930000</v>
      </c>
      <c r="AC45" s="420"/>
      <c r="AD45" s="266"/>
      <c r="AE45" s="425"/>
      <c r="AJ45" s="416"/>
      <c r="AK45" s="416"/>
      <c r="AL45" s="416"/>
    </row>
    <row r="46" spans="1:43" ht="35.15" customHeight="1">
      <c r="A46" s="254">
        <f t="shared" si="10"/>
        <v>40</v>
      </c>
      <c r="B46" s="427">
        <v>1837</v>
      </c>
      <c r="C46" s="254" t="s">
        <v>209</v>
      </c>
      <c r="D46" s="255">
        <v>3200000</v>
      </c>
      <c r="E46" s="255">
        <v>3200000</v>
      </c>
      <c r="F46" s="255">
        <f t="shared" si="0"/>
        <v>0</v>
      </c>
      <c r="G46" s="255">
        <v>3200000</v>
      </c>
      <c r="H46" s="255">
        <v>787498</v>
      </c>
      <c r="I46" s="255"/>
      <c r="J46" s="255">
        <v>1227495</v>
      </c>
      <c r="K46" s="255">
        <f t="shared" si="2"/>
        <v>1227495</v>
      </c>
      <c r="L46" s="255">
        <f t="shared" si="1"/>
        <v>2014993</v>
      </c>
      <c r="M46" s="255">
        <f t="shared" si="3"/>
        <v>1185007</v>
      </c>
      <c r="N46" s="255"/>
      <c r="O46" s="255">
        <f t="shared" si="4"/>
        <v>0</v>
      </c>
      <c r="P46" s="255">
        <f t="shared" si="5"/>
        <v>1185007</v>
      </c>
      <c r="Q46" s="255"/>
      <c r="R46" s="255"/>
      <c r="S46" s="255">
        <f t="shared" si="6"/>
        <v>0</v>
      </c>
      <c r="T46" s="255">
        <f t="shared" si="7"/>
        <v>0</v>
      </c>
      <c r="U46" s="255">
        <f t="shared" si="8"/>
        <v>0</v>
      </c>
      <c r="V46" s="255">
        <f t="shared" si="9"/>
        <v>0</v>
      </c>
      <c r="W46" s="255"/>
      <c r="X46" s="255"/>
      <c r="Y46" s="255"/>
      <c r="Z46" s="254"/>
      <c r="AA46" s="427" t="s">
        <v>1440</v>
      </c>
      <c r="AB46" s="254">
        <v>850000</v>
      </c>
      <c r="AE46" s="425"/>
      <c r="AF46" s="258"/>
      <c r="AG46" s="266"/>
      <c r="AH46" s="266"/>
      <c r="AI46" s="266"/>
    </row>
    <row r="47" spans="1:43" ht="35.15" customHeight="1">
      <c r="A47" s="254">
        <f t="shared" si="10"/>
        <v>41</v>
      </c>
      <c r="B47" s="427">
        <v>1845</v>
      </c>
      <c r="C47" s="254" t="s">
        <v>210</v>
      </c>
      <c r="D47" s="255">
        <v>1500000</v>
      </c>
      <c r="E47" s="255">
        <v>1500000</v>
      </c>
      <c r="F47" s="255">
        <f t="shared" si="0"/>
        <v>0</v>
      </c>
      <c r="G47" s="255">
        <v>500000</v>
      </c>
      <c r="H47" s="255">
        <v>360072</v>
      </c>
      <c r="I47" s="255"/>
      <c r="J47" s="255">
        <v>39892</v>
      </c>
      <c r="K47" s="255">
        <f t="shared" si="2"/>
        <v>39892</v>
      </c>
      <c r="L47" s="255">
        <f t="shared" si="1"/>
        <v>399964</v>
      </c>
      <c r="M47" s="255">
        <f t="shared" si="3"/>
        <v>100036</v>
      </c>
      <c r="N47" s="255">
        <v>1000000</v>
      </c>
      <c r="O47" s="255">
        <f t="shared" si="4"/>
        <v>0</v>
      </c>
      <c r="P47" s="255">
        <f t="shared" si="5"/>
        <v>100036</v>
      </c>
      <c r="Q47" s="255"/>
      <c r="R47" s="255"/>
      <c r="S47" s="255">
        <f t="shared" si="6"/>
        <v>0</v>
      </c>
      <c r="T47" s="255">
        <f t="shared" si="7"/>
        <v>0</v>
      </c>
      <c r="U47" s="255">
        <f t="shared" si="8"/>
        <v>1000000</v>
      </c>
      <c r="V47" s="255">
        <f t="shared" si="9"/>
        <v>1000000</v>
      </c>
      <c r="W47" s="255"/>
      <c r="X47" s="255"/>
      <c r="Y47" s="255"/>
      <c r="Z47" s="254"/>
      <c r="AA47" s="427" t="s">
        <v>1123</v>
      </c>
      <c r="AB47" s="254">
        <v>742000</v>
      </c>
      <c r="AE47" s="425"/>
      <c r="AF47" s="258"/>
      <c r="AG47" s="266"/>
      <c r="AH47" s="266"/>
      <c r="AI47" s="266"/>
    </row>
    <row r="48" spans="1:43" ht="35.15" customHeight="1">
      <c r="A48" s="254">
        <f t="shared" si="10"/>
        <v>42</v>
      </c>
      <c r="B48" s="427">
        <v>1846</v>
      </c>
      <c r="C48" s="254" t="s">
        <v>211</v>
      </c>
      <c r="D48" s="255">
        <f>2500000-2000000</f>
        <v>500000</v>
      </c>
      <c r="E48" s="255">
        <v>2500000</v>
      </c>
      <c r="F48" s="255">
        <f t="shared" si="0"/>
        <v>-2000000</v>
      </c>
      <c r="G48" s="255">
        <v>2500000</v>
      </c>
      <c r="H48" s="255">
        <v>200055</v>
      </c>
      <c r="I48" s="255"/>
      <c r="J48" s="255">
        <v>299944.23</v>
      </c>
      <c r="K48" s="255">
        <f t="shared" si="2"/>
        <v>299944.23</v>
      </c>
      <c r="L48" s="255">
        <f t="shared" si="1"/>
        <v>499999.23</v>
      </c>
      <c r="M48" s="255">
        <f>P48+S48-1000000</f>
        <v>0.77000000001862645</v>
      </c>
      <c r="N48" s="255"/>
      <c r="O48" s="255">
        <f t="shared" si="4"/>
        <v>0</v>
      </c>
      <c r="P48" s="255">
        <f t="shared" si="5"/>
        <v>2000000.77</v>
      </c>
      <c r="Q48" s="423">
        <v>-1000000</v>
      </c>
      <c r="R48" s="255"/>
      <c r="S48" s="255">
        <f t="shared" si="6"/>
        <v>-1000000</v>
      </c>
      <c r="T48" s="255">
        <f t="shared" si="7"/>
        <v>1000000</v>
      </c>
      <c r="U48" s="255">
        <f t="shared" si="8"/>
        <v>-1000000</v>
      </c>
      <c r="V48" s="255">
        <f t="shared" si="9"/>
        <v>-1000000</v>
      </c>
      <c r="W48" s="255"/>
      <c r="X48" s="255"/>
      <c r="Y48" s="255"/>
      <c r="Z48" s="254"/>
      <c r="AA48" s="427"/>
      <c r="AB48" s="254">
        <v>732000</v>
      </c>
      <c r="AE48" s="425"/>
      <c r="AF48" s="258"/>
      <c r="AG48" s="266"/>
      <c r="AH48" s="266"/>
      <c r="AI48" s="266"/>
    </row>
    <row r="49" spans="1:41" ht="35.15" customHeight="1">
      <c r="A49" s="254">
        <f t="shared" si="10"/>
        <v>43</v>
      </c>
      <c r="B49" s="427">
        <v>1847</v>
      </c>
      <c r="C49" s="254" t="s">
        <v>534</v>
      </c>
      <c r="D49" s="255">
        <v>7340000</v>
      </c>
      <c r="E49" s="255">
        <v>7340000</v>
      </c>
      <c r="F49" s="255">
        <f t="shared" si="0"/>
        <v>0</v>
      </c>
      <c r="G49" s="255">
        <v>7340000</v>
      </c>
      <c r="H49" s="255">
        <v>6930897</v>
      </c>
      <c r="I49" s="255"/>
      <c r="J49" s="255">
        <v>381754.9</v>
      </c>
      <c r="K49" s="255">
        <f t="shared" si="2"/>
        <v>381754.9</v>
      </c>
      <c r="L49" s="255">
        <f t="shared" si="1"/>
        <v>7312651.9000000004</v>
      </c>
      <c r="M49" s="255">
        <f t="shared" si="3"/>
        <v>27348.099999999627</v>
      </c>
      <c r="N49" s="255"/>
      <c r="O49" s="255">
        <f t="shared" si="4"/>
        <v>0</v>
      </c>
      <c r="P49" s="255">
        <f t="shared" si="5"/>
        <v>27348.099999999627</v>
      </c>
      <c r="Q49" s="255"/>
      <c r="R49" s="255"/>
      <c r="S49" s="255">
        <f t="shared" si="6"/>
        <v>0</v>
      </c>
      <c r="T49" s="255">
        <f t="shared" si="7"/>
        <v>0</v>
      </c>
      <c r="U49" s="255">
        <f t="shared" si="8"/>
        <v>0</v>
      </c>
      <c r="V49" s="255">
        <f t="shared" si="9"/>
        <v>0</v>
      </c>
      <c r="W49" s="255"/>
      <c r="X49" s="255"/>
      <c r="Y49" s="255"/>
      <c r="Z49" s="254"/>
      <c r="AA49" s="427"/>
      <c r="AB49" s="254">
        <v>810000</v>
      </c>
      <c r="AE49" s="425"/>
      <c r="AF49" s="258"/>
      <c r="AG49" s="266"/>
      <c r="AH49" s="266"/>
      <c r="AI49" s="266"/>
    </row>
    <row r="50" spans="1:41" s="258" customFormat="1" ht="35.15" customHeight="1">
      <c r="A50" s="254">
        <f t="shared" si="10"/>
        <v>44</v>
      </c>
      <c r="B50" s="254">
        <v>1854</v>
      </c>
      <c r="C50" s="254" t="s">
        <v>322</v>
      </c>
      <c r="D50" s="255">
        <v>5600000</v>
      </c>
      <c r="E50" s="255">
        <v>5600000</v>
      </c>
      <c r="F50" s="255">
        <f t="shared" si="0"/>
        <v>0</v>
      </c>
      <c r="G50" s="255">
        <v>5600000</v>
      </c>
      <c r="H50" s="255">
        <v>5518363</v>
      </c>
      <c r="I50" s="255"/>
      <c r="J50" s="255">
        <v>80238</v>
      </c>
      <c r="K50" s="255">
        <f t="shared" si="2"/>
        <v>80238</v>
      </c>
      <c r="L50" s="255">
        <f t="shared" si="1"/>
        <v>5598601</v>
      </c>
      <c r="M50" s="255">
        <f t="shared" si="3"/>
        <v>1399</v>
      </c>
      <c r="N50" s="255"/>
      <c r="O50" s="255">
        <f t="shared" si="4"/>
        <v>0</v>
      </c>
      <c r="P50" s="255">
        <f t="shared" si="5"/>
        <v>1399</v>
      </c>
      <c r="Q50" s="255"/>
      <c r="R50" s="255"/>
      <c r="S50" s="255">
        <f t="shared" si="6"/>
        <v>0</v>
      </c>
      <c r="T50" s="255">
        <f t="shared" si="7"/>
        <v>0</v>
      </c>
      <c r="U50" s="255">
        <f t="shared" si="8"/>
        <v>0</v>
      </c>
      <c r="V50" s="255">
        <f t="shared" si="9"/>
        <v>0</v>
      </c>
      <c r="W50" s="255"/>
      <c r="X50" s="255"/>
      <c r="Y50" s="255"/>
      <c r="Z50" s="254"/>
      <c r="AA50" s="427"/>
      <c r="AB50" s="254">
        <v>810000</v>
      </c>
      <c r="AC50" s="420"/>
      <c r="AD50" s="266"/>
      <c r="AE50" s="425"/>
      <c r="AJ50" s="416"/>
      <c r="AK50" s="416"/>
      <c r="AL50" s="416"/>
    </row>
    <row r="51" spans="1:41" s="5" customFormat="1" ht="35.15" customHeight="1">
      <c r="A51" s="254">
        <f t="shared" si="10"/>
        <v>45</v>
      </c>
      <c r="B51" s="3">
        <v>1872</v>
      </c>
      <c r="C51" s="3" t="s">
        <v>1320</v>
      </c>
      <c r="D51" s="4">
        <v>1160000</v>
      </c>
      <c r="E51" s="4">
        <v>1160000</v>
      </c>
      <c r="F51" s="4">
        <f t="shared" si="0"/>
        <v>0</v>
      </c>
      <c r="G51" s="4">
        <v>1160000</v>
      </c>
      <c r="H51" s="4">
        <v>0</v>
      </c>
      <c r="I51" s="4"/>
      <c r="J51" s="4">
        <v>200860.45</v>
      </c>
      <c r="K51" s="4">
        <f>SUM(I51:J51)</f>
        <v>200860.45</v>
      </c>
      <c r="L51" s="4">
        <f>H51+K51</f>
        <v>200860.45</v>
      </c>
      <c r="M51" s="4">
        <f>P51+S51</f>
        <v>959139.55</v>
      </c>
      <c r="N51" s="4"/>
      <c r="O51" s="4">
        <f t="shared" si="4"/>
        <v>0</v>
      </c>
      <c r="P51" s="4">
        <f t="shared" si="5"/>
        <v>959139.55</v>
      </c>
      <c r="Q51" s="4"/>
      <c r="R51" s="4"/>
      <c r="S51" s="4">
        <f t="shared" si="6"/>
        <v>0</v>
      </c>
      <c r="T51" s="4">
        <f t="shared" si="7"/>
        <v>0</v>
      </c>
      <c r="U51" s="4">
        <f t="shared" si="8"/>
        <v>0</v>
      </c>
      <c r="V51" s="4">
        <f>U51-Z51-W51-Y51</f>
        <v>0</v>
      </c>
      <c r="W51" s="4"/>
      <c r="X51" s="4"/>
      <c r="Y51" s="4"/>
      <c r="Z51" s="3"/>
      <c r="AA51" s="408" t="s">
        <v>1436</v>
      </c>
      <c r="AB51" s="3">
        <v>742000</v>
      </c>
      <c r="AD51" s="266"/>
    </row>
    <row r="52" spans="1:41" ht="35.15" customHeight="1">
      <c r="A52" s="254">
        <f t="shared" si="10"/>
        <v>46</v>
      </c>
      <c r="B52" s="427">
        <v>1894</v>
      </c>
      <c r="C52" s="254" t="s">
        <v>535</v>
      </c>
      <c r="D52" s="255">
        <v>7100000</v>
      </c>
      <c r="E52" s="255">
        <v>7100000</v>
      </c>
      <c r="F52" s="255">
        <f t="shared" si="0"/>
        <v>0</v>
      </c>
      <c r="G52" s="255">
        <v>7100000</v>
      </c>
      <c r="H52" s="255">
        <v>6050308</v>
      </c>
      <c r="I52" s="255"/>
      <c r="J52" s="255">
        <v>1046091.4</v>
      </c>
      <c r="K52" s="255">
        <f t="shared" si="2"/>
        <v>1046091.4</v>
      </c>
      <c r="L52" s="255">
        <f t="shared" si="1"/>
        <v>7096399.4000000004</v>
      </c>
      <c r="M52" s="255">
        <f t="shared" si="3"/>
        <v>3600.5999999996275</v>
      </c>
      <c r="N52" s="255"/>
      <c r="O52" s="255">
        <f t="shared" si="4"/>
        <v>0</v>
      </c>
      <c r="P52" s="255">
        <f t="shared" si="5"/>
        <v>3600.5999999996275</v>
      </c>
      <c r="Q52" s="255"/>
      <c r="R52" s="255"/>
      <c r="S52" s="255">
        <f t="shared" si="6"/>
        <v>0</v>
      </c>
      <c r="T52" s="255">
        <f t="shared" si="7"/>
        <v>0</v>
      </c>
      <c r="U52" s="255">
        <f t="shared" si="8"/>
        <v>0</v>
      </c>
      <c r="V52" s="255">
        <f t="shared" si="9"/>
        <v>0</v>
      </c>
      <c r="W52" s="255"/>
      <c r="X52" s="255"/>
      <c r="Y52" s="255"/>
      <c r="Z52" s="254"/>
      <c r="AA52" s="427"/>
      <c r="AB52" s="254">
        <v>810000</v>
      </c>
      <c r="AE52" s="425"/>
      <c r="AF52" s="258"/>
      <c r="AG52" s="266"/>
      <c r="AH52" s="266"/>
      <c r="AI52" s="266"/>
    </row>
    <row r="53" spans="1:41" ht="35.15" customHeight="1">
      <c r="A53" s="254">
        <f t="shared" si="10"/>
        <v>47</v>
      </c>
      <c r="B53" s="427">
        <v>1896</v>
      </c>
      <c r="C53" s="254" t="s">
        <v>1321</v>
      </c>
      <c r="D53" s="255">
        <v>18560000</v>
      </c>
      <c r="E53" s="255">
        <v>18560000</v>
      </c>
      <c r="F53" s="255">
        <f t="shared" si="0"/>
        <v>0</v>
      </c>
      <c r="G53" s="255">
        <v>1000000</v>
      </c>
      <c r="H53" s="255">
        <v>3622</v>
      </c>
      <c r="I53" s="255"/>
      <c r="J53" s="255">
        <v>2228.0500000000002</v>
      </c>
      <c r="K53" s="255">
        <f t="shared" si="2"/>
        <v>2228.0500000000002</v>
      </c>
      <c r="L53" s="255">
        <f t="shared" si="1"/>
        <v>5850.05</v>
      </c>
      <c r="M53" s="255">
        <f t="shared" si="3"/>
        <v>3994149.95</v>
      </c>
      <c r="N53" s="255">
        <v>7600000</v>
      </c>
      <c r="O53" s="255">
        <f t="shared" si="4"/>
        <v>6960000</v>
      </c>
      <c r="P53" s="255">
        <f t="shared" si="5"/>
        <v>994149.95</v>
      </c>
      <c r="Q53" s="255">
        <v>3000000</v>
      </c>
      <c r="R53" s="255"/>
      <c r="S53" s="255">
        <f t="shared" si="6"/>
        <v>3000000</v>
      </c>
      <c r="T53" s="255">
        <f t="shared" si="7"/>
        <v>0</v>
      </c>
      <c r="U53" s="255">
        <f t="shared" si="8"/>
        <v>7600000</v>
      </c>
      <c r="V53" s="255">
        <f t="shared" si="9"/>
        <v>7600000</v>
      </c>
      <c r="W53" s="255"/>
      <c r="X53" s="255"/>
      <c r="Y53" s="255"/>
      <c r="Z53" s="254"/>
      <c r="AA53" s="427" t="s">
        <v>1087</v>
      </c>
      <c r="AB53" s="254">
        <v>829000</v>
      </c>
      <c r="AE53" s="425"/>
      <c r="AF53" s="258"/>
      <c r="AG53" s="266"/>
      <c r="AH53" s="266"/>
      <c r="AI53" s="266"/>
    </row>
    <row r="54" spans="1:41" ht="35.15" customHeight="1">
      <c r="A54" s="254">
        <f t="shared" si="10"/>
        <v>48</v>
      </c>
      <c r="B54" s="427">
        <v>1903</v>
      </c>
      <c r="C54" s="254" t="s">
        <v>212</v>
      </c>
      <c r="D54" s="255">
        <v>1700000</v>
      </c>
      <c r="E54" s="255">
        <v>1700000</v>
      </c>
      <c r="F54" s="255">
        <f t="shared" si="0"/>
        <v>0</v>
      </c>
      <c r="G54" s="255">
        <v>1700000</v>
      </c>
      <c r="H54" s="255">
        <v>1613350</v>
      </c>
      <c r="I54" s="255"/>
      <c r="J54" s="255">
        <v>86645.62</v>
      </c>
      <c r="K54" s="255">
        <f t="shared" si="2"/>
        <v>86645.62</v>
      </c>
      <c r="L54" s="255">
        <f t="shared" si="1"/>
        <v>1699995.62</v>
      </c>
      <c r="M54" s="255">
        <f t="shared" si="3"/>
        <v>4.3799999998882413</v>
      </c>
      <c r="N54" s="255"/>
      <c r="O54" s="255">
        <f t="shared" si="4"/>
        <v>0</v>
      </c>
      <c r="P54" s="255">
        <f t="shared" si="5"/>
        <v>4.3799999998882413</v>
      </c>
      <c r="Q54" s="255"/>
      <c r="R54" s="255"/>
      <c r="S54" s="255">
        <f t="shared" si="6"/>
        <v>0</v>
      </c>
      <c r="T54" s="255">
        <f t="shared" si="7"/>
        <v>0</v>
      </c>
      <c r="U54" s="255">
        <f t="shared" si="8"/>
        <v>0</v>
      </c>
      <c r="V54" s="255">
        <f t="shared" si="9"/>
        <v>0</v>
      </c>
      <c r="W54" s="255"/>
      <c r="X54" s="255"/>
      <c r="Y54" s="255"/>
      <c r="Z54" s="254"/>
      <c r="AA54" s="427"/>
      <c r="AB54" s="254">
        <v>930000</v>
      </c>
      <c r="AE54" s="425"/>
      <c r="AF54" s="258"/>
      <c r="AG54" s="266"/>
      <c r="AH54" s="266"/>
      <c r="AI54" s="266"/>
    </row>
    <row r="55" spans="1:41" s="258" customFormat="1" ht="35.15" customHeight="1">
      <c r="A55" s="254">
        <f t="shared" si="10"/>
        <v>49</v>
      </c>
      <c r="B55" s="254">
        <v>1904</v>
      </c>
      <c r="C55" s="254" t="s">
        <v>199</v>
      </c>
      <c r="D55" s="255">
        <v>5700000</v>
      </c>
      <c r="E55" s="255">
        <v>5700000</v>
      </c>
      <c r="F55" s="255">
        <f t="shared" si="0"/>
        <v>0</v>
      </c>
      <c r="G55" s="255">
        <v>2000000</v>
      </c>
      <c r="H55" s="255">
        <v>86598</v>
      </c>
      <c r="I55" s="255"/>
      <c r="J55" s="255">
        <v>263400.27</v>
      </c>
      <c r="K55" s="255">
        <f t="shared" si="2"/>
        <v>263400.27</v>
      </c>
      <c r="L55" s="255">
        <f t="shared" si="1"/>
        <v>349998.27</v>
      </c>
      <c r="M55" s="255">
        <f t="shared" si="3"/>
        <v>1650001.73</v>
      </c>
      <c r="N55" s="255">
        <v>3700000</v>
      </c>
      <c r="O55" s="255">
        <f t="shared" si="4"/>
        <v>0</v>
      </c>
      <c r="P55" s="255">
        <f t="shared" si="5"/>
        <v>1650001.73</v>
      </c>
      <c r="Q55" s="255"/>
      <c r="R55" s="255"/>
      <c r="S55" s="255">
        <f t="shared" si="6"/>
        <v>0</v>
      </c>
      <c r="T55" s="255">
        <f t="shared" si="7"/>
        <v>0</v>
      </c>
      <c r="U55" s="255">
        <f t="shared" si="8"/>
        <v>3700000</v>
      </c>
      <c r="V55" s="255">
        <f t="shared" si="9"/>
        <v>775000</v>
      </c>
      <c r="W55" s="255"/>
      <c r="X55" s="255"/>
      <c r="Y55" s="255"/>
      <c r="Z55" s="255">
        <f>936000+1989000</f>
        <v>2925000</v>
      </c>
      <c r="AA55" s="427" t="s">
        <v>1307</v>
      </c>
      <c r="AB55" s="254">
        <v>742000</v>
      </c>
      <c r="AC55" s="420"/>
      <c r="AD55" s="266"/>
      <c r="AE55" s="425"/>
      <c r="AJ55" s="416"/>
      <c r="AK55" s="416"/>
      <c r="AL55" s="416"/>
    </row>
    <row r="56" spans="1:41" ht="35.15" customHeight="1">
      <c r="A56" s="254">
        <f t="shared" si="10"/>
        <v>50</v>
      </c>
      <c r="B56" s="427">
        <v>1921</v>
      </c>
      <c r="C56" s="254" t="s">
        <v>215</v>
      </c>
      <c r="D56" s="255">
        <f>9320000+150000-150000-44000</f>
        <v>9276000</v>
      </c>
      <c r="E56" s="255">
        <v>9320000</v>
      </c>
      <c r="F56" s="255">
        <f t="shared" si="0"/>
        <v>-44000</v>
      </c>
      <c r="G56" s="255">
        <v>4500000</v>
      </c>
      <c r="H56" s="255">
        <v>2848946</v>
      </c>
      <c r="I56" s="255"/>
      <c r="J56" s="255">
        <v>1002363.11</v>
      </c>
      <c r="K56" s="255">
        <f t="shared" si="2"/>
        <v>1002363.11</v>
      </c>
      <c r="L56" s="255">
        <f t="shared" si="1"/>
        <v>3851309.11</v>
      </c>
      <c r="M56" s="255">
        <f t="shared" si="3"/>
        <v>2968690.89</v>
      </c>
      <c r="N56" s="255">
        <f>136000+2320000</f>
        <v>2456000</v>
      </c>
      <c r="O56" s="255">
        <f t="shared" si="4"/>
        <v>0</v>
      </c>
      <c r="P56" s="255">
        <f t="shared" si="5"/>
        <v>648690.89000000013</v>
      </c>
      <c r="Q56" s="255">
        <v>2320000</v>
      </c>
      <c r="R56" s="255"/>
      <c r="S56" s="255">
        <f t="shared" si="6"/>
        <v>2320000</v>
      </c>
      <c r="T56" s="255">
        <f t="shared" si="7"/>
        <v>0</v>
      </c>
      <c r="U56" s="255">
        <f t="shared" si="8"/>
        <v>2456000</v>
      </c>
      <c r="V56" s="255">
        <f t="shared" si="9"/>
        <v>2456000</v>
      </c>
      <c r="W56" s="255"/>
      <c r="X56" s="255"/>
      <c r="Y56" s="255"/>
      <c r="Z56" s="254"/>
      <c r="AA56" s="427" t="s">
        <v>1101</v>
      </c>
      <c r="AB56" s="254">
        <v>829000</v>
      </c>
      <c r="AE56" s="425"/>
      <c r="AF56" s="258"/>
      <c r="AG56" s="266"/>
      <c r="AH56" s="266"/>
      <c r="AI56" s="266"/>
    </row>
    <row r="57" spans="1:41" ht="35.15" customHeight="1">
      <c r="A57" s="254">
        <f t="shared" si="10"/>
        <v>51</v>
      </c>
      <c r="B57" s="427">
        <v>1936</v>
      </c>
      <c r="C57" s="254" t="s">
        <v>323</v>
      </c>
      <c r="D57" s="255">
        <v>6082795</v>
      </c>
      <c r="E57" s="255">
        <v>6082795</v>
      </c>
      <c r="F57" s="255">
        <f t="shared" si="0"/>
        <v>0</v>
      </c>
      <c r="G57" s="255">
        <v>700000</v>
      </c>
      <c r="H57" s="255">
        <v>313933</v>
      </c>
      <c r="I57" s="255"/>
      <c r="J57" s="255">
        <v>86064.19</v>
      </c>
      <c r="K57" s="255">
        <f t="shared" si="2"/>
        <v>86064.19</v>
      </c>
      <c r="L57" s="255">
        <f t="shared" si="1"/>
        <v>399997.19</v>
      </c>
      <c r="M57" s="255">
        <f t="shared" si="3"/>
        <v>300002.81</v>
      </c>
      <c r="N57" s="255"/>
      <c r="O57" s="255">
        <f t="shared" si="4"/>
        <v>5382795</v>
      </c>
      <c r="P57" s="255">
        <f t="shared" si="5"/>
        <v>300002.81</v>
      </c>
      <c r="Q57" s="255"/>
      <c r="R57" s="255"/>
      <c r="S57" s="255">
        <f t="shared" si="6"/>
        <v>0</v>
      </c>
      <c r="T57" s="255">
        <f t="shared" si="7"/>
        <v>0</v>
      </c>
      <c r="U57" s="255">
        <f t="shared" si="8"/>
        <v>0</v>
      </c>
      <c r="V57" s="255">
        <f t="shared" si="9"/>
        <v>0</v>
      </c>
      <c r="W57" s="255"/>
      <c r="X57" s="255"/>
      <c r="Y57" s="255"/>
      <c r="Z57" s="254"/>
      <c r="AA57" s="700" t="s">
        <v>1068</v>
      </c>
      <c r="AB57" s="254">
        <v>732000</v>
      </c>
      <c r="AE57" s="425"/>
      <c r="AF57" s="258"/>
      <c r="AG57" s="266"/>
      <c r="AH57" s="266"/>
      <c r="AI57" s="266"/>
      <c r="AO57" s="261"/>
    </row>
    <row r="58" spans="1:41" ht="35.15" customHeight="1">
      <c r="A58" s="254">
        <f t="shared" si="10"/>
        <v>52</v>
      </c>
      <c r="B58" s="427">
        <v>1940</v>
      </c>
      <c r="C58" s="254" t="s">
        <v>252</v>
      </c>
      <c r="D58" s="255">
        <v>186000</v>
      </c>
      <c r="E58" s="255">
        <v>186000</v>
      </c>
      <c r="F58" s="255">
        <f t="shared" si="0"/>
        <v>0</v>
      </c>
      <c r="G58" s="255">
        <v>186000</v>
      </c>
      <c r="H58" s="255">
        <v>99216</v>
      </c>
      <c r="I58" s="255"/>
      <c r="J58" s="255">
        <v>24773.58</v>
      </c>
      <c r="K58" s="255">
        <f t="shared" si="2"/>
        <v>24773.58</v>
      </c>
      <c r="L58" s="255">
        <f t="shared" si="1"/>
        <v>123989.58</v>
      </c>
      <c r="M58" s="255">
        <f t="shared" si="3"/>
        <v>62010.42</v>
      </c>
      <c r="N58" s="255"/>
      <c r="O58" s="255">
        <f t="shared" si="4"/>
        <v>0</v>
      </c>
      <c r="P58" s="255">
        <f t="shared" si="5"/>
        <v>62010.42</v>
      </c>
      <c r="Q58" s="255"/>
      <c r="R58" s="255"/>
      <c r="S58" s="255">
        <f t="shared" si="6"/>
        <v>0</v>
      </c>
      <c r="T58" s="255">
        <f t="shared" si="7"/>
        <v>0</v>
      </c>
      <c r="U58" s="255">
        <f t="shared" si="8"/>
        <v>0</v>
      </c>
      <c r="V58" s="255">
        <f t="shared" si="9"/>
        <v>0</v>
      </c>
      <c r="W58" s="255"/>
      <c r="X58" s="255"/>
      <c r="Y58" s="255"/>
      <c r="Z58" s="254"/>
      <c r="AA58" s="427"/>
      <c r="AB58" s="254">
        <v>732000</v>
      </c>
      <c r="AE58" s="425"/>
      <c r="AF58" s="258"/>
      <c r="AG58" s="266"/>
      <c r="AH58" s="266"/>
      <c r="AI58" s="266"/>
      <c r="AO58" s="261"/>
    </row>
    <row r="59" spans="1:41" ht="35.15" customHeight="1">
      <c r="A59" s="254">
        <f t="shared" si="10"/>
        <v>53</v>
      </c>
      <c r="B59" s="427">
        <v>1953</v>
      </c>
      <c r="C59" s="254" t="s">
        <v>1322</v>
      </c>
      <c r="D59" s="255">
        <v>5300000</v>
      </c>
      <c r="E59" s="255">
        <v>5300000</v>
      </c>
      <c r="F59" s="255">
        <f t="shared" si="0"/>
        <v>0</v>
      </c>
      <c r="G59" s="255">
        <v>3300000</v>
      </c>
      <c r="H59" s="255">
        <v>1922976</v>
      </c>
      <c r="I59" s="255"/>
      <c r="J59" s="255">
        <v>1373536.08</v>
      </c>
      <c r="K59" s="255">
        <f t="shared" ref="K59:K84" si="11">SUM(I59:J59)</f>
        <v>1373536.08</v>
      </c>
      <c r="L59" s="255">
        <f t="shared" si="1"/>
        <v>3296512.08</v>
      </c>
      <c r="M59" s="255">
        <f t="shared" si="3"/>
        <v>2003487.92</v>
      </c>
      <c r="N59" s="255"/>
      <c r="O59" s="255">
        <f t="shared" si="4"/>
        <v>0</v>
      </c>
      <c r="P59" s="255">
        <f t="shared" si="5"/>
        <v>3487.9199999999255</v>
      </c>
      <c r="Q59" s="255">
        <v>2000000</v>
      </c>
      <c r="R59" s="255"/>
      <c r="S59" s="255">
        <f t="shared" si="6"/>
        <v>2000000</v>
      </c>
      <c r="T59" s="255">
        <f t="shared" si="7"/>
        <v>0</v>
      </c>
      <c r="U59" s="255">
        <f t="shared" si="8"/>
        <v>0</v>
      </c>
      <c r="V59" s="255">
        <f t="shared" si="9"/>
        <v>0</v>
      </c>
      <c r="W59" s="255"/>
      <c r="X59" s="255"/>
      <c r="Y59" s="255"/>
      <c r="Z59" s="254"/>
      <c r="AA59" s="702" t="s">
        <v>1447</v>
      </c>
      <c r="AB59" s="254">
        <v>742000</v>
      </c>
      <c r="AE59" s="425"/>
      <c r="AF59" s="258"/>
      <c r="AG59" s="266"/>
      <c r="AH59" s="266"/>
      <c r="AI59" s="266"/>
    </row>
    <row r="60" spans="1:41" s="258" customFormat="1" ht="35.15" customHeight="1">
      <c r="A60" s="254">
        <f t="shared" si="10"/>
        <v>54</v>
      </c>
      <c r="B60" s="254">
        <v>1954</v>
      </c>
      <c r="C60" s="254" t="s">
        <v>250</v>
      </c>
      <c r="D60" s="255">
        <v>2000000</v>
      </c>
      <c r="E60" s="255">
        <v>2000000</v>
      </c>
      <c r="F60" s="255">
        <f t="shared" si="0"/>
        <v>0</v>
      </c>
      <c r="G60" s="255">
        <v>2000000</v>
      </c>
      <c r="H60" s="255">
        <v>230565</v>
      </c>
      <c r="I60" s="255"/>
      <c r="J60" s="255">
        <v>1682275.94</v>
      </c>
      <c r="K60" s="255">
        <f t="shared" si="11"/>
        <v>1682275.94</v>
      </c>
      <c r="L60" s="255">
        <f t="shared" si="1"/>
        <v>1912840.94</v>
      </c>
      <c r="M60" s="255">
        <f t="shared" si="3"/>
        <v>87159.060000000056</v>
      </c>
      <c r="N60" s="255"/>
      <c r="O60" s="255">
        <f t="shared" si="4"/>
        <v>0</v>
      </c>
      <c r="P60" s="255">
        <f t="shared" si="5"/>
        <v>87159.060000000056</v>
      </c>
      <c r="Q60" s="255"/>
      <c r="R60" s="255"/>
      <c r="S60" s="255">
        <f t="shared" si="6"/>
        <v>0</v>
      </c>
      <c r="T60" s="255">
        <f t="shared" si="7"/>
        <v>0</v>
      </c>
      <c r="U60" s="255">
        <f t="shared" si="8"/>
        <v>0</v>
      </c>
      <c r="V60" s="255">
        <f t="shared" si="9"/>
        <v>0</v>
      </c>
      <c r="W60" s="255"/>
      <c r="X60" s="255"/>
      <c r="Y60" s="255"/>
      <c r="Z60" s="254"/>
      <c r="AA60" s="700"/>
      <c r="AB60" s="254">
        <v>742000</v>
      </c>
      <c r="AC60" s="420"/>
      <c r="AD60" s="266"/>
      <c r="AE60" s="425"/>
      <c r="AJ60" s="416"/>
      <c r="AK60" s="416"/>
      <c r="AL60" s="416"/>
    </row>
    <row r="61" spans="1:41" ht="35.15" customHeight="1">
      <c r="A61" s="254">
        <f t="shared" si="10"/>
        <v>55</v>
      </c>
      <c r="B61" s="427">
        <v>1955</v>
      </c>
      <c r="C61" s="254" t="s">
        <v>251</v>
      </c>
      <c r="D61" s="255">
        <v>250000</v>
      </c>
      <c r="E61" s="255">
        <v>250000</v>
      </c>
      <c r="F61" s="255">
        <f t="shared" si="0"/>
        <v>0</v>
      </c>
      <c r="G61" s="255">
        <v>250000</v>
      </c>
      <c r="H61" s="255">
        <v>0</v>
      </c>
      <c r="I61" s="255"/>
      <c r="J61" s="255"/>
      <c r="K61" s="255">
        <f t="shared" si="11"/>
        <v>0</v>
      </c>
      <c r="L61" s="255">
        <f t="shared" si="1"/>
        <v>0</v>
      </c>
      <c r="M61" s="255">
        <f t="shared" si="3"/>
        <v>250000</v>
      </c>
      <c r="N61" s="255"/>
      <c r="O61" s="255">
        <f t="shared" si="4"/>
        <v>0</v>
      </c>
      <c r="P61" s="255">
        <f t="shared" si="5"/>
        <v>250000</v>
      </c>
      <c r="Q61" s="255"/>
      <c r="R61" s="255"/>
      <c r="S61" s="255">
        <f t="shared" si="6"/>
        <v>0</v>
      </c>
      <c r="T61" s="255">
        <f t="shared" si="7"/>
        <v>0</v>
      </c>
      <c r="U61" s="255">
        <f t="shared" si="8"/>
        <v>0</v>
      </c>
      <c r="V61" s="255">
        <f t="shared" si="9"/>
        <v>0</v>
      </c>
      <c r="W61" s="255"/>
      <c r="X61" s="255"/>
      <c r="Y61" s="255"/>
      <c r="Z61" s="254"/>
      <c r="AA61" s="427"/>
      <c r="AB61" s="254">
        <v>742000</v>
      </c>
      <c r="AE61" s="425"/>
      <c r="AF61" s="258"/>
      <c r="AG61" s="266"/>
      <c r="AH61" s="266"/>
      <c r="AI61" s="266"/>
    </row>
    <row r="62" spans="1:41" ht="35.15" customHeight="1">
      <c r="A62" s="254">
        <f t="shared" si="10"/>
        <v>56</v>
      </c>
      <c r="B62" s="427">
        <v>1957</v>
      </c>
      <c r="C62" s="254" t="s">
        <v>708</v>
      </c>
      <c r="D62" s="255">
        <v>60000000</v>
      </c>
      <c r="E62" s="255">
        <v>60000000</v>
      </c>
      <c r="F62" s="255">
        <f t="shared" si="0"/>
        <v>0</v>
      </c>
      <c r="G62" s="255">
        <f>1900000+400000</f>
        <v>2300000</v>
      </c>
      <c r="H62" s="255">
        <v>1730549</v>
      </c>
      <c r="I62" s="255"/>
      <c r="J62" s="255">
        <v>169446</v>
      </c>
      <c r="K62" s="255">
        <f t="shared" si="11"/>
        <v>169446</v>
      </c>
      <c r="L62" s="255">
        <f t="shared" si="1"/>
        <v>1899995</v>
      </c>
      <c r="M62" s="255">
        <f t="shared" si="3"/>
        <v>14600005</v>
      </c>
      <c r="N62" s="255">
        <v>14500000</v>
      </c>
      <c r="O62" s="255">
        <f t="shared" si="4"/>
        <v>29000000</v>
      </c>
      <c r="P62" s="255">
        <f t="shared" si="5"/>
        <v>400005</v>
      </c>
      <c r="Q62" s="423">
        <f>14600000-400000</f>
        <v>14200000</v>
      </c>
      <c r="R62" s="255"/>
      <c r="S62" s="255">
        <f t="shared" si="6"/>
        <v>14200000</v>
      </c>
      <c r="T62" s="255">
        <f t="shared" si="7"/>
        <v>0</v>
      </c>
      <c r="U62" s="255">
        <f t="shared" si="8"/>
        <v>14500000</v>
      </c>
      <c r="V62" s="255">
        <f t="shared" si="9"/>
        <v>14500000</v>
      </c>
      <c r="W62" s="255"/>
      <c r="X62" s="255"/>
      <c r="Y62" s="255"/>
      <c r="Z62" s="254"/>
      <c r="AA62" s="427" t="s">
        <v>1308</v>
      </c>
      <c r="AB62" s="254">
        <v>810000</v>
      </c>
      <c r="AE62" s="425"/>
      <c r="AF62" s="258"/>
      <c r="AG62" s="266"/>
      <c r="AH62" s="266"/>
      <c r="AI62" s="266"/>
    </row>
    <row r="63" spans="1:41" ht="35.15" customHeight="1">
      <c r="A63" s="254">
        <f t="shared" si="10"/>
        <v>57</v>
      </c>
      <c r="B63" s="427">
        <v>1972</v>
      </c>
      <c r="C63" s="254" t="s">
        <v>709</v>
      </c>
      <c r="D63" s="255">
        <v>4470000</v>
      </c>
      <c r="E63" s="255">
        <v>4470000</v>
      </c>
      <c r="F63" s="255">
        <f t="shared" si="0"/>
        <v>0</v>
      </c>
      <c r="G63" s="255">
        <v>900000</v>
      </c>
      <c r="H63" s="255">
        <v>116425</v>
      </c>
      <c r="I63" s="255"/>
      <c r="J63" s="255">
        <v>539423</v>
      </c>
      <c r="K63" s="255">
        <f t="shared" si="11"/>
        <v>539423</v>
      </c>
      <c r="L63" s="255">
        <f t="shared" si="1"/>
        <v>655848</v>
      </c>
      <c r="M63" s="255">
        <f t="shared" si="3"/>
        <v>244152</v>
      </c>
      <c r="N63" s="255">
        <v>3570000</v>
      </c>
      <c r="O63" s="255">
        <f t="shared" si="4"/>
        <v>0</v>
      </c>
      <c r="P63" s="255">
        <f t="shared" si="5"/>
        <v>244152</v>
      </c>
      <c r="Q63" s="255"/>
      <c r="R63" s="255"/>
      <c r="S63" s="255">
        <f t="shared" si="6"/>
        <v>0</v>
      </c>
      <c r="T63" s="255">
        <f t="shared" si="7"/>
        <v>0</v>
      </c>
      <c r="U63" s="255">
        <f t="shared" si="8"/>
        <v>3570000</v>
      </c>
      <c r="V63" s="255">
        <f t="shared" si="9"/>
        <v>3570000</v>
      </c>
      <c r="W63" s="255"/>
      <c r="X63" s="255"/>
      <c r="Y63" s="255"/>
      <c r="Z63" s="254"/>
      <c r="AA63" s="427" t="s">
        <v>1309</v>
      </c>
      <c r="AB63" s="254">
        <v>746000</v>
      </c>
      <c r="AE63" s="425"/>
      <c r="AF63" s="258"/>
      <c r="AG63" s="266"/>
      <c r="AH63" s="266"/>
      <c r="AI63" s="266"/>
      <c r="AO63" s="261"/>
    </row>
    <row r="64" spans="1:41" ht="35.15" customHeight="1">
      <c r="A64" s="254">
        <f t="shared" si="10"/>
        <v>58</v>
      </c>
      <c r="B64" s="427">
        <v>1991</v>
      </c>
      <c r="C64" s="254" t="s">
        <v>710</v>
      </c>
      <c r="D64" s="255">
        <v>2000000</v>
      </c>
      <c r="E64" s="255">
        <v>2000000</v>
      </c>
      <c r="F64" s="255">
        <f t="shared" si="0"/>
        <v>0</v>
      </c>
      <c r="G64" s="255">
        <v>2000000</v>
      </c>
      <c r="H64" s="255">
        <v>65414</v>
      </c>
      <c r="I64" s="255"/>
      <c r="J64" s="255">
        <v>34387.89</v>
      </c>
      <c r="K64" s="255">
        <f t="shared" si="11"/>
        <v>34387.89</v>
      </c>
      <c r="L64" s="255">
        <f t="shared" si="1"/>
        <v>99801.89</v>
      </c>
      <c r="M64" s="255">
        <f>P64+S64-1900000</f>
        <v>198.11000000010245</v>
      </c>
      <c r="N64" s="255"/>
      <c r="O64" s="255">
        <f t="shared" si="4"/>
        <v>1900000</v>
      </c>
      <c r="P64" s="255">
        <f t="shared" si="5"/>
        <v>1900198.11</v>
      </c>
      <c r="Q64" s="255"/>
      <c r="R64" s="255"/>
      <c r="S64" s="255">
        <f t="shared" si="6"/>
        <v>0</v>
      </c>
      <c r="T64" s="255">
        <f t="shared" si="7"/>
        <v>1900000</v>
      </c>
      <c r="U64" s="255">
        <f t="shared" si="8"/>
        <v>-1900000</v>
      </c>
      <c r="V64" s="255">
        <f t="shared" si="9"/>
        <v>-1900000</v>
      </c>
      <c r="W64" s="255"/>
      <c r="X64" s="255"/>
      <c r="Y64" s="255"/>
      <c r="Z64" s="254"/>
      <c r="AA64" s="427"/>
      <c r="AB64" s="254">
        <v>823000</v>
      </c>
      <c r="AE64" s="425"/>
      <c r="AF64" s="258"/>
      <c r="AG64" s="266"/>
      <c r="AH64" s="266"/>
      <c r="AI64" s="266"/>
      <c r="AO64" s="261"/>
    </row>
    <row r="65" spans="1:43" s="266" customFormat="1" ht="35.15" customHeight="1">
      <c r="A65" s="254">
        <f t="shared" si="10"/>
        <v>59</v>
      </c>
      <c r="B65" s="254">
        <v>2002</v>
      </c>
      <c r="C65" s="254" t="s">
        <v>381</v>
      </c>
      <c r="D65" s="255">
        <f>865000+635000</f>
        <v>1500000</v>
      </c>
      <c r="E65" s="255">
        <v>1500000</v>
      </c>
      <c r="F65" s="255">
        <f t="shared" si="0"/>
        <v>0</v>
      </c>
      <c r="G65" s="255">
        <v>865000</v>
      </c>
      <c r="H65" s="255">
        <v>3473</v>
      </c>
      <c r="I65" s="255"/>
      <c r="J65" s="255">
        <v>568945</v>
      </c>
      <c r="K65" s="255">
        <f t="shared" si="11"/>
        <v>568945</v>
      </c>
      <c r="L65" s="255">
        <f t="shared" si="1"/>
        <v>572418</v>
      </c>
      <c r="M65" s="255">
        <f t="shared" si="3"/>
        <v>292582</v>
      </c>
      <c r="N65" s="255">
        <v>635000</v>
      </c>
      <c r="O65" s="255">
        <f t="shared" si="4"/>
        <v>0</v>
      </c>
      <c r="P65" s="255">
        <f t="shared" si="5"/>
        <v>292582</v>
      </c>
      <c r="Q65" s="255"/>
      <c r="R65" s="255"/>
      <c r="S65" s="255">
        <f t="shared" si="6"/>
        <v>0</v>
      </c>
      <c r="T65" s="255">
        <f t="shared" si="7"/>
        <v>0</v>
      </c>
      <c r="U65" s="255">
        <f t="shared" si="8"/>
        <v>635000</v>
      </c>
      <c r="V65" s="255">
        <f t="shared" si="9"/>
        <v>635000</v>
      </c>
      <c r="W65" s="255"/>
      <c r="X65" s="255"/>
      <c r="Y65" s="255"/>
      <c r="Z65" s="254"/>
      <c r="AA65" s="427" t="s">
        <v>1069</v>
      </c>
      <c r="AB65" s="430">
        <v>742000</v>
      </c>
      <c r="AC65" s="420"/>
      <c r="AE65" s="425"/>
      <c r="AF65" s="258"/>
      <c r="AG65" s="258"/>
      <c r="AH65" s="258"/>
      <c r="AI65" s="258"/>
      <c r="AJ65" s="416"/>
      <c r="AK65" s="416"/>
      <c r="AL65" s="416"/>
      <c r="AM65" s="265"/>
      <c r="AN65" s="265"/>
      <c r="AO65" s="265"/>
      <c r="AP65" s="265"/>
      <c r="AQ65" s="265"/>
    </row>
    <row r="66" spans="1:43" s="266" customFormat="1" ht="35.15" customHeight="1">
      <c r="A66" s="254">
        <f t="shared" si="10"/>
        <v>60</v>
      </c>
      <c r="B66" s="254">
        <v>2008</v>
      </c>
      <c r="C66" s="254" t="s">
        <v>672</v>
      </c>
      <c r="D66" s="255">
        <v>2500000</v>
      </c>
      <c r="E66" s="255">
        <v>2500000</v>
      </c>
      <c r="F66" s="255">
        <f t="shared" si="0"/>
        <v>0</v>
      </c>
      <c r="G66" s="255">
        <v>0</v>
      </c>
      <c r="H66" s="255">
        <v>0</v>
      </c>
      <c r="I66" s="255"/>
      <c r="J66" s="255"/>
      <c r="K66" s="255">
        <f>SUM(I66:J66)</f>
        <v>0</v>
      </c>
      <c r="L66" s="255">
        <f>H66+K66</f>
        <v>0</v>
      </c>
      <c r="M66" s="255">
        <f t="shared" si="3"/>
        <v>0</v>
      </c>
      <c r="N66" s="255"/>
      <c r="O66" s="255">
        <f t="shared" si="4"/>
        <v>2500000</v>
      </c>
      <c r="P66" s="255">
        <f t="shared" si="5"/>
        <v>0</v>
      </c>
      <c r="Q66" s="255"/>
      <c r="R66" s="255"/>
      <c r="S66" s="255">
        <f>SUM(Q66:R66)</f>
        <v>0</v>
      </c>
      <c r="T66" s="255">
        <f t="shared" si="7"/>
        <v>0</v>
      </c>
      <c r="U66" s="255">
        <f t="shared" si="8"/>
        <v>0</v>
      </c>
      <c r="V66" s="255">
        <f t="shared" si="9"/>
        <v>0</v>
      </c>
      <c r="W66" s="255"/>
      <c r="X66" s="255"/>
      <c r="Y66" s="255"/>
      <c r="Z66" s="254"/>
      <c r="AA66" s="700"/>
      <c r="AB66" s="254">
        <v>742000</v>
      </c>
      <c r="AC66" s="420"/>
      <c r="AE66" s="425"/>
      <c r="AF66" s="258"/>
      <c r="AG66" s="258"/>
      <c r="AH66" s="258"/>
      <c r="AI66" s="258"/>
      <c r="AJ66" s="416"/>
      <c r="AK66" s="416"/>
      <c r="AL66" s="416"/>
      <c r="AM66" s="265"/>
      <c r="AN66" s="265"/>
      <c r="AO66" s="265"/>
      <c r="AP66" s="265"/>
      <c r="AQ66" s="265"/>
    </row>
    <row r="67" spans="1:43" s="266" customFormat="1" ht="35.15" customHeight="1">
      <c r="A67" s="254">
        <f t="shared" si="10"/>
        <v>61</v>
      </c>
      <c r="B67" s="254">
        <v>2015</v>
      </c>
      <c r="C67" s="589" t="s">
        <v>1510</v>
      </c>
      <c r="D67" s="255">
        <v>10500000</v>
      </c>
      <c r="E67" s="255">
        <v>10500000</v>
      </c>
      <c r="F67" s="255">
        <f t="shared" si="0"/>
        <v>0</v>
      </c>
      <c r="G67" s="255">
        <v>250000</v>
      </c>
      <c r="H67" s="255">
        <v>0</v>
      </c>
      <c r="I67" s="255"/>
      <c r="J67" s="255"/>
      <c r="K67" s="255">
        <f t="shared" si="11"/>
        <v>0</v>
      </c>
      <c r="L67" s="255">
        <f t="shared" si="1"/>
        <v>0</v>
      </c>
      <c r="M67" s="255">
        <f t="shared" si="3"/>
        <v>5500000</v>
      </c>
      <c r="N67" s="255">
        <v>5000000</v>
      </c>
      <c r="O67" s="255">
        <f t="shared" si="4"/>
        <v>0</v>
      </c>
      <c r="P67" s="255">
        <f t="shared" si="5"/>
        <v>250000</v>
      </c>
      <c r="Q67" s="255">
        <v>5250000</v>
      </c>
      <c r="R67" s="255"/>
      <c r="S67" s="255">
        <f t="shared" si="6"/>
        <v>5250000</v>
      </c>
      <c r="T67" s="255">
        <f t="shared" si="7"/>
        <v>0</v>
      </c>
      <c r="U67" s="255">
        <f t="shared" si="8"/>
        <v>5000000</v>
      </c>
      <c r="V67" s="255">
        <f t="shared" si="9"/>
        <v>5000000</v>
      </c>
      <c r="W67" s="255"/>
      <c r="X67" s="255"/>
      <c r="Y67" s="255"/>
      <c r="Z67" s="254"/>
      <c r="AA67" s="427" t="s">
        <v>1515</v>
      </c>
      <c r="AB67" s="254">
        <v>810000</v>
      </c>
      <c r="AC67" s="420"/>
      <c r="AE67" s="425"/>
      <c r="AF67" s="258"/>
      <c r="AG67" s="258"/>
      <c r="AH67" s="258"/>
      <c r="AI67" s="258"/>
      <c r="AJ67" s="416"/>
      <c r="AK67" s="416"/>
      <c r="AL67" s="416"/>
    </row>
    <row r="68" spans="1:43" s="259" customFormat="1" ht="35.15" customHeight="1">
      <c r="A68" s="254">
        <f t="shared" si="10"/>
        <v>62</v>
      </c>
      <c r="B68" s="254">
        <v>2016</v>
      </c>
      <c r="C68" s="254" t="s">
        <v>1511</v>
      </c>
      <c r="D68" s="255">
        <v>7340000</v>
      </c>
      <c r="E68" s="255">
        <v>7340000</v>
      </c>
      <c r="F68" s="255">
        <f t="shared" si="0"/>
        <v>0</v>
      </c>
      <c r="G68" s="255">
        <v>7340000</v>
      </c>
      <c r="H68" s="255">
        <v>5006147</v>
      </c>
      <c r="I68" s="255"/>
      <c r="J68" s="255">
        <v>2333837</v>
      </c>
      <c r="K68" s="255">
        <f t="shared" si="11"/>
        <v>2333837</v>
      </c>
      <c r="L68" s="255">
        <f t="shared" si="1"/>
        <v>7339984</v>
      </c>
      <c r="M68" s="255">
        <f t="shared" si="3"/>
        <v>16</v>
      </c>
      <c r="N68" s="255"/>
      <c r="O68" s="255">
        <f t="shared" si="4"/>
        <v>0</v>
      </c>
      <c r="P68" s="255">
        <f t="shared" si="5"/>
        <v>16</v>
      </c>
      <c r="Q68" s="255"/>
      <c r="R68" s="255"/>
      <c r="S68" s="255">
        <f t="shared" si="6"/>
        <v>0</v>
      </c>
      <c r="T68" s="255">
        <f t="shared" si="7"/>
        <v>0</v>
      </c>
      <c r="U68" s="255">
        <f t="shared" si="8"/>
        <v>0</v>
      </c>
      <c r="V68" s="255">
        <f t="shared" si="9"/>
        <v>0</v>
      </c>
      <c r="W68" s="255"/>
      <c r="X68" s="255"/>
      <c r="Y68" s="255"/>
      <c r="Z68" s="254"/>
      <c r="AA68" s="427"/>
      <c r="AB68" s="254">
        <v>810000</v>
      </c>
      <c r="AC68" s="420"/>
      <c r="AD68" s="266"/>
      <c r="AE68" s="425"/>
      <c r="AF68" s="258"/>
      <c r="AG68" s="258"/>
      <c r="AJ68" s="416"/>
      <c r="AK68" s="416"/>
      <c r="AL68" s="416"/>
    </row>
    <row r="69" spans="1:43" ht="35.15" customHeight="1">
      <c r="A69" s="254">
        <f t="shared" si="10"/>
        <v>63</v>
      </c>
      <c r="B69" s="254">
        <v>2017</v>
      </c>
      <c r="C69" s="254" t="s">
        <v>713</v>
      </c>
      <c r="D69" s="255">
        <v>2000000</v>
      </c>
      <c r="E69" s="255">
        <v>2000000</v>
      </c>
      <c r="F69" s="255">
        <f t="shared" si="0"/>
        <v>0</v>
      </c>
      <c r="G69" s="255">
        <v>500000</v>
      </c>
      <c r="H69" s="255">
        <v>42787</v>
      </c>
      <c r="I69" s="255"/>
      <c r="J69" s="255">
        <v>442950.3</v>
      </c>
      <c r="K69" s="255">
        <f t="shared" si="11"/>
        <v>442950.3</v>
      </c>
      <c r="L69" s="255">
        <f t="shared" si="1"/>
        <v>485737.3</v>
      </c>
      <c r="M69" s="255">
        <f t="shared" si="3"/>
        <v>514262.7</v>
      </c>
      <c r="N69" s="255">
        <v>1000000</v>
      </c>
      <c r="O69" s="255">
        <f t="shared" si="4"/>
        <v>0</v>
      </c>
      <c r="P69" s="255">
        <f t="shared" si="5"/>
        <v>14262.700000000012</v>
      </c>
      <c r="Q69" s="255">
        <v>500000</v>
      </c>
      <c r="R69" s="255"/>
      <c r="S69" s="255">
        <f t="shared" si="6"/>
        <v>500000</v>
      </c>
      <c r="T69" s="255">
        <f t="shared" si="7"/>
        <v>0</v>
      </c>
      <c r="U69" s="255">
        <f t="shared" si="8"/>
        <v>1000000</v>
      </c>
      <c r="V69" s="255">
        <f t="shared" si="9"/>
        <v>1000000</v>
      </c>
      <c r="W69" s="255"/>
      <c r="X69" s="255"/>
      <c r="Y69" s="255"/>
      <c r="Z69" s="254"/>
      <c r="AA69" s="427" t="s">
        <v>1310</v>
      </c>
      <c r="AB69" s="254">
        <v>824000</v>
      </c>
      <c r="AE69" s="425"/>
      <c r="AF69" s="258"/>
      <c r="AG69" s="266"/>
      <c r="AH69" s="266"/>
      <c r="AI69" s="266"/>
      <c r="AM69" s="266"/>
      <c r="AN69" s="266"/>
      <c r="AO69" s="266"/>
      <c r="AP69" s="266"/>
      <c r="AQ69" s="266"/>
    </row>
    <row r="70" spans="1:43" ht="35.15" customHeight="1">
      <c r="A70" s="254">
        <f t="shared" si="10"/>
        <v>64</v>
      </c>
      <c r="B70" s="254">
        <v>2018</v>
      </c>
      <c r="C70" s="254" t="s">
        <v>714</v>
      </c>
      <c r="D70" s="255">
        <v>10000000</v>
      </c>
      <c r="E70" s="255">
        <v>10000000</v>
      </c>
      <c r="F70" s="255">
        <f t="shared" si="0"/>
        <v>0</v>
      </c>
      <c r="G70" s="255">
        <f>500000+500000</f>
        <v>1000000</v>
      </c>
      <c r="H70" s="255">
        <v>63471</v>
      </c>
      <c r="I70" s="255"/>
      <c r="J70" s="255">
        <v>236517.04</v>
      </c>
      <c r="K70" s="255">
        <f t="shared" si="11"/>
        <v>236517.04</v>
      </c>
      <c r="L70" s="255">
        <f t="shared" si="1"/>
        <v>299988.04000000004</v>
      </c>
      <c r="M70" s="255">
        <f t="shared" si="3"/>
        <v>3000011.96</v>
      </c>
      <c r="N70" s="255">
        <f>3300000-2000000</f>
        <v>1300000</v>
      </c>
      <c r="O70" s="255">
        <f t="shared" si="4"/>
        <v>5400000.0000000009</v>
      </c>
      <c r="P70" s="255">
        <f t="shared" si="5"/>
        <v>700011.96</v>
      </c>
      <c r="Q70" s="255">
        <f>2800000-500000</f>
        <v>2300000</v>
      </c>
      <c r="R70" s="255"/>
      <c r="S70" s="255">
        <f t="shared" si="6"/>
        <v>2300000</v>
      </c>
      <c r="T70" s="255">
        <f t="shared" si="7"/>
        <v>0</v>
      </c>
      <c r="U70" s="255">
        <f t="shared" si="8"/>
        <v>1300000</v>
      </c>
      <c r="V70" s="255">
        <f t="shared" si="9"/>
        <v>1300000</v>
      </c>
      <c r="W70" s="255"/>
      <c r="X70" s="255"/>
      <c r="Y70" s="255"/>
      <c r="Z70" s="254"/>
      <c r="AA70" s="427" t="s">
        <v>1070</v>
      </c>
      <c r="AB70" s="254">
        <v>742000</v>
      </c>
      <c r="AE70" s="425"/>
      <c r="AF70" s="258"/>
      <c r="AG70" s="266"/>
      <c r="AH70" s="266"/>
      <c r="AI70" s="266"/>
    </row>
    <row r="71" spans="1:43" ht="35.15" customHeight="1">
      <c r="A71" s="254">
        <f t="shared" si="10"/>
        <v>65</v>
      </c>
      <c r="B71" s="254">
        <v>2019</v>
      </c>
      <c r="C71" s="254" t="s">
        <v>715</v>
      </c>
      <c r="D71" s="255">
        <v>1200000</v>
      </c>
      <c r="E71" s="255">
        <v>1200000</v>
      </c>
      <c r="F71" s="255">
        <f t="shared" si="0"/>
        <v>0</v>
      </c>
      <c r="G71" s="255">
        <v>350000</v>
      </c>
      <c r="H71" s="255">
        <v>0</v>
      </c>
      <c r="I71" s="255"/>
      <c r="J71" s="255"/>
      <c r="K71" s="255">
        <f t="shared" si="11"/>
        <v>0</v>
      </c>
      <c r="L71" s="255">
        <f t="shared" ref="L71:L85" si="12">K71+H71</f>
        <v>0</v>
      </c>
      <c r="M71" s="255">
        <f t="shared" si="3"/>
        <v>1200000</v>
      </c>
      <c r="N71" s="255"/>
      <c r="O71" s="255">
        <f t="shared" si="4"/>
        <v>0</v>
      </c>
      <c r="P71" s="255">
        <f t="shared" si="5"/>
        <v>350000</v>
      </c>
      <c r="Q71" s="255">
        <v>850000</v>
      </c>
      <c r="R71" s="255"/>
      <c r="S71" s="255">
        <f t="shared" si="6"/>
        <v>850000</v>
      </c>
      <c r="T71" s="255">
        <f t="shared" si="7"/>
        <v>0</v>
      </c>
      <c r="U71" s="255">
        <f t="shared" si="8"/>
        <v>0</v>
      </c>
      <c r="V71" s="255">
        <f t="shared" si="9"/>
        <v>0</v>
      </c>
      <c r="W71" s="255"/>
      <c r="X71" s="255"/>
      <c r="Y71" s="255"/>
      <c r="Z71" s="254"/>
      <c r="AA71" s="427" t="s">
        <v>1071</v>
      </c>
      <c r="AB71" s="254">
        <v>742000</v>
      </c>
      <c r="AE71" s="425"/>
      <c r="AF71" s="258"/>
      <c r="AG71" s="266"/>
      <c r="AH71" s="266"/>
      <c r="AI71" s="266"/>
    </row>
    <row r="72" spans="1:43" s="258" customFormat="1" ht="35.15" customHeight="1">
      <c r="A72" s="254">
        <f t="shared" si="10"/>
        <v>66</v>
      </c>
      <c r="B72" s="254">
        <v>2021</v>
      </c>
      <c r="C72" s="254" t="s">
        <v>537</v>
      </c>
      <c r="D72" s="255">
        <v>8200000</v>
      </c>
      <c r="E72" s="255">
        <v>500000</v>
      </c>
      <c r="F72" s="255">
        <f t="shared" si="0"/>
        <v>7700000</v>
      </c>
      <c r="G72" s="255">
        <v>150000</v>
      </c>
      <c r="H72" s="255">
        <v>34106</v>
      </c>
      <c r="I72" s="255"/>
      <c r="J72" s="255">
        <v>115890</v>
      </c>
      <c r="K72" s="255">
        <f t="shared" si="11"/>
        <v>115890</v>
      </c>
      <c r="L72" s="255">
        <f t="shared" si="12"/>
        <v>149996</v>
      </c>
      <c r="M72" s="255">
        <f t="shared" ref="M72:M85" si="13">P72+S72</f>
        <v>350004</v>
      </c>
      <c r="N72" s="255">
        <f>7700000-5200000</f>
        <v>2500000</v>
      </c>
      <c r="O72" s="255">
        <f t="shared" ref="O72:O85" si="14">D72-L72-M72-N72</f>
        <v>5200000</v>
      </c>
      <c r="P72" s="255">
        <f t="shared" ref="P72:P85" si="15">G72-L72</f>
        <v>4</v>
      </c>
      <c r="Q72" s="255">
        <v>350000</v>
      </c>
      <c r="R72" s="255"/>
      <c r="S72" s="255">
        <f t="shared" ref="S72:S85" si="16">SUM(Q72:R72)</f>
        <v>350000</v>
      </c>
      <c r="T72" s="255">
        <f t="shared" ref="T72:T85" si="17">P72-M72+S72</f>
        <v>0</v>
      </c>
      <c r="U72" s="255">
        <f t="shared" ref="U72:U85" si="18">N72-T72</f>
        <v>2500000</v>
      </c>
      <c r="V72" s="255">
        <f t="shared" ref="V72:V85" si="19">U72-Y72-X72-Z72-W72</f>
        <v>2500000</v>
      </c>
      <c r="W72" s="255"/>
      <c r="X72" s="255"/>
      <c r="Y72" s="255"/>
      <c r="Z72" s="254"/>
      <c r="AA72" s="427" t="s">
        <v>1311</v>
      </c>
      <c r="AB72" s="254">
        <v>850000</v>
      </c>
      <c r="AC72" s="420"/>
      <c r="AD72" s="266"/>
      <c r="AE72" s="425"/>
      <c r="AJ72" s="416"/>
      <c r="AK72" s="416"/>
      <c r="AL72" s="416"/>
    </row>
    <row r="73" spans="1:43" s="258" customFormat="1" ht="35.15" customHeight="1">
      <c r="A73" s="254">
        <f t="shared" ref="A73:A92" si="20">A72+1</f>
        <v>67</v>
      </c>
      <c r="B73" s="254">
        <v>2022</v>
      </c>
      <c r="C73" s="254" t="s">
        <v>1323</v>
      </c>
      <c r="D73" s="255">
        <v>20000000</v>
      </c>
      <c r="E73" s="255">
        <v>20000000</v>
      </c>
      <c r="F73" s="255">
        <f t="shared" si="0"/>
        <v>0</v>
      </c>
      <c r="G73" s="255">
        <v>200000</v>
      </c>
      <c r="H73" s="255">
        <v>0</v>
      </c>
      <c r="I73" s="255"/>
      <c r="J73" s="255"/>
      <c r="K73" s="255">
        <f t="shared" si="11"/>
        <v>0</v>
      </c>
      <c r="L73" s="255">
        <f t="shared" si="12"/>
        <v>0</v>
      </c>
      <c r="M73" s="255">
        <f t="shared" si="13"/>
        <v>2000000</v>
      </c>
      <c r="N73" s="255">
        <v>18000000</v>
      </c>
      <c r="O73" s="255">
        <f t="shared" si="14"/>
        <v>0</v>
      </c>
      <c r="P73" s="255">
        <f t="shared" si="15"/>
        <v>200000</v>
      </c>
      <c r="Q73" s="255">
        <f>2000000-200000</f>
        <v>1800000</v>
      </c>
      <c r="R73" s="255"/>
      <c r="S73" s="255">
        <f t="shared" si="16"/>
        <v>1800000</v>
      </c>
      <c r="T73" s="255">
        <f t="shared" si="17"/>
        <v>0</v>
      </c>
      <c r="U73" s="255">
        <f t="shared" si="18"/>
        <v>18000000</v>
      </c>
      <c r="V73" s="255">
        <f t="shared" si="19"/>
        <v>18000000</v>
      </c>
      <c r="W73" s="255"/>
      <c r="X73" s="255"/>
      <c r="Y73" s="255"/>
      <c r="Z73" s="254"/>
      <c r="AA73" s="427" t="s">
        <v>1312</v>
      </c>
      <c r="AB73" s="254">
        <v>829000</v>
      </c>
      <c r="AC73" s="420"/>
      <c r="AD73" s="266"/>
      <c r="AE73" s="425"/>
      <c r="AJ73" s="416"/>
      <c r="AK73" s="416"/>
      <c r="AL73" s="416"/>
    </row>
    <row r="74" spans="1:43" s="258" customFormat="1" ht="35.15" customHeight="1">
      <c r="A74" s="254">
        <f t="shared" si="20"/>
        <v>68</v>
      </c>
      <c r="B74" s="254">
        <v>2023</v>
      </c>
      <c r="C74" s="254" t="s">
        <v>716</v>
      </c>
      <c r="D74" s="255">
        <v>7340000</v>
      </c>
      <c r="E74" s="255">
        <v>7340000</v>
      </c>
      <c r="F74" s="255">
        <f t="shared" si="0"/>
        <v>0</v>
      </c>
      <c r="G74" s="255">
        <v>250000</v>
      </c>
      <c r="H74" s="255">
        <v>4713</v>
      </c>
      <c r="I74" s="255"/>
      <c r="J74" s="255">
        <v>245286.99</v>
      </c>
      <c r="K74" s="255">
        <f t="shared" si="11"/>
        <v>245286.99</v>
      </c>
      <c r="L74" s="255">
        <f t="shared" si="12"/>
        <v>249999.99</v>
      </c>
      <c r="M74" s="255">
        <f t="shared" si="13"/>
        <v>2750000.01</v>
      </c>
      <c r="N74" s="255">
        <v>4340000</v>
      </c>
      <c r="O74" s="255">
        <f t="shared" si="14"/>
        <v>0</v>
      </c>
      <c r="P74" s="255">
        <f t="shared" si="15"/>
        <v>1.0000000009313226E-2</v>
      </c>
      <c r="Q74" s="255">
        <v>2750000</v>
      </c>
      <c r="R74" s="255"/>
      <c r="S74" s="255">
        <f t="shared" si="16"/>
        <v>2750000</v>
      </c>
      <c r="T74" s="255">
        <f t="shared" si="17"/>
        <v>0</v>
      </c>
      <c r="U74" s="255">
        <f t="shared" si="18"/>
        <v>4340000</v>
      </c>
      <c r="V74" s="255">
        <f t="shared" si="19"/>
        <v>4340000</v>
      </c>
      <c r="W74" s="255"/>
      <c r="X74" s="255"/>
      <c r="Y74" s="255"/>
      <c r="Z74" s="254"/>
      <c r="AA74" s="427" t="s">
        <v>1072</v>
      </c>
      <c r="AB74" s="254">
        <v>810000</v>
      </c>
      <c r="AC74" s="420"/>
      <c r="AD74" s="266"/>
      <c r="AE74" s="425"/>
      <c r="AJ74" s="416"/>
      <c r="AK74" s="416"/>
      <c r="AL74" s="416"/>
    </row>
    <row r="75" spans="1:43" s="258" customFormat="1" ht="35.15" customHeight="1">
      <c r="A75" s="254">
        <f t="shared" si="20"/>
        <v>69</v>
      </c>
      <c r="B75" s="254">
        <v>2024</v>
      </c>
      <c r="C75" s="254" t="s">
        <v>717</v>
      </c>
      <c r="D75" s="255">
        <v>7340000</v>
      </c>
      <c r="E75" s="255">
        <v>7340000</v>
      </c>
      <c r="F75" s="255">
        <f t="shared" si="0"/>
        <v>0</v>
      </c>
      <c r="G75" s="255">
        <v>250000</v>
      </c>
      <c r="H75" s="255">
        <v>10393</v>
      </c>
      <c r="I75" s="255"/>
      <c r="J75" s="255">
        <v>239519.55</v>
      </c>
      <c r="K75" s="255">
        <f t="shared" si="11"/>
        <v>239519.55</v>
      </c>
      <c r="L75" s="255">
        <f t="shared" si="12"/>
        <v>249912.55</v>
      </c>
      <c r="M75" s="255">
        <f t="shared" si="13"/>
        <v>450087.45</v>
      </c>
      <c r="N75" s="255">
        <f>6640000-6640000</f>
        <v>0</v>
      </c>
      <c r="O75" s="255">
        <f t="shared" si="14"/>
        <v>6640000</v>
      </c>
      <c r="P75" s="255">
        <f t="shared" si="15"/>
        <v>87.450000000011642</v>
      </c>
      <c r="Q75" s="255">
        <v>450000</v>
      </c>
      <c r="R75" s="255"/>
      <c r="S75" s="255">
        <f t="shared" si="16"/>
        <v>450000</v>
      </c>
      <c r="T75" s="255">
        <f t="shared" si="17"/>
        <v>0</v>
      </c>
      <c r="U75" s="255">
        <f t="shared" si="18"/>
        <v>0</v>
      </c>
      <c r="V75" s="255">
        <f t="shared" si="19"/>
        <v>0</v>
      </c>
      <c r="W75" s="255"/>
      <c r="X75" s="255"/>
      <c r="Y75" s="255"/>
      <c r="Z75" s="254"/>
      <c r="AA75" s="427" t="s">
        <v>1073</v>
      </c>
      <c r="AB75" s="254">
        <v>810000</v>
      </c>
      <c r="AC75" s="420"/>
      <c r="AD75" s="266"/>
      <c r="AE75" s="425"/>
      <c r="AJ75" s="416"/>
      <c r="AK75" s="416"/>
      <c r="AL75" s="416"/>
    </row>
    <row r="76" spans="1:43" s="258" customFormat="1" ht="35.15" customHeight="1">
      <c r="A76" s="254">
        <f t="shared" si="20"/>
        <v>70</v>
      </c>
      <c r="B76" s="254">
        <v>2025</v>
      </c>
      <c r="C76" s="254" t="s">
        <v>718</v>
      </c>
      <c r="D76" s="255">
        <v>2600000</v>
      </c>
      <c r="E76" s="255">
        <v>2600000</v>
      </c>
      <c r="F76" s="255">
        <f t="shared" si="0"/>
        <v>0</v>
      </c>
      <c r="G76" s="255">
        <v>150000</v>
      </c>
      <c r="H76" s="255">
        <v>6201</v>
      </c>
      <c r="I76" s="255"/>
      <c r="J76" s="255">
        <v>143797</v>
      </c>
      <c r="K76" s="255">
        <f t="shared" si="11"/>
        <v>143797</v>
      </c>
      <c r="L76" s="255">
        <f t="shared" si="12"/>
        <v>149998</v>
      </c>
      <c r="M76" s="255">
        <f t="shared" si="13"/>
        <v>1150002</v>
      </c>
      <c r="N76" s="255">
        <v>1300000</v>
      </c>
      <c r="O76" s="255">
        <f t="shared" si="14"/>
        <v>0</v>
      </c>
      <c r="P76" s="255">
        <f t="shared" si="15"/>
        <v>2</v>
      </c>
      <c r="Q76" s="255">
        <v>1150000</v>
      </c>
      <c r="R76" s="255"/>
      <c r="S76" s="255">
        <f t="shared" si="16"/>
        <v>1150000</v>
      </c>
      <c r="T76" s="255">
        <f t="shared" si="17"/>
        <v>0</v>
      </c>
      <c r="U76" s="255">
        <f t="shared" si="18"/>
        <v>1300000</v>
      </c>
      <c r="V76" s="255">
        <f t="shared" si="19"/>
        <v>1300000</v>
      </c>
      <c r="W76" s="255"/>
      <c r="X76" s="255"/>
      <c r="Y76" s="255"/>
      <c r="Z76" s="254"/>
      <c r="AA76" s="427" t="s">
        <v>1074</v>
      </c>
      <c r="AB76" s="254">
        <v>810000</v>
      </c>
      <c r="AC76" s="420"/>
      <c r="AD76" s="266"/>
      <c r="AE76" s="425"/>
      <c r="AJ76" s="416"/>
      <c r="AK76" s="416"/>
      <c r="AL76" s="416"/>
    </row>
    <row r="77" spans="1:43" s="258" customFormat="1" ht="35.15" customHeight="1">
      <c r="A77" s="254">
        <f t="shared" si="20"/>
        <v>71</v>
      </c>
      <c r="B77" s="254">
        <v>2026</v>
      </c>
      <c r="C77" s="254" t="s">
        <v>579</v>
      </c>
      <c r="D77" s="255">
        <v>8200000</v>
      </c>
      <c r="E77" s="255">
        <v>7340000</v>
      </c>
      <c r="F77" s="255">
        <f t="shared" si="0"/>
        <v>860000</v>
      </c>
      <c r="G77" s="255">
        <v>150000</v>
      </c>
      <c r="H77" s="255">
        <v>0</v>
      </c>
      <c r="I77" s="255"/>
      <c r="J77" s="255">
        <v>147883.44</v>
      </c>
      <c r="K77" s="255">
        <f t="shared" si="11"/>
        <v>147883.44</v>
      </c>
      <c r="L77" s="255">
        <f t="shared" si="12"/>
        <v>147883.44</v>
      </c>
      <c r="M77" s="255">
        <f t="shared" si="13"/>
        <v>2116.5599999999977</v>
      </c>
      <c r="N77" s="255">
        <v>8050000</v>
      </c>
      <c r="O77" s="255">
        <f t="shared" si="14"/>
        <v>0</v>
      </c>
      <c r="P77" s="255">
        <f t="shared" si="15"/>
        <v>2116.5599999999977</v>
      </c>
      <c r="Q77" s="255"/>
      <c r="R77" s="255"/>
      <c r="S77" s="255">
        <f t="shared" si="16"/>
        <v>0</v>
      </c>
      <c r="T77" s="255">
        <f t="shared" si="17"/>
        <v>0</v>
      </c>
      <c r="U77" s="255">
        <f t="shared" si="18"/>
        <v>8050000</v>
      </c>
      <c r="V77" s="255">
        <f t="shared" si="19"/>
        <v>8050000</v>
      </c>
      <c r="W77" s="255"/>
      <c r="X77" s="255"/>
      <c r="Y77" s="255"/>
      <c r="Z77" s="254"/>
      <c r="AA77" s="427" t="s">
        <v>1075</v>
      </c>
      <c r="AB77" s="254">
        <v>810000</v>
      </c>
      <c r="AC77" s="420"/>
      <c r="AD77" s="266"/>
      <c r="AE77" s="425"/>
      <c r="AJ77" s="416"/>
      <c r="AK77" s="416"/>
      <c r="AL77" s="416"/>
    </row>
    <row r="78" spans="1:43" ht="35.15" customHeight="1">
      <c r="A78" s="254">
        <f t="shared" si="20"/>
        <v>72</v>
      </c>
      <c r="B78" s="427">
        <v>2058</v>
      </c>
      <c r="C78" s="254" t="s">
        <v>719</v>
      </c>
      <c r="D78" s="255">
        <v>2330000</v>
      </c>
      <c r="E78" s="255">
        <v>2330000</v>
      </c>
      <c r="F78" s="255">
        <f t="shared" si="0"/>
        <v>0</v>
      </c>
      <c r="G78" s="255">
        <v>630000</v>
      </c>
      <c r="H78" s="255">
        <v>0</v>
      </c>
      <c r="I78" s="255"/>
      <c r="J78" s="255"/>
      <c r="K78" s="255">
        <f t="shared" si="11"/>
        <v>0</v>
      </c>
      <c r="L78" s="255">
        <f t="shared" si="12"/>
        <v>0</v>
      </c>
      <c r="M78" s="255">
        <f>P78+S78-500000</f>
        <v>130000</v>
      </c>
      <c r="N78" s="255"/>
      <c r="O78" s="255">
        <f t="shared" si="14"/>
        <v>2200000</v>
      </c>
      <c r="P78" s="255">
        <f t="shared" si="15"/>
        <v>630000</v>
      </c>
      <c r="Q78" s="255"/>
      <c r="R78" s="255"/>
      <c r="S78" s="255">
        <f t="shared" si="16"/>
        <v>0</v>
      </c>
      <c r="T78" s="255">
        <f t="shared" si="17"/>
        <v>500000</v>
      </c>
      <c r="U78" s="255">
        <f t="shared" si="18"/>
        <v>-500000</v>
      </c>
      <c r="V78" s="255">
        <f t="shared" si="19"/>
        <v>-500000</v>
      </c>
      <c r="W78" s="255"/>
      <c r="X78" s="255"/>
      <c r="Y78" s="255"/>
      <c r="Z78" s="254"/>
      <c r="AA78" s="427"/>
      <c r="AB78" s="254">
        <v>826000</v>
      </c>
      <c r="AE78" s="425"/>
      <c r="AF78" s="258"/>
      <c r="AG78" s="266"/>
      <c r="AH78" s="266"/>
      <c r="AI78" s="266"/>
    </row>
    <row r="79" spans="1:43" ht="35.15" customHeight="1">
      <c r="A79" s="254">
        <f t="shared" si="20"/>
        <v>73</v>
      </c>
      <c r="B79" s="427">
        <v>2059</v>
      </c>
      <c r="C79" s="254" t="s">
        <v>678</v>
      </c>
      <c r="D79" s="255">
        <v>2610000</v>
      </c>
      <c r="E79" s="255">
        <v>2610000</v>
      </c>
      <c r="F79" s="255">
        <f t="shared" si="0"/>
        <v>0</v>
      </c>
      <c r="G79" s="255">
        <v>350000</v>
      </c>
      <c r="H79" s="255">
        <v>0</v>
      </c>
      <c r="I79" s="255"/>
      <c r="J79" s="255">
        <v>24570</v>
      </c>
      <c r="K79" s="255">
        <f>SUM(I79:J79)</f>
        <v>24570</v>
      </c>
      <c r="L79" s="255">
        <f>H79+K79</f>
        <v>24570</v>
      </c>
      <c r="M79" s="255">
        <f>P79+S79</f>
        <v>325430</v>
      </c>
      <c r="N79" s="255">
        <f>2260000-1760000</f>
        <v>500000</v>
      </c>
      <c r="O79" s="255">
        <f t="shared" si="14"/>
        <v>1760000</v>
      </c>
      <c r="P79" s="255">
        <f t="shared" si="15"/>
        <v>325430</v>
      </c>
      <c r="Q79" s="255"/>
      <c r="R79" s="255"/>
      <c r="S79" s="255">
        <f t="shared" si="16"/>
        <v>0</v>
      </c>
      <c r="T79" s="255">
        <f t="shared" si="17"/>
        <v>0</v>
      </c>
      <c r="U79" s="255">
        <f t="shared" si="18"/>
        <v>500000</v>
      </c>
      <c r="V79" s="255">
        <f t="shared" si="19"/>
        <v>500000</v>
      </c>
      <c r="W79" s="255"/>
      <c r="X79" s="255"/>
      <c r="Y79" s="255"/>
      <c r="Z79" s="254"/>
      <c r="AA79" s="427" t="s">
        <v>1076</v>
      </c>
      <c r="AB79" s="254">
        <v>826000</v>
      </c>
      <c r="AE79" s="425"/>
      <c r="AF79" s="258"/>
      <c r="AG79" s="266"/>
      <c r="AH79" s="266"/>
      <c r="AI79" s="266"/>
    </row>
    <row r="80" spans="1:43" ht="35.15" customHeight="1">
      <c r="A80" s="254">
        <f t="shared" si="20"/>
        <v>74</v>
      </c>
      <c r="B80" s="427">
        <v>2062</v>
      </c>
      <c r="C80" s="254" t="s">
        <v>720</v>
      </c>
      <c r="D80" s="255">
        <v>1200000</v>
      </c>
      <c r="E80" s="255">
        <v>1200000</v>
      </c>
      <c r="F80" s="255">
        <f t="shared" si="0"/>
        <v>0</v>
      </c>
      <c r="G80" s="255">
        <v>1200000</v>
      </c>
      <c r="H80" s="255">
        <v>698660</v>
      </c>
      <c r="I80" s="255"/>
      <c r="J80" s="255">
        <v>36525</v>
      </c>
      <c r="K80" s="255">
        <f t="shared" si="11"/>
        <v>36525</v>
      </c>
      <c r="L80" s="255">
        <f t="shared" si="12"/>
        <v>735185</v>
      </c>
      <c r="M80" s="255">
        <f t="shared" si="13"/>
        <v>464815</v>
      </c>
      <c r="N80" s="255"/>
      <c r="O80" s="255">
        <f t="shared" si="14"/>
        <v>0</v>
      </c>
      <c r="P80" s="255">
        <f t="shared" si="15"/>
        <v>464815</v>
      </c>
      <c r="Q80" s="255"/>
      <c r="R80" s="255"/>
      <c r="S80" s="255">
        <f t="shared" si="16"/>
        <v>0</v>
      </c>
      <c r="T80" s="255">
        <f t="shared" si="17"/>
        <v>0</v>
      </c>
      <c r="U80" s="255">
        <f t="shared" si="18"/>
        <v>0</v>
      </c>
      <c r="V80" s="255">
        <f t="shared" si="19"/>
        <v>0</v>
      </c>
      <c r="W80" s="255"/>
      <c r="X80" s="255"/>
      <c r="Y80" s="255"/>
      <c r="Z80" s="254"/>
      <c r="AA80" s="427"/>
      <c r="AB80" s="254">
        <v>930000</v>
      </c>
      <c r="AE80" s="425"/>
      <c r="AF80" s="258"/>
      <c r="AG80" s="266"/>
      <c r="AH80" s="266"/>
      <c r="AI80" s="266"/>
    </row>
    <row r="81" spans="1:41" ht="35.15" customHeight="1">
      <c r="A81" s="254">
        <f t="shared" si="20"/>
        <v>75</v>
      </c>
      <c r="B81" s="427">
        <v>2064</v>
      </c>
      <c r="C81" s="254" t="s">
        <v>522</v>
      </c>
      <c r="D81" s="255">
        <v>6417000</v>
      </c>
      <c r="E81" s="255">
        <v>6417000</v>
      </c>
      <c r="F81" s="255">
        <f t="shared" si="0"/>
        <v>0</v>
      </c>
      <c r="G81" s="255">
        <v>200000</v>
      </c>
      <c r="H81" s="255">
        <v>7441</v>
      </c>
      <c r="I81" s="255"/>
      <c r="J81" s="255">
        <v>92556.36</v>
      </c>
      <c r="K81" s="255">
        <f t="shared" si="11"/>
        <v>92556.36</v>
      </c>
      <c r="L81" s="255">
        <f t="shared" si="12"/>
        <v>99997.36</v>
      </c>
      <c r="M81" s="255">
        <f t="shared" si="13"/>
        <v>900002.64</v>
      </c>
      <c r="N81" s="255">
        <f>5417000-5417000</f>
        <v>0</v>
      </c>
      <c r="O81" s="255">
        <f t="shared" si="14"/>
        <v>5417000</v>
      </c>
      <c r="P81" s="255">
        <f t="shared" si="15"/>
        <v>100002.64</v>
      </c>
      <c r="Q81" s="255"/>
      <c r="R81" s="255">
        <v>800000</v>
      </c>
      <c r="S81" s="255">
        <f t="shared" si="16"/>
        <v>800000</v>
      </c>
      <c r="T81" s="255">
        <f t="shared" si="17"/>
        <v>0</v>
      </c>
      <c r="U81" s="255">
        <f t="shared" si="18"/>
        <v>0</v>
      </c>
      <c r="V81" s="255">
        <f t="shared" si="19"/>
        <v>0</v>
      </c>
      <c r="W81" s="255"/>
      <c r="X81" s="255"/>
      <c r="Y81" s="255"/>
      <c r="Z81" s="254"/>
      <c r="AA81" s="427" t="s">
        <v>1313</v>
      </c>
      <c r="AB81" s="254">
        <v>829000</v>
      </c>
      <c r="AE81" s="425"/>
      <c r="AF81" s="258"/>
      <c r="AG81" s="266"/>
      <c r="AH81" s="266"/>
      <c r="AI81" s="266"/>
    </row>
    <row r="82" spans="1:41" s="258" customFormat="1" ht="35.15" customHeight="1">
      <c r="A82" s="254">
        <f t="shared" si="20"/>
        <v>76</v>
      </c>
      <c r="B82" s="254">
        <v>2067</v>
      </c>
      <c r="C82" s="254" t="s">
        <v>1324</v>
      </c>
      <c r="D82" s="255">
        <v>800000</v>
      </c>
      <c r="E82" s="255">
        <v>800000</v>
      </c>
      <c r="F82" s="255">
        <f t="shared" si="0"/>
        <v>0</v>
      </c>
      <c r="G82" s="255">
        <v>800000</v>
      </c>
      <c r="H82" s="255">
        <v>0</v>
      </c>
      <c r="I82" s="255"/>
      <c r="J82" s="255">
        <v>180876</v>
      </c>
      <c r="K82" s="255">
        <f t="shared" si="11"/>
        <v>180876</v>
      </c>
      <c r="L82" s="255">
        <f t="shared" si="12"/>
        <v>180876</v>
      </c>
      <c r="M82" s="255">
        <f t="shared" si="13"/>
        <v>619124</v>
      </c>
      <c r="N82" s="255"/>
      <c r="O82" s="255">
        <f t="shared" si="14"/>
        <v>0</v>
      </c>
      <c r="P82" s="255">
        <f t="shared" si="15"/>
        <v>619124</v>
      </c>
      <c r="Q82" s="255"/>
      <c r="R82" s="255"/>
      <c r="S82" s="255">
        <f t="shared" si="16"/>
        <v>0</v>
      </c>
      <c r="T82" s="255">
        <f t="shared" si="17"/>
        <v>0</v>
      </c>
      <c r="U82" s="255">
        <f t="shared" si="18"/>
        <v>0</v>
      </c>
      <c r="V82" s="255">
        <f t="shared" si="19"/>
        <v>0</v>
      </c>
      <c r="W82" s="255"/>
      <c r="X82" s="255"/>
      <c r="Y82" s="255"/>
      <c r="Z82" s="254"/>
      <c r="AA82" s="427"/>
      <c r="AB82" s="254">
        <v>829000</v>
      </c>
      <c r="AC82" s="420"/>
      <c r="AD82" s="266"/>
      <c r="AE82" s="425"/>
      <c r="AJ82" s="416"/>
      <c r="AK82" s="416"/>
      <c r="AL82" s="416"/>
    </row>
    <row r="83" spans="1:41" ht="28">
      <c r="A83" s="254">
        <f t="shared" si="20"/>
        <v>77</v>
      </c>
      <c r="B83" s="427">
        <v>2073</v>
      </c>
      <c r="C83" s="254" t="s">
        <v>721</v>
      </c>
      <c r="D83" s="255">
        <f>350000+11000000</f>
        <v>11350000</v>
      </c>
      <c r="E83" s="255">
        <v>350000</v>
      </c>
      <c r="F83" s="255">
        <f t="shared" si="0"/>
        <v>11000000</v>
      </c>
      <c r="G83" s="255">
        <v>350000</v>
      </c>
      <c r="H83" s="255">
        <v>0</v>
      </c>
      <c r="I83" s="255"/>
      <c r="J83" s="255"/>
      <c r="K83" s="255">
        <f t="shared" si="11"/>
        <v>0</v>
      </c>
      <c r="L83" s="255">
        <f t="shared" si="12"/>
        <v>0</v>
      </c>
      <c r="M83" s="255">
        <f t="shared" si="13"/>
        <v>350000</v>
      </c>
      <c r="N83" s="255">
        <f>11000000-10500000</f>
        <v>500000</v>
      </c>
      <c r="O83" s="255">
        <f t="shared" si="14"/>
        <v>10500000</v>
      </c>
      <c r="P83" s="255">
        <f t="shared" si="15"/>
        <v>350000</v>
      </c>
      <c r="Q83" s="255"/>
      <c r="R83" s="255"/>
      <c r="S83" s="255">
        <f t="shared" si="16"/>
        <v>0</v>
      </c>
      <c r="T83" s="255">
        <f t="shared" si="17"/>
        <v>0</v>
      </c>
      <c r="U83" s="255">
        <f t="shared" si="18"/>
        <v>500000</v>
      </c>
      <c r="V83" s="255">
        <f t="shared" si="19"/>
        <v>500000</v>
      </c>
      <c r="W83" s="255"/>
      <c r="X83" s="255"/>
      <c r="Y83" s="255"/>
      <c r="Z83" s="254"/>
      <c r="AA83" s="427" t="s">
        <v>1128</v>
      </c>
      <c r="AB83" s="254">
        <v>829000</v>
      </c>
      <c r="AE83" s="425"/>
      <c r="AF83" s="258"/>
      <c r="AG83" s="266"/>
      <c r="AH83" s="266"/>
      <c r="AI83" s="266"/>
    </row>
    <row r="84" spans="1:41" ht="35.15" customHeight="1">
      <c r="A84" s="254">
        <f t="shared" si="20"/>
        <v>78</v>
      </c>
      <c r="B84" s="427">
        <v>2076</v>
      </c>
      <c r="C84" s="254" t="s">
        <v>722</v>
      </c>
      <c r="D84" s="255">
        <v>1450000</v>
      </c>
      <c r="E84" s="255">
        <v>1450000</v>
      </c>
      <c r="F84" s="255">
        <f t="shared" si="0"/>
        <v>0</v>
      </c>
      <c r="G84" s="255">
        <v>250000</v>
      </c>
      <c r="H84" s="255">
        <v>0</v>
      </c>
      <c r="I84" s="255"/>
      <c r="J84" s="255"/>
      <c r="K84" s="255">
        <f t="shared" si="11"/>
        <v>0</v>
      </c>
      <c r="L84" s="255">
        <f t="shared" si="12"/>
        <v>0</v>
      </c>
      <c r="M84" s="255">
        <f t="shared" si="13"/>
        <v>250000</v>
      </c>
      <c r="N84" s="255">
        <v>1200000</v>
      </c>
      <c r="O84" s="255">
        <f t="shared" si="14"/>
        <v>0</v>
      </c>
      <c r="P84" s="255">
        <f t="shared" si="15"/>
        <v>250000</v>
      </c>
      <c r="Q84" s="255"/>
      <c r="R84" s="255"/>
      <c r="S84" s="255">
        <f t="shared" si="16"/>
        <v>0</v>
      </c>
      <c r="T84" s="255">
        <f t="shared" si="17"/>
        <v>0</v>
      </c>
      <c r="U84" s="255">
        <f t="shared" si="18"/>
        <v>1200000</v>
      </c>
      <c r="V84" s="255">
        <f t="shared" si="19"/>
        <v>1200000</v>
      </c>
      <c r="W84" s="255"/>
      <c r="X84" s="255"/>
      <c r="Y84" s="255"/>
      <c r="Z84" s="254"/>
      <c r="AA84" s="427" t="s">
        <v>1077</v>
      </c>
      <c r="AB84" s="254">
        <v>850000</v>
      </c>
      <c r="AE84" s="425"/>
      <c r="AF84" s="258"/>
      <c r="AG84" s="266"/>
      <c r="AH84" s="266"/>
      <c r="AI84" s="266"/>
    </row>
    <row r="85" spans="1:41" ht="35.15" customHeight="1">
      <c r="A85" s="254">
        <f t="shared" si="20"/>
        <v>79</v>
      </c>
      <c r="B85" s="42">
        <v>2079</v>
      </c>
      <c r="C85" s="254" t="s">
        <v>723</v>
      </c>
      <c r="D85" s="255">
        <v>500000</v>
      </c>
      <c r="E85" s="255">
        <v>500000</v>
      </c>
      <c r="F85" s="255">
        <f t="shared" ref="F85:F92" si="21">D85-E85</f>
        <v>0</v>
      </c>
      <c r="G85" s="255">
        <v>500000</v>
      </c>
      <c r="H85" s="255"/>
      <c r="I85" s="255"/>
      <c r="J85" s="255"/>
      <c r="K85" s="255">
        <f>SUM(I85:J85)</f>
        <v>0</v>
      </c>
      <c r="L85" s="255">
        <f t="shared" si="12"/>
        <v>0</v>
      </c>
      <c r="M85" s="255">
        <f t="shared" si="13"/>
        <v>500000</v>
      </c>
      <c r="N85" s="255"/>
      <c r="O85" s="255">
        <f t="shared" si="14"/>
        <v>0</v>
      </c>
      <c r="P85" s="255">
        <f t="shared" si="15"/>
        <v>500000</v>
      </c>
      <c r="Q85" s="255"/>
      <c r="R85" s="255"/>
      <c r="S85" s="255">
        <f t="shared" si="16"/>
        <v>0</v>
      </c>
      <c r="T85" s="255">
        <f t="shared" si="17"/>
        <v>0</v>
      </c>
      <c r="U85" s="255">
        <f t="shared" si="18"/>
        <v>0</v>
      </c>
      <c r="V85" s="255">
        <f t="shared" si="19"/>
        <v>0</v>
      </c>
      <c r="W85" s="255"/>
      <c r="X85" s="255"/>
      <c r="Y85" s="255"/>
      <c r="Z85" s="254"/>
      <c r="AA85" s="700" t="s">
        <v>1078</v>
      </c>
      <c r="AB85" s="254">
        <v>840000</v>
      </c>
      <c r="AE85" s="425"/>
      <c r="AF85" s="258"/>
      <c r="AG85" s="266"/>
      <c r="AH85" s="266"/>
      <c r="AI85" s="266"/>
      <c r="AO85" s="261"/>
    </row>
    <row r="86" spans="1:41" ht="35.15" customHeight="1">
      <c r="A86" s="254">
        <f t="shared" si="20"/>
        <v>80</v>
      </c>
      <c r="B86" s="42">
        <v>2080</v>
      </c>
      <c r="C86" s="254" t="s">
        <v>724</v>
      </c>
      <c r="D86" s="255">
        <v>2050000</v>
      </c>
      <c r="E86" s="255">
        <v>2050000</v>
      </c>
      <c r="F86" s="255">
        <f t="shared" si="21"/>
        <v>0</v>
      </c>
      <c r="G86" s="255">
        <v>500000</v>
      </c>
      <c r="H86" s="255"/>
      <c r="I86" s="255"/>
      <c r="J86" s="255"/>
      <c r="K86" s="255">
        <f>SUM(I86:J86)</f>
        <v>0</v>
      </c>
      <c r="L86" s="255">
        <f>K86+H86</f>
        <v>0</v>
      </c>
      <c r="M86" s="255">
        <f>P86+S86</f>
        <v>500000</v>
      </c>
      <c r="N86" s="255">
        <v>1550000</v>
      </c>
      <c r="O86" s="255">
        <f t="shared" ref="O86:O92" si="22">D86-L86-M86-N86</f>
        <v>0</v>
      </c>
      <c r="P86" s="255">
        <f>G86-L86</f>
        <v>500000</v>
      </c>
      <c r="Q86" s="255"/>
      <c r="R86" s="255"/>
      <c r="S86" s="255">
        <f>SUM(Q86:R86)</f>
        <v>0</v>
      </c>
      <c r="T86" s="255">
        <f>P86-M86+S86</f>
        <v>0</v>
      </c>
      <c r="U86" s="255">
        <f t="shared" ref="U86:U92" si="23">N86-T86</f>
        <v>1550000</v>
      </c>
      <c r="V86" s="255">
        <f t="shared" ref="V86:V91" si="24">U86-Y86-X86-Z86-W86</f>
        <v>1550000</v>
      </c>
      <c r="W86" s="255"/>
      <c r="X86" s="255"/>
      <c r="Y86" s="255"/>
      <c r="Z86" s="254"/>
      <c r="AA86" s="427" t="s">
        <v>1516</v>
      </c>
      <c r="AB86" s="254">
        <v>747000</v>
      </c>
      <c r="AE86" s="425"/>
      <c r="AF86" s="258"/>
      <c r="AG86" s="266"/>
      <c r="AH86" s="266"/>
      <c r="AI86" s="266"/>
      <c r="AO86" s="261"/>
    </row>
    <row r="87" spans="1:41" ht="35.15" customHeight="1">
      <c r="A87" s="254">
        <f t="shared" si="20"/>
        <v>81</v>
      </c>
      <c r="B87" s="42">
        <v>2097</v>
      </c>
      <c r="C87" s="254" t="s">
        <v>725</v>
      </c>
      <c r="D87" s="255">
        <v>41000000</v>
      </c>
      <c r="E87" s="255"/>
      <c r="F87" s="255">
        <f t="shared" si="21"/>
        <v>41000000</v>
      </c>
      <c r="G87" s="255"/>
      <c r="H87" s="255"/>
      <c r="I87" s="255"/>
      <c r="J87" s="255"/>
      <c r="K87" s="255">
        <f>SUM(I87:J87)</f>
        <v>0</v>
      </c>
      <c r="L87" s="255">
        <f>K87+H87</f>
        <v>0</v>
      </c>
      <c r="M87" s="255">
        <f>P87+S87</f>
        <v>0</v>
      </c>
      <c r="N87" s="255">
        <v>1000000</v>
      </c>
      <c r="O87" s="255">
        <f t="shared" si="22"/>
        <v>40000000</v>
      </c>
      <c r="P87" s="255">
        <f>G87-L87</f>
        <v>0</v>
      </c>
      <c r="Q87" s="255"/>
      <c r="R87" s="255"/>
      <c r="S87" s="255">
        <f>SUM(Q87:R87)</f>
        <v>0</v>
      </c>
      <c r="T87" s="255">
        <f>P87-M87+S87</f>
        <v>0</v>
      </c>
      <c r="U87" s="255">
        <f t="shared" si="23"/>
        <v>1000000</v>
      </c>
      <c r="V87" s="255">
        <f t="shared" si="24"/>
        <v>1000000</v>
      </c>
      <c r="W87" s="255"/>
      <c r="X87" s="255"/>
      <c r="Y87" s="255"/>
      <c r="Z87" s="254"/>
      <c r="AA87" s="701" t="s">
        <v>1442</v>
      </c>
      <c r="AB87" s="254">
        <v>810000</v>
      </c>
      <c r="AF87" s="258"/>
      <c r="AG87" s="266"/>
      <c r="AH87" s="266"/>
      <c r="AI87" s="266"/>
      <c r="AO87" s="261"/>
    </row>
    <row r="88" spans="1:41" ht="35.15" customHeight="1">
      <c r="A88" s="254">
        <f t="shared" si="20"/>
        <v>82</v>
      </c>
      <c r="B88" s="42">
        <v>2098</v>
      </c>
      <c r="C88" s="254" t="s">
        <v>726</v>
      </c>
      <c r="D88" s="255">
        <v>760000</v>
      </c>
      <c r="E88" s="255"/>
      <c r="F88" s="255">
        <f t="shared" si="21"/>
        <v>760000</v>
      </c>
      <c r="G88" s="255"/>
      <c r="H88" s="255"/>
      <c r="I88" s="255"/>
      <c r="J88" s="255"/>
      <c r="K88" s="255">
        <f>SUM(I88:J88)</f>
        <v>0</v>
      </c>
      <c r="L88" s="255">
        <f>K88+H88</f>
        <v>0</v>
      </c>
      <c r="M88" s="255">
        <f>P88+S88</f>
        <v>0</v>
      </c>
      <c r="N88" s="255">
        <v>760000</v>
      </c>
      <c r="O88" s="255">
        <f t="shared" si="22"/>
        <v>0</v>
      </c>
      <c r="P88" s="255">
        <f>G88-L88</f>
        <v>0</v>
      </c>
      <c r="Q88" s="255"/>
      <c r="R88" s="255"/>
      <c r="S88" s="255">
        <f>SUM(Q88:R88)</f>
        <v>0</v>
      </c>
      <c r="T88" s="255">
        <f>P88-M88+S88</f>
        <v>0</v>
      </c>
      <c r="U88" s="255">
        <f t="shared" si="23"/>
        <v>760000</v>
      </c>
      <c r="V88" s="255">
        <f t="shared" si="24"/>
        <v>410000</v>
      </c>
      <c r="W88" s="255"/>
      <c r="X88" s="255"/>
      <c r="Y88" s="255"/>
      <c r="Z88" s="255">
        <v>350000</v>
      </c>
      <c r="AA88" s="702" t="s">
        <v>1437</v>
      </c>
      <c r="AB88" s="254">
        <v>810000</v>
      </c>
      <c r="AF88" s="258"/>
      <c r="AG88" s="266"/>
      <c r="AH88" s="266"/>
      <c r="AI88" s="266"/>
      <c r="AO88" s="261"/>
    </row>
    <row r="89" spans="1:41" ht="35.15" customHeight="1">
      <c r="A89" s="254">
        <f t="shared" si="20"/>
        <v>83</v>
      </c>
      <c r="B89" s="42">
        <v>2099</v>
      </c>
      <c r="C89" s="254" t="s">
        <v>727</v>
      </c>
      <c r="D89" s="255">
        <v>12000000</v>
      </c>
      <c r="E89" s="255"/>
      <c r="F89" s="255">
        <f t="shared" si="21"/>
        <v>12000000</v>
      </c>
      <c r="G89" s="255"/>
      <c r="H89" s="255"/>
      <c r="I89" s="255"/>
      <c r="J89" s="255"/>
      <c r="K89" s="255">
        <f>SUM(I89:J89)</f>
        <v>0</v>
      </c>
      <c r="L89" s="255">
        <f>K89+H89</f>
        <v>0</v>
      </c>
      <c r="M89" s="255">
        <f>P89+S89</f>
        <v>0</v>
      </c>
      <c r="N89" s="255">
        <f>12000000-6000000</f>
        <v>6000000</v>
      </c>
      <c r="O89" s="255">
        <f t="shared" si="22"/>
        <v>6000000</v>
      </c>
      <c r="P89" s="255">
        <f>G89-L89</f>
        <v>0</v>
      </c>
      <c r="Q89" s="255"/>
      <c r="R89" s="255"/>
      <c r="S89" s="255">
        <f>SUM(Q89:R89)</f>
        <v>0</v>
      </c>
      <c r="T89" s="255">
        <f>P89-M89+S89</f>
        <v>0</v>
      </c>
      <c r="U89" s="255">
        <f t="shared" si="23"/>
        <v>6000000</v>
      </c>
      <c r="V89" s="255">
        <f t="shared" si="24"/>
        <v>6000000</v>
      </c>
      <c r="W89" s="255"/>
      <c r="X89" s="255"/>
      <c r="Y89" s="255"/>
      <c r="Z89" s="254"/>
      <c r="AA89" s="702" t="s">
        <v>1438</v>
      </c>
      <c r="AB89" s="254">
        <v>822000</v>
      </c>
      <c r="AF89" s="258"/>
      <c r="AG89" s="266"/>
      <c r="AH89" s="266"/>
      <c r="AI89" s="266"/>
      <c r="AO89" s="261"/>
    </row>
    <row r="90" spans="1:41" ht="35.15" customHeight="1">
      <c r="A90" s="254">
        <f t="shared" si="20"/>
        <v>84</v>
      </c>
      <c r="B90" s="42">
        <v>2101</v>
      </c>
      <c r="C90" s="254" t="s">
        <v>696</v>
      </c>
      <c r="D90" s="255">
        <v>9850000</v>
      </c>
      <c r="E90" s="255"/>
      <c r="F90" s="255">
        <f t="shared" si="21"/>
        <v>9850000</v>
      </c>
      <c r="G90" s="255"/>
      <c r="H90" s="255"/>
      <c r="I90" s="255"/>
      <c r="J90" s="255"/>
      <c r="K90" s="255"/>
      <c r="L90" s="255"/>
      <c r="M90" s="255"/>
      <c r="N90" s="255"/>
      <c r="O90" s="255">
        <f t="shared" si="22"/>
        <v>9850000</v>
      </c>
      <c r="P90" s="255"/>
      <c r="Q90" s="255"/>
      <c r="R90" s="255"/>
      <c r="S90" s="255"/>
      <c r="T90" s="255"/>
      <c r="U90" s="255">
        <f t="shared" si="23"/>
        <v>0</v>
      </c>
      <c r="V90" s="255">
        <f t="shared" si="24"/>
        <v>0</v>
      </c>
      <c r="W90" s="255"/>
      <c r="X90" s="255"/>
      <c r="Y90" s="255"/>
      <c r="Z90" s="254"/>
      <c r="AA90" s="700"/>
      <c r="AB90" s="254">
        <v>840000</v>
      </c>
      <c r="AF90" s="258"/>
      <c r="AG90" s="266"/>
      <c r="AH90" s="266"/>
      <c r="AI90" s="266"/>
      <c r="AO90" s="261"/>
    </row>
    <row r="91" spans="1:41" ht="35.15" customHeight="1">
      <c r="A91" s="254">
        <f t="shared" si="20"/>
        <v>85</v>
      </c>
      <c r="B91" s="42">
        <v>2102</v>
      </c>
      <c r="C91" s="254" t="s">
        <v>728</v>
      </c>
      <c r="D91" s="255">
        <v>1750000</v>
      </c>
      <c r="E91" s="255"/>
      <c r="F91" s="255">
        <f t="shared" si="21"/>
        <v>1750000</v>
      </c>
      <c r="G91" s="255"/>
      <c r="H91" s="255"/>
      <c r="I91" s="255"/>
      <c r="J91" s="255"/>
      <c r="K91" s="255"/>
      <c r="L91" s="255"/>
      <c r="M91" s="255"/>
      <c r="N91" s="255">
        <v>1750000</v>
      </c>
      <c r="O91" s="255">
        <f t="shared" si="22"/>
        <v>0</v>
      </c>
      <c r="P91" s="255"/>
      <c r="Q91" s="255"/>
      <c r="R91" s="255"/>
      <c r="S91" s="255"/>
      <c r="T91" s="255"/>
      <c r="U91" s="255">
        <f t="shared" si="23"/>
        <v>1750000</v>
      </c>
      <c r="V91" s="255">
        <f t="shared" si="24"/>
        <v>1750000</v>
      </c>
      <c r="W91" s="255"/>
      <c r="X91" s="255"/>
      <c r="Y91" s="255"/>
      <c r="Z91" s="254"/>
      <c r="AA91" s="701" t="s">
        <v>1441</v>
      </c>
      <c r="AB91" s="254">
        <v>822000</v>
      </c>
      <c r="AF91" s="258"/>
      <c r="AG91" s="266"/>
      <c r="AH91" s="266"/>
      <c r="AI91" s="266"/>
      <c r="AO91" s="261"/>
    </row>
    <row r="92" spans="1:41" ht="35.15" customHeight="1">
      <c r="A92" s="254">
        <f t="shared" si="20"/>
        <v>86</v>
      </c>
      <c r="B92" s="42">
        <v>2103</v>
      </c>
      <c r="C92" s="254" t="s">
        <v>1053</v>
      </c>
      <c r="D92" s="255">
        <f>5000000-2500000</f>
        <v>2500000</v>
      </c>
      <c r="E92" s="255"/>
      <c r="F92" s="255">
        <f t="shared" si="21"/>
        <v>2500000</v>
      </c>
      <c r="G92" s="255"/>
      <c r="H92" s="255"/>
      <c r="I92" s="255"/>
      <c r="J92" s="255"/>
      <c r="K92" s="255"/>
      <c r="L92" s="255"/>
      <c r="M92" s="255"/>
      <c r="N92" s="255">
        <f>5000000-2500000</f>
        <v>2500000</v>
      </c>
      <c r="O92" s="255">
        <f t="shared" si="22"/>
        <v>0</v>
      </c>
      <c r="P92" s="255"/>
      <c r="Q92" s="255"/>
      <c r="R92" s="255"/>
      <c r="S92" s="255"/>
      <c r="T92" s="255"/>
      <c r="U92" s="255">
        <f t="shared" si="23"/>
        <v>2500000</v>
      </c>
      <c r="V92" s="255"/>
      <c r="W92" s="255">
        <f>U92-V92</f>
        <v>2500000</v>
      </c>
      <c r="X92" s="255"/>
      <c r="Y92" s="255"/>
      <c r="Z92" s="254"/>
      <c r="AA92" s="701" t="s">
        <v>1443</v>
      </c>
      <c r="AB92" s="254">
        <v>848000</v>
      </c>
      <c r="AF92" s="258"/>
      <c r="AG92" s="266"/>
      <c r="AH92" s="266"/>
      <c r="AI92" s="266"/>
      <c r="AO92" s="261"/>
    </row>
    <row r="93" spans="1:41" s="433" customFormat="1" ht="35.15" customHeight="1">
      <c r="A93" s="260"/>
      <c r="B93" s="431"/>
      <c r="C93" s="260" t="s">
        <v>433</v>
      </c>
      <c r="D93" s="262">
        <f t="shared" ref="D93:Z93" si="25">SUM(D7:D92)</f>
        <v>1505306125</v>
      </c>
      <c r="E93" s="262">
        <f t="shared" si="25"/>
        <v>1403415725</v>
      </c>
      <c r="F93" s="262">
        <f t="shared" si="25"/>
        <v>101890400</v>
      </c>
      <c r="G93" s="262">
        <f t="shared" si="25"/>
        <v>741398988</v>
      </c>
      <c r="H93" s="262">
        <f t="shared" si="25"/>
        <v>601815576.36000013</v>
      </c>
      <c r="I93" s="262">
        <f t="shared" si="25"/>
        <v>970915.6100000001</v>
      </c>
      <c r="J93" s="262">
        <f t="shared" si="25"/>
        <v>80845169.61999999</v>
      </c>
      <c r="K93" s="262">
        <f t="shared" si="25"/>
        <v>81816085.229999989</v>
      </c>
      <c r="L93" s="262">
        <f t="shared" si="25"/>
        <v>683631661.59000015</v>
      </c>
      <c r="M93" s="262">
        <f t="shared" si="25"/>
        <v>174112258.40999994</v>
      </c>
      <c r="N93" s="262">
        <f t="shared" si="25"/>
        <v>212827410</v>
      </c>
      <c r="O93" s="262">
        <f t="shared" si="25"/>
        <v>434734795</v>
      </c>
      <c r="P93" s="262">
        <f t="shared" si="25"/>
        <v>57767326.410000011</v>
      </c>
      <c r="Q93" s="262">
        <f t="shared" si="25"/>
        <v>117479932</v>
      </c>
      <c r="R93" s="262">
        <f t="shared" si="25"/>
        <v>6800000</v>
      </c>
      <c r="S93" s="262">
        <f t="shared" si="25"/>
        <v>124279932</v>
      </c>
      <c r="T93" s="262">
        <f t="shared" si="25"/>
        <v>7935000</v>
      </c>
      <c r="U93" s="262">
        <f t="shared" si="25"/>
        <v>204892410</v>
      </c>
      <c r="V93" s="262">
        <f t="shared" si="25"/>
        <v>193844870</v>
      </c>
      <c r="W93" s="262">
        <f t="shared" si="25"/>
        <v>2500000</v>
      </c>
      <c r="X93" s="262">
        <f t="shared" si="25"/>
        <v>0</v>
      </c>
      <c r="Y93" s="262">
        <f t="shared" si="25"/>
        <v>0</v>
      </c>
      <c r="Z93" s="262">
        <f t="shared" si="25"/>
        <v>8547540</v>
      </c>
      <c r="AA93" s="703">
        <f>SUM(AA7:AA84)</f>
        <v>0</v>
      </c>
      <c r="AB93" s="262"/>
      <c r="AC93" s="420"/>
      <c r="AD93" s="266"/>
      <c r="AE93" s="420"/>
      <c r="AF93" s="420"/>
      <c r="AG93" s="432"/>
      <c r="AH93" s="432"/>
      <c r="AI93" s="432"/>
      <c r="AJ93" s="416"/>
      <c r="AK93" s="416"/>
      <c r="AL93" s="416"/>
      <c r="AO93" s="261"/>
    </row>
    <row r="94" spans="1:41" s="433" customFormat="1" ht="35.15" customHeight="1">
      <c r="A94" s="260"/>
      <c r="B94" s="431"/>
      <c r="C94" s="260"/>
      <c r="D94" s="262"/>
      <c r="E94" s="262"/>
      <c r="F94" s="262"/>
      <c r="G94" s="262"/>
      <c r="H94" s="262"/>
      <c r="I94" s="262"/>
      <c r="J94" s="262"/>
      <c r="K94" s="262"/>
      <c r="L94" s="262"/>
      <c r="M94" s="262"/>
      <c r="N94" s="262"/>
      <c r="O94" s="262"/>
      <c r="P94" s="262"/>
      <c r="Q94" s="262"/>
      <c r="R94" s="262"/>
      <c r="S94" s="262"/>
      <c r="T94" s="262"/>
      <c r="U94" s="262"/>
      <c r="V94" s="262"/>
      <c r="W94" s="262"/>
      <c r="X94" s="262"/>
      <c r="Y94" s="262"/>
      <c r="Z94" s="262"/>
      <c r="AA94" s="703"/>
      <c r="AB94" s="262"/>
      <c r="AC94" s="420"/>
      <c r="AD94" s="266"/>
      <c r="AE94" s="420"/>
      <c r="AF94" s="420"/>
      <c r="AG94" s="432"/>
      <c r="AH94" s="432"/>
      <c r="AI94" s="432"/>
      <c r="AJ94" s="416"/>
      <c r="AK94" s="416"/>
      <c r="AL94" s="416"/>
      <c r="AO94" s="261"/>
    </row>
    <row r="95" spans="1:41" s="433" customFormat="1" ht="35.15" customHeight="1">
      <c r="A95" s="260"/>
      <c r="B95" s="431"/>
      <c r="C95" s="260" t="s">
        <v>298</v>
      </c>
      <c r="D95" s="262"/>
      <c r="E95" s="262"/>
      <c r="F95" s="262"/>
      <c r="G95" s="262"/>
      <c r="H95" s="262"/>
      <c r="I95" s="262"/>
      <c r="J95" s="262"/>
      <c r="K95" s="262"/>
      <c r="L95" s="262"/>
      <c r="M95" s="262"/>
      <c r="N95" s="262"/>
      <c r="O95" s="262"/>
      <c r="P95" s="262"/>
      <c r="Q95" s="262"/>
      <c r="R95" s="262"/>
      <c r="S95" s="262"/>
      <c r="T95" s="262"/>
      <c r="U95" s="262"/>
      <c r="V95" s="262"/>
      <c r="W95" s="262"/>
      <c r="X95" s="262"/>
      <c r="Y95" s="262"/>
      <c r="Z95" s="262"/>
      <c r="AA95" s="704"/>
      <c r="AB95" s="260"/>
      <c r="AC95" s="420"/>
      <c r="AD95" s="266"/>
      <c r="AE95" s="420"/>
      <c r="AF95" s="258"/>
      <c r="AG95" s="432"/>
      <c r="AH95" s="432"/>
      <c r="AI95" s="432"/>
      <c r="AJ95" s="416"/>
      <c r="AK95" s="416"/>
      <c r="AL95" s="416"/>
      <c r="AO95" s="261"/>
    </row>
    <row r="96" spans="1:41" s="258" customFormat="1" ht="42">
      <c r="A96" s="254">
        <f>A92+1</f>
        <v>87</v>
      </c>
      <c r="B96" s="254">
        <v>1547</v>
      </c>
      <c r="C96" s="254" t="s">
        <v>1080</v>
      </c>
      <c r="D96" s="255">
        <v>144000000</v>
      </c>
      <c r="E96" s="255">
        <v>144000000</v>
      </c>
      <c r="F96" s="255">
        <f t="shared" ref="F96:F114" si="26">D96-E96</f>
        <v>0</v>
      </c>
      <c r="G96" s="255">
        <f>78300000+2700000</f>
        <v>81000000</v>
      </c>
      <c r="H96" s="255">
        <v>70046361</v>
      </c>
      <c r="I96" s="255">
        <v>1052805.8700000001</v>
      </c>
      <c r="J96" s="255">
        <v>3992160</v>
      </c>
      <c r="K96" s="255">
        <f>SUM(I96:J96)</f>
        <v>5044965.87</v>
      </c>
      <c r="L96" s="255">
        <f>K96+H96</f>
        <v>75091326.870000005</v>
      </c>
      <c r="M96" s="255">
        <f>P96+S96</f>
        <v>14908673.129999995</v>
      </c>
      <c r="N96" s="255">
        <f>21000000+35700000-2700000</f>
        <v>54000000</v>
      </c>
      <c r="O96" s="255">
        <f>D96-L96-M96-N96</f>
        <v>0</v>
      </c>
      <c r="P96" s="255">
        <f>G96-L96</f>
        <v>5908673.1299999952</v>
      </c>
      <c r="Q96" s="255">
        <f>7000000+2000000</f>
        <v>9000000</v>
      </c>
      <c r="R96" s="255"/>
      <c r="S96" s="255">
        <f>SUM(Q96:R96)</f>
        <v>9000000</v>
      </c>
      <c r="T96" s="255">
        <f>P96-M96+S96</f>
        <v>0</v>
      </c>
      <c r="U96" s="255">
        <f>N96-T96</f>
        <v>54000000</v>
      </c>
      <c r="V96" s="255"/>
      <c r="W96" s="255"/>
      <c r="X96" s="255"/>
      <c r="Y96" s="255">
        <f t="shared" ref="Y96:Y114" si="27">U96-Z96</f>
        <v>25000000</v>
      </c>
      <c r="Z96" s="255">
        <f>21000000+8000000</f>
        <v>29000000</v>
      </c>
      <c r="AA96" s="427" t="s">
        <v>1314</v>
      </c>
      <c r="AB96" s="254">
        <v>742000</v>
      </c>
      <c r="AC96" s="420"/>
      <c r="AD96" s="266"/>
      <c r="AE96" s="425"/>
      <c r="AJ96" s="416"/>
      <c r="AK96" s="416"/>
      <c r="AL96" s="416"/>
      <c r="AO96" s="261"/>
    </row>
    <row r="97" spans="1:41" ht="35.15" customHeight="1">
      <c r="A97" s="254">
        <f t="shared" ref="A97:A114" si="28">1+A96</f>
        <v>88</v>
      </c>
      <c r="B97" s="427">
        <v>1827</v>
      </c>
      <c r="C97" s="254" t="s">
        <v>729</v>
      </c>
      <c r="D97" s="255">
        <v>100000000</v>
      </c>
      <c r="E97" s="255">
        <v>100000000</v>
      </c>
      <c r="F97" s="255">
        <f t="shared" si="26"/>
        <v>0</v>
      </c>
      <c r="G97" s="255">
        <v>51268638</v>
      </c>
      <c r="H97" s="255">
        <v>26567750</v>
      </c>
      <c r="I97" s="255"/>
      <c r="J97" s="255">
        <v>6688669</v>
      </c>
      <c r="K97" s="255">
        <f t="shared" ref="K97:K114" si="29">SUM(I97:J97)</f>
        <v>6688669</v>
      </c>
      <c r="L97" s="255">
        <f t="shared" ref="L97:L114" si="30">K97+H97</f>
        <v>33256419</v>
      </c>
      <c r="M97" s="255">
        <f t="shared" ref="M97:M114" si="31">P97+S97</f>
        <v>18012219</v>
      </c>
      <c r="N97" s="255">
        <f>48371362+360000</f>
        <v>48731362</v>
      </c>
      <c r="O97" s="255">
        <f t="shared" ref="O97:O114" si="32">D97-L97-M97-N97</f>
        <v>0</v>
      </c>
      <c r="P97" s="255">
        <f t="shared" ref="P97:P114" si="33">G97-L97</f>
        <v>18012219</v>
      </c>
      <c r="Q97" s="255"/>
      <c r="R97" s="255"/>
      <c r="S97" s="255">
        <f t="shared" ref="S97:S114" si="34">SUM(Q97:R97)</f>
        <v>0</v>
      </c>
      <c r="T97" s="255">
        <f t="shared" ref="T97:T114" si="35">P97-M97+S97</f>
        <v>0</v>
      </c>
      <c r="U97" s="255">
        <f t="shared" ref="U97:U114" si="36">N97-T97</f>
        <v>48731362</v>
      </c>
      <c r="V97" s="255"/>
      <c r="W97" s="255"/>
      <c r="X97" s="255"/>
      <c r="Y97" s="255">
        <f t="shared" si="27"/>
        <v>12000000</v>
      </c>
      <c r="Z97" s="255">
        <f>70000000-33268638</f>
        <v>36731362</v>
      </c>
      <c r="AA97" s="427" t="s">
        <v>1314</v>
      </c>
      <c r="AB97" s="254">
        <v>746000</v>
      </c>
      <c r="AE97" s="425"/>
      <c r="AF97" s="258"/>
      <c r="AG97" s="266"/>
      <c r="AH97" s="266"/>
      <c r="AI97" s="266"/>
      <c r="AO97" s="261"/>
    </row>
    <row r="98" spans="1:41" s="258" customFormat="1" ht="35.15" customHeight="1">
      <c r="A98" s="254">
        <f t="shared" si="28"/>
        <v>89</v>
      </c>
      <c r="B98" s="254">
        <v>1905</v>
      </c>
      <c r="C98" s="254" t="s">
        <v>205</v>
      </c>
      <c r="D98" s="255">
        <v>3366000</v>
      </c>
      <c r="E98" s="255">
        <v>3366000</v>
      </c>
      <c r="F98" s="255">
        <f t="shared" si="26"/>
        <v>0</v>
      </c>
      <c r="G98" s="255">
        <v>3366000</v>
      </c>
      <c r="H98" s="255">
        <v>0</v>
      </c>
      <c r="I98" s="255"/>
      <c r="J98" s="255"/>
      <c r="K98" s="255">
        <f t="shared" si="29"/>
        <v>0</v>
      </c>
      <c r="L98" s="255">
        <f t="shared" si="30"/>
        <v>0</v>
      </c>
      <c r="M98" s="255">
        <f t="shared" si="31"/>
        <v>3366000</v>
      </c>
      <c r="N98" s="255"/>
      <c r="O98" s="255">
        <f t="shared" si="32"/>
        <v>0</v>
      </c>
      <c r="P98" s="255">
        <f t="shared" si="33"/>
        <v>3366000</v>
      </c>
      <c r="Q98" s="255"/>
      <c r="R98" s="255"/>
      <c r="S98" s="255">
        <f t="shared" si="34"/>
        <v>0</v>
      </c>
      <c r="T98" s="255">
        <f t="shared" si="35"/>
        <v>0</v>
      </c>
      <c r="U98" s="255">
        <f t="shared" si="36"/>
        <v>0</v>
      </c>
      <c r="V98" s="255"/>
      <c r="W98" s="255"/>
      <c r="X98" s="255"/>
      <c r="Y98" s="255">
        <f t="shared" si="27"/>
        <v>0</v>
      </c>
      <c r="Z98" s="255"/>
      <c r="AA98" s="427" t="s">
        <v>1325</v>
      </c>
      <c r="AB98" s="254">
        <v>746000</v>
      </c>
      <c r="AC98" s="420"/>
      <c r="AD98" s="266"/>
      <c r="AE98" s="425"/>
      <c r="AJ98" s="416"/>
      <c r="AK98" s="416"/>
      <c r="AL98" s="416"/>
    </row>
    <row r="99" spans="1:41" s="258" customFormat="1" ht="35.15" customHeight="1">
      <c r="A99" s="254">
        <f t="shared" si="28"/>
        <v>90</v>
      </c>
      <c r="B99" s="254">
        <v>1906</v>
      </c>
      <c r="C99" s="254" t="s">
        <v>500</v>
      </c>
      <c r="D99" s="255">
        <v>10000000</v>
      </c>
      <c r="E99" s="255">
        <v>10000000</v>
      </c>
      <c r="F99" s="255">
        <f t="shared" si="26"/>
        <v>0</v>
      </c>
      <c r="G99" s="255">
        <f>7958844+1750000</f>
        <v>9708844</v>
      </c>
      <c r="H99" s="255">
        <v>6208337</v>
      </c>
      <c r="I99" s="255"/>
      <c r="J99" s="255">
        <v>1750480</v>
      </c>
      <c r="K99" s="255">
        <f t="shared" si="29"/>
        <v>1750480</v>
      </c>
      <c r="L99" s="255">
        <f t="shared" si="30"/>
        <v>7958817</v>
      </c>
      <c r="M99" s="255">
        <f t="shared" si="31"/>
        <v>1750027</v>
      </c>
      <c r="N99" s="255">
        <v>291156</v>
      </c>
      <c r="O99" s="255">
        <f t="shared" si="32"/>
        <v>0</v>
      </c>
      <c r="P99" s="255">
        <f t="shared" si="33"/>
        <v>1750027</v>
      </c>
      <c r="Q99" s="255"/>
      <c r="R99" s="255"/>
      <c r="S99" s="255">
        <f t="shared" si="34"/>
        <v>0</v>
      </c>
      <c r="T99" s="255">
        <f t="shared" si="35"/>
        <v>0</v>
      </c>
      <c r="U99" s="255">
        <f t="shared" si="36"/>
        <v>291156</v>
      </c>
      <c r="V99" s="255"/>
      <c r="W99" s="255"/>
      <c r="X99" s="255"/>
      <c r="Y99" s="255">
        <f t="shared" si="27"/>
        <v>291156</v>
      </c>
      <c r="Z99" s="254"/>
      <c r="AA99" s="427"/>
      <c r="AB99" s="254">
        <v>810000</v>
      </c>
      <c r="AC99" s="420"/>
      <c r="AD99" s="266"/>
      <c r="AE99" s="425"/>
      <c r="AJ99" s="416"/>
      <c r="AK99" s="416"/>
      <c r="AL99" s="416"/>
    </row>
    <row r="100" spans="1:41" s="258" customFormat="1" ht="35.15" customHeight="1">
      <c r="A100" s="254">
        <f t="shared" si="28"/>
        <v>91</v>
      </c>
      <c r="B100" s="254">
        <v>1907</v>
      </c>
      <c r="C100" s="254" t="s">
        <v>203</v>
      </c>
      <c r="D100" s="255">
        <v>10000000</v>
      </c>
      <c r="E100" s="255">
        <v>10000000</v>
      </c>
      <c r="F100" s="255">
        <f t="shared" si="26"/>
        <v>0</v>
      </c>
      <c r="G100" s="255">
        <v>7958844</v>
      </c>
      <c r="H100" s="255">
        <v>5917824</v>
      </c>
      <c r="I100" s="255"/>
      <c r="J100" s="255">
        <v>1253997</v>
      </c>
      <c r="K100" s="255">
        <f t="shared" si="29"/>
        <v>1253997</v>
      </c>
      <c r="L100" s="255">
        <f t="shared" si="30"/>
        <v>7171821</v>
      </c>
      <c r="M100" s="255">
        <f t="shared" si="31"/>
        <v>2537023</v>
      </c>
      <c r="N100" s="255">
        <v>291156</v>
      </c>
      <c r="O100" s="255">
        <f t="shared" si="32"/>
        <v>0</v>
      </c>
      <c r="P100" s="255">
        <f t="shared" si="33"/>
        <v>787023</v>
      </c>
      <c r="Q100" s="255">
        <v>1750000</v>
      </c>
      <c r="R100" s="255"/>
      <c r="S100" s="255">
        <f t="shared" si="34"/>
        <v>1750000</v>
      </c>
      <c r="T100" s="255">
        <f t="shared" si="35"/>
        <v>0</v>
      </c>
      <c r="U100" s="255">
        <f t="shared" si="36"/>
        <v>291156</v>
      </c>
      <c r="V100" s="255"/>
      <c r="W100" s="255"/>
      <c r="X100" s="255"/>
      <c r="Y100" s="255">
        <f t="shared" si="27"/>
        <v>291156</v>
      </c>
      <c r="Z100" s="254"/>
      <c r="AA100" s="427"/>
      <c r="AB100" s="254">
        <v>810000</v>
      </c>
      <c r="AC100" s="420"/>
      <c r="AD100" s="266"/>
      <c r="AE100" s="425"/>
      <c r="AJ100" s="416"/>
      <c r="AK100" s="416"/>
      <c r="AL100" s="416"/>
    </row>
    <row r="101" spans="1:41" s="258" customFormat="1" ht="35.15" customHeight="1">
      <c r="A101" s="254">
        <f t="shared" si="28"/>
        <v>92</v>
      </c>
      <c r="B101" s="254">
        <v>1908</v>
      </c>
      <c r="C101" s="254" t="s">
        <v>249</v>
      </c>
      <c r="D101" s="255">
        <v>16900000</v>
      </c>
      <c r="E101" s="255">
        <v>16900000</v>
      </c>
      <c r="F101" s="255">
        <f t="shared" si="26"/>
        <v>0</v>
      </c>
      <c r="G101" s="255">
        <v>10943329</v>
      </c>
      <c r="H101" s="255">
        <v>250632</v>
      </c>
      <c r="I101" s="255"/>
      <c r="J101" s="255">
        <v>48831.9</v>
      </c>
      <c r="K101" s="255">
        <f t="shared" si="29"/>
        <v>48831.9</v>
      </c>
      <c r="L101" s="255">
        <f t="shared" si="30"/>
        <v>299463.90000000002</v>
      </c>
      <c r="M101" s="255">
        <f t="shared" si="31"/>
        <v>10643865.1</v>
      </c>
      <c r="N101" s="255"/>
      <c r="O101" s="255">
        <f t="shared" si="32"/>
        <v>5956671</v>
      </c>
      <c r="P101" s="255">
        <f t="shared" si="33"/>
        <v>10643865.1</v>
      </c>
      <c r="Q101" s="255"/>
      <c r="R101" s="255"/>
      <c r="S101" s="255">
        <f t="shared" si="34"/>
        <v>0</v>
      </c>
      <c r="T101" s="255">
        <f t="shared" si="35"/>
        <v>0</v>
      </c>
      <c r="U101" s="255">
        <f t="shared" si="36"/>
        <v>0</v>
      </c>
      <c r="V101" s="255"/>
      <c r="W101" s="255"/>
      <c r="X101" s="255"/>
      <c r="Y101" s="255">
        <f t="shared" si="27"/>
        <v>0</v>
      </c>
      <c r="Z101" s="254"/>
      <c r="AA101" s="427"/>
      <c r="AB101" s="254">
        <v>810000</v>
      </c>
      <c r="AC101" s="420"/>
      <c r="AD101" s="266"/>
      <c r="AE101" s="425"/>
      <c r="AJ101" s="416"/>
      <c r="AK101" s="416"/>
      <c r="AL101" s="416"/>
    </row>
    <row r="102" spans="1:41" ht="42">
      <c r="A102" s="254">
        <f t="shared" si="28"/>
        <v>93</v>
      </c>
      <c r="B102" s="427">
        <v>1909</v>
      </c>
      <c r="C102" s="434" t="s">
        <v>730</v>
      </c>
      <c r="D102" s="255">
        <v>147000000</v>
      </c>
      <c r="E102" s="255">
        <v>12500000</v>
      </c>
      <c r="F102" s="255">
        <f t="shared" si="26"/>
        <v>134500000</v>
      </c>
      <c r="G102" s="255">
        <v>1650000</v>
      </c>
      <c r="H102" s="255">
        <f>36475+186030</f>
        <v>222505</v>
      </c>
      <c r="I102" s="255"/>
      <c r="J102" s="255">
        <v>53298.879999999997</v>
      </c>
      <c r="K102" s="255">
        <f t="shared" si="29"/>
        <v>53298.879999999997</v>
      </c>
      <c r="L102" s="255">
        <f t="shared" si="30"/>
        <v>275803.88</v>
      </c>
      <c r="M102" s="255">
        <f t="shared" si="31"/>
        <v>1374196.12</v>
      </c>
      <c r="N102" s="255"/>
      <c r="O102" s="255">
        <f t="shared" si="32"/>
        <v>145350000</v>
      </c>
      <c r="P102" s="255">
        <f t="shared" si="33"/>
        <v>1374196.12</v>
      </c>
      <c r="Q102" s="255"/>
      <c r="R102" s="255"/>
      <c r="S102" s="255">
        <f t="shared" si="34"/>
        <v>0</v>
      </c>
      <c r="T102" s="255">
        <f t="shared" si="35"/>
        <v>0</v>
      </c>
      <c r="U102" s="255">
        <f t="shared" si="36"/>
        <v>0</v>
      </c>
      <c r="V102" s="255"/>
      <c r="W102" s="255"/>
      <c r="X102" s="255"/>
      <c r="Y102" s="255">
        <f t="shared" si="27"/>
        <v>0</v>
      </c>
      <c r="Z102" s="254"/>
      <c r="AA102" s="700"/>
      <c r="AB102" s="254">
        <v>810000</v>
      </c>
      <c r="AE102" s="425"/>
      <c r="AF102" s="258"/>
      <c r="AG102" s="266"/>
      <c r="AH102" s="266"/>
      <c r="AI102" s="266"/>
    </row>
    <row r="103" spans="1:41" ht="56">
      <c r="A103" s="254">
        <f t="shared" si="28"/>
        <v>94</v>
      </c>
      <c r="B103" s="427">
        <v>1910</v>
      </c>
      <c r="C103" s="434" t="s">
        <v>731</v>
      </c>
      <c r="D103" s="255">
        <f>650000-650000</f>
        <v>0</v>
      </c>
      <c r="E103" s="255">
        <v>650000</v>
      </c>
      <c r="F103" s="255">
        <f t="shared" si="26"/>
        <v>-650000</v>
      </c>
      <c r="G103" s="255">
        <v>650000</v>
      </c>
      <c r="H103" s="255">
        <v>0</v>
      </c>
      <c r="I103" s="255"/>
      <c r="J103" s="255"/>
      <c r="K103" s="255">
        <f t="shared" si="29"/>
        <v>0</v>
      </c>
      <c r="L103" s="255">
        <f t="shared" si="30"/>
        <v>0</v>
      </c>
      <c r="M103" s="255">
        <f>P103+S103-650000</f>
        <v>0</v>
      </c>
      <c r="N103" s="255"/>
      <c r="O103" s="255">
        <f t="shared" si="32"/>
        <v>0</v>
      </c>
      <c r="P103" s="255">
        <f t="shared" si="33"/>
        <v>650000</v>
      </c>
      <c r="Q103" s="255"/>
      <c r="R103" s="255"/>
      <c r="S103" s="255">
        <f t="shared" si="34"/>
        <v>0</v>
      </c>
      <c r="T103" s="255">
        <f t="shared" si="35"/>
        <v>650000</v>
      </c>
      <c r="U103" s="255">
        <f t="shared" si="36"/>
        <v>-650000</v>
      </c>
      <c r="V103" s="255">
        <f t="shared" ref="V103:V114" si="37">U103-Y103-X103-Z103</f>
        <v>0</v>
      </c>
      <c r="W103" s="255"/>
      <c r="X103" s="255"/>
      <c r="Y103" s="255">
        <f t="shared" si="27"/>
        <v>-650000</v>
      </c>
      <c r="Z103" s="254"/>
      <c r="AA103" s="700"/>
      <c r="AB103" s="254">
        <v>823000</v>
      </c>
      <c r="AE103" s="425"/>
      <c r="AF103" s="258"/>
      <c r="AG103" s="266"/>
      <c r="AH103" s="266"/>
      <c r="AI103" s="266"/>
    </row>
    <row r="104" spans="1:41" ht="35.15" customHeight="1">
      <c r="A104" s="254">
        <f t="shared" si="28"/>
        <v>95</v>
      </c>
      <c r="B104" s="427">
        <v>1911</v>
      </c>
      <c r="C104" s="254" t="s">
        <v>732</v>
      </c>
      <c r="D104" s="255">
        <v>27500000</v>
      </c>
      <c r="E104" s="255">
        <v>27500000</v>
      </c>
      <c r="F104" s="255">
        <f t="shared" si="26"/>
        <v>0</v>
      </c>
      <c r="G104" s="255">
        <v>9182067</v>
      </c>
      <c r="H104" s="255">
        <v>207473</v>
      </c>
      <c r="I104" s="255"/>
      <c r="J104" s="255">
        <v>969131.9</v>
      </c>
      <c r="K104" s="255">
        <f t="shared" si="29"/>
        <v>969131.9</v>
      </c>
      <c r="L104" s="255">
        <f t="shared" si="30"/>
        <v>1176604.8999999999</v>
      </c>
      <c r="M104" s="255">
        <f t="shared" si="31"/>
        <v>8005462.0999999996</v>
      </c>
      <c r="N104" s="255"/>
      <c r="O104" s="255">
        <f t="shared" si="32"/>
        <v>18317933</v>
      </c>
      <c r="P104" s="255">
        <f t="shared" si="33"/>
        <v>8005462.0999999996</v>
      </c>
      <c r="Q104" s="255"/>
      <c r="R104" s="255"/>
      <c r="S104" s="255">
        <f t="shared" si="34"/>
        <v>0</v>
      </c>
      <c r="T104" s="255">
        <f t="shared" si="35"/>
        <v>0</v>
      </c>
      <c r="U104" s="255">
        <f t="shared" si="36"/>
        <v>0</v>
      </c>
      <c r="V104" s="255">
        <f t="shared" si="37"/>
        <v>0</v>
      </c>
      <c r="W104" s="255"/>
      <c r="X104" s="255"/>
      <c r="Y104" s="255">
        <f t="shared" si="27"/>
        <v>0</v>
      </c>
      <c r="Z104" s="254"/>
      <c r="AA104" s="700"/>
      <c r="AB104" s="254">
        <v>810000</v>
      </c>
      <c r="AE104" s="425"/>
      <c r="AF104" s="258"/>
      <c r="AG104" s="266"/>
      <c r="AH104" s="266"/>
      <c r="AI104" s="266"/>
      <c r="AO104" s="261"/>
    </row>
    <row r="105" spans="1:41" ht="42">
      <c r="A105" s="254">
        <f t="shared" si="28"/>
        <v>96</v>
      </c>
      <c r="B105" s="427">
        <v>1912</v>
      </c>
      <c r="C105" s="254" t="s">
        <v>733</v>
      </c>
      <c r="D105" s="255">
        <v>310000000</v>
      </c>
      <c r="E105" s="255">
        <v>100000000</v>
      </c>
      <c r="F105" s="255">
        <f t="shared" si="26"/>
        <v>210000000</v>
      </c>
      <c r="G105" s="255">
        <v>2000000</v>
      </c>
      <c r="H105" s="255">
        <v>552753</v>
      </c>
      <c r="I105" s="255"/>
      <c r="J105" s="255">
        <v>442405.78</v>
      </c>
      <c r="K105" s="255">
        <f t="shared" si="29"/>
        <v>442405.78</v>
      </c>
      <c r="L105" s="255">
        <f t="shared" si="30"/>
        <v>995158.78</v>
      </c>
      <c r="M105" s="255">
        <f t="shared" si="31"/>
        <v>4004841.2199999997</v>
      </c>
      <c r="N105" s="255"/>
      <c r="O105" s="255">
        <f t="shared" si="32"/>
        <v>305000000</v>
      </c>
      <c r="P105" s="255">
        <f t="shared" si="33"/>
        <v>1004841.22</v>
      </c>
      <c r="Q105" s="255">
        <v>3000000</v>
      </c>
      <c r="R105" s="255"/>
      <c r="S105" s="255">
        <f t="shared" si="34"/>
        <v>3000000</v>
      </c>
      <c r="T105" s="255">
        <f t="shared" si="35"/>
        <v>0</v>
      </c>
      <c r="U105" s="255">
        <f t="shared" si="36"/>
        <v>0</v>
      </c>
      <c r="V105" s="255">
        <f t="shared" si="37"/>
        <v>0</v>
      </c>
      <c r="W105" s="255"/>
      <c r="X105" s="255"/>
      <c r="Y105" s="255">
        <f t="shared" si="27"/>
        <v>0</v>
      </c>
      <c r="Z105" s="254"/>
      <c r="AA105" s="700"/>
      <c r="AB105" s="254">
        <v>810000</v>
      </c>
      <c r="AE105" s="425"/>
      <c r="AF105" s="258"/>
      <c r="AG105" s="266"/>
      <c r="AH105" s="266"/>
      <c r="AI105" s="266"/>
      <c r="AO105" s="261"/>
    </row>
    <row r="106" spans="1:41" ht="56">
      <c r="A106" s="254">
        <f t="shared" si="28"/>
        <v>97</v>
      </c>
      <c r="B106" s="427">
        <v>1913</v>
      </c>
      <c r="C106" s="254" t="s">
        <v>734</v>
      </c>
      <c r="D106" s="255">
        <f>400000-400000</f>
        <v>0</v>
      </c>
      <c r="E106" s="255">
        <v>400000</v>
      </c>
      <c r="F106" s="255">
        <f t="shared" si="26"/>
        <v>-400000</v>
      </c>
      <c r="G106" s="255">
        <v>400000</v>
      </c>
      <c r="H106" s="255">
        <v>0</v>
      </c>
      <c r="I106" s="255"/>
      <c r="J106" s="255"/>
      <c r="K106" s="255">
        <f t="shared" si="29"/>
        <v>0</v>
      </c>
      <c r="L106" s="255">
        <f t="shared" si="30"/>
        <v>0</v>
      </c>
      <c r="M106" s="255">
        <f>P106+S106-400000</f>
        <v>0</v>
      </c>
      <c r="N106" s="255"/>
      <c r="O106" s="255">
        <f t="shared" si="32"/>
        <v>0</v>
      </c>
      <c r="P106" s="255">
        <f t="shared" si="33"/>
        <v>400000</v>
      </c>
      <c r="Q106" s="255"/>
      <c r="R106" s="255"/>
      <c r="S106" s="255">
        <f t="shared" si="34"/>
        <v>0</v>
      </c>
      <c r="T106" s="255">
        <f t="shared" si="35"/>
        <v>400000</v>
      </c>
      <c r="U106" s="255">
        <f t="shared" si="36"/>
        <v>-400000</v>
      </c>
      <c r="V106" s="255">
        <f t="shared" si="37"/>
        <v>0</v>
      </c>
      <c r="W106" s="255"/>
      <c r="X106" s="255"/>
      <c r="Y106" s="255">
        <f t="shared" si="27"/>
        <v>-400000</v>
      </c>
      <c r="Z106" s="254"/>
      <c r="AA106" s="700"/>
      <c r="AB106" s="254">
        <v>823000</v>
      </c>
      <c r="AE106" s="425"/>
      <c r="AF106" s="258"/>
      <c r="AG106" s="266"/>
      <c r="AH106" s="266"/>
      <c r="AI106" s="266"/>
      <c r="AO106" s="248"/>
    </row>
    <row r="107" spans="1:41" ht="35.15" customHeight="1">
      <c r="A107" s="254">
        <f t="shared" si="28"/>
        <v>98</v>
      </c>
      <c r="B107" s="427">
        <v>1914</v>
      </c>
      <c r="C107" s="254" t="s">
        <v>248</v>
      </c>
      <c r="D107" s="255">
        <v>7700000</v>
      </c>
      <c r="E107" s="255">
        <v>7700000</v>
      </c>
      <c r="F107" s="255">
        <f t="shared" si="26"/>
        <v>0</v>
      </c>
      <c r="G107" s="255">
        <v>1300000</v>
      </c>
      <c r="H107" s="255">
        <v>146399</v>
      </c>
      <c r="I107" s="255"/>
      <c r="J107" s="255">
        <v>53600.37</v>
      </c>
      <c r="K107" s="255">
        <f t="shared" si="29"/>
        <v>53600.37</v>
      </c>
      <c r="L107" s="255">
        <f t="shared" si="30"/>
        <v>199999.37</v>
      </c>
      <c r="M107" s="255">
        <f t="shared" si="31"/>
        <v>1100000.6299999999</v>
      </c>
      <c r="N107" s="255"/>
      <c r="O107" s="255">
        <f t="shared" si="32"/>
        <v>6400000</v>
      </c>
      <c r="P107" s="255">
        <f t="shared" si="33"/>
        <v>1100000.6299999999</v>
      </c>
      <c r="Q107" s="255"/>
      <c r="R107" s="255"/>
      <c r="S107" s="255">
        <f t="shared" si="34"/>
        <v>0</v>
      </c>
      <c r="T107" s="255">
        <f t="shared" si="35"/>
        <v>0</v>
      </c>
      <c r="U107" s="255">
        <f t="shared" si="36"/>
        <v>0</v>
      </c>
      <c r="V107" s="255">
        <f t="shared" si="37"/>
        <v>0</v>
      </c>
      <c r="W107" s="255"/>
      <c r="X107" s="255"/>
      <c r="Y107" s="255">
        <f t="shared" si="27"/>
        <v>0</v>
      </c>
      <c r="Z107" s="254"/>
      <c r="AA107" s="700"/>
      <c r="AB107" s="254">
        <v>810000</v>
      </c>
      <c r="AE107" s="425"/>
      <c r="AF107" s="258"/>
      <c r="AG107" s="266"/>
      <c r="AH107" s="266"/>
      <c r="AI107" s="266"/>
    </row>
    <row r="108" spans="1:41" ht="35.15" customHeight="1">
      <c r="A108" s="254">
        <f t="shared" si="28"/>
        <v>99</v>
      </c>
      <c r="B108" s="427">
        <v>1919</v>
      </c>
      <c r="C108" s="254" t="s">
        <v>214</v>
      </c>
      <c r="D108" s="255">
        <v>135100000</v>
      </c>
      <c r="E108" s="255">
        <v>135100000</v>
      </c>
      <c r="F108" s="255">
        <f t="shared" si="26"/>
        <v>0</v>
      </c>
      <c r="G108" s="255">
        <v>33902858</v>
      </c>
      <c r="H108" s="255">
        <v>14793296</v>
      </c>
      <c r="I108" s="255"/>
      <c r="J108" s="255">
        <v>7517279</v>
      </c>
      <c r="K108" s="255">
        <f t="shared" si="29"/>
        <v>7517279</v>
      </c>
      <c r="L108" s="255">
        <f t="shared" si="30"/>
        <v>22310575</v>
      </c>
      <c r="M108" s="255">
        <f t="shared" si="31"/>
        <v>17787952</v>
      </c>
      <c r="N108" s="255">
        <f>6701920-6195669</f>
        <v>506251</v>
      </c>
      <c r="O108" s="255">
        <f t="shared" si="32"/>
        <v>94495222</v>
      </c>
      <c r="P108" s="255">
        <f t="shared" si="33"/>
        <v>11592283</v>
      </c>
      <c r="Q108" s="255">
        <v>6195669</v>
      </c>
      <c r="R108" s="255"/>
      <c r="S108" s="255">
        <f t="shared" si="34"/>
        <v>6195669</v>
      </c>
      <c r="T108" s="255">
        <f t="shared" si="35"/>
        <v>0</v>
      </c>
      <c r="U108" s="255">
        <f t="shared" si="36"/>
        <v>506251</v>
      </c>
      <c r="V108" s="255">
        <f t="shared" si="37"/>
        <v>0</v>
      </c>
      <c r="W108" s="255"/>
      <c r="X108" s="255"/>
      <c r="Y108" s="255">
        <f t="shared" si="27"/>
        <v>0</v>
      </c>
      <c r="Z108" s="255">
        <v>506251</v>
      </c>
      <c r="AA108" s="427" t="s">
        <v>1314</v>
      </c>
      <c r="AB108" s="254">
        <v>742000</v>
      </c>
      <c r="AE108" s="425"/>
      <c r="AF108" s="258"/>
      <c r="AG108" s="266"/>
      <c r="AH108" s="266"/>
      <c r="AI108" s="266"/>
      <c r="AO108" s="248"/>
    </row>
    <row r="109" spans="1:41" ht="56">
      <c r="A109" s="254">
        <f t="shared" si="28"/>
        <v>100</v>
      </c>
      <c r="B109" s="427">
        <v>1959</v>
      </c>
      <c r="C109" s="254" t="s">
        <v>735</v>
      </c>
      <c r="D109" s="255">
        <f>35000000-35000000</f>
        <v>0</v>
      </c>
      <c r="E109" s="255">
        <v>35000000</v>
      </c>
      <c r="F109" s="255">
        <f t="shared" si="26"/>
        <v>-35000000</v>
      </c>
      <c r="G109" s="255">
        <v>1500000</v>
      </c>
      <c r="H109" s="255">
        <f>186030-186030</f>
        <v>0</v>
      </c>
      <c r="I109" s="255"/>
      <c r="J109" s="255">
        <f>813945.6-813945.6</f>
        <v>0</v>
      </c>
      <c r="K109" s="255">
        <f t="shared" si="29"/>
        <v>0</v>
      </c>
      <c r="L109" s="255">
        <f t="shared" si="30"/>
        <v>0</v>
      </c>
      <c r="M109" s="255">
        <f>P109+S109-1500000</f>
        <v>0</v>
      </c>
      <c r="N109" s="255"/>
      <c r="O109" s="255">
        <f t="shared" si="32"/>
        <v>0</v>
      </c>
      <c r="P109" s="255">
        <f t="shared" si="33"/>
        <v>1500000</v>
      </c>
      <c r="Q109" s="255"/>
      <c r="R109" s="255"/>
      <c r="S109" s="255">
        <f t="shared" si="34"/>
        <v>0</v>
      </c>
      <c r="T109" s="255">
        <f t="shared" si="35"/>
        <v>1500000</v>
      </c>
      <c r="U109" s="255">
        <f t="shared" si="36"/>
        <v>-1500000</v>
      </c>
      <c r="V109" s="255">
        <f t="shared" si="37"/>
        <v>0</v>
      </c>
      <c r="W109" s="255"/>
      <c r="X109" s="255"/>
      <c r="Y109" s="255">
        <f t="shared" si="27"/>
        <v>-1500000</v>
      </c>
      <c r="Z109" s="254"/>
      <c r="AA109" s="700"/>
      <c r="AB109" s="254">
        <v>810000</v>
      </c>
      <c r="AE109" s="425"/>
      <c r="AF109" s="258"/>
      <c r="AG109" s="266"/>
      <c r="AH109" s="266"/>
      <c r="AI109" s="266"/>
    </row>
    <row r="110" spans="1:41" ht="35.15" customHeight="1">
      <c r="A110" s="254">
        <f t="shared" si="28"/>
        <v>101</v>
      </c>
      <c r="B110" s="427">
        <v>1960</v>
      </c>
      <c r="C110" s="254" t="s">
        <v>736</v>
      </c>
      <c r="D110" s="255">
        <f>7700000+14600000</f>
        <v>22300000</v>
      </c>
      <c r="E110" s="255">
        <v>7700000</v>
      </c>
      <c r="F110" s="255">
        <f t="shared" si="26"/>
        <v>14600000</v>
      </c>
      <c r="G110" s="255">
        <v>750000</v>
      </c>
      <c r="H110" s="255">
        <v>115104</v>
      </c>
      <c r="I110" s="255"/>
      <c r="J110" s="255">
        <v>84895.88</v>
      </c>
      <c r="K110" s="255">
        <f t="shared" si="29"/>
        <v>84895.88</v>
      </c>
      <c r="L110" s="255">
        <f t="shared" si="30"/>
        <v>199999.88</v>
      </c>
      <c r="M110" s="255">
        <f t="shared" si="31"/>
        <v>550000.12</v>
      </c>
      <c r="N110" s="255">
        <v>3400000</v>
      </c>
      <c r="O110" s="255">
        <f t="shared" si="32"/>
        <v>18150000</v>
      </c>
      <c r="P110" s="255">
        <f t="shared" si="33"/>
        <v>550000.12</v>
      </c>
      <c r="Q110" s="255"/>
      <c r="R110" s="255"/>
      <c r="S110" s="255">
        <f t="shared" si="34"/>
        <v>0</v>
      </c>
      <c r="T110" s="255">
        <f t="shared" si="35"/>
        <v>0</v>
      </c>
      <c r="U110" s="255">
        <f t="shared" si="36"/>
        <v>3400000</v>
      </c>
      <c r="V110" s="255">
        <f t="shared" si="37"/>
        <v>0</v>
      </c>
      <c r="W110" s="255"/>
      <c r="X110" s="255"/>
      <c r="Y110" s="255">
        <f t="shared" si="27"/>
        <v>0</v>
      </c>
      <c r="Z110" s="255">
        <v>3400000</v>
      </c>
      <c r="AA110" s="700" t="s">
        <v>1315</v>
      </c>
      <c r="AB110" s="254">
        <v>810000</v>
      </c>
      <c r="AE110" s="425"/>
      <c r="AF110" s="258"/>
      <c r="AG110" s="266"/>
      <c r="AH110" s="266"/>
      <c r="AI110" s="266"/>
      <c r="AO110" s="261"/>
    </row>
    <row r="111" spans="1:41" ht="35.15" customHeight="1">
      <c r="A111" s="254">
        <f t="shared" si="28"/>
        <v>102</v>
      </c>
      <c r="B111" s="427">
        <v>1961</v>
      </c>
      <c r="C111" s="254" t="s">
        <v>288</v>
      </c>
      <c r="D111" s="255">
        <v>3000000</v>
      </c>
      <c r="E111" s="255">
        <v>3000000</v>
      </c>
      <c r="F111" s="255">
        <f t="shared" si="26"/>
        <v>0</v>
      </c>
      <c r="G111" s="255">
        <v>1500000</v>
      </c>
      <c r="H111" s="255">
        <v>0</v>
      </c>
      <c r="I111" s="255"/>
      <c r="J111" s="255"/>
      <c r="K111" s="255">
        <f t="shared" si="29"/>
        <v>0</v>
      </c>
      <c r="L111" s="255">
        <f t="shared" si="30"/>
        <v>0</v>
      </c>
      <c r="M111" s="255">
        <f t="shared" si="31"/>
        <v>1500000</v>
      </c>
      <c r="N111" s="255"/>
      <c r="O111" s="255">
        <f t="shared" si="32"/>
        <v>1500000</v>
      </c>
      <c r="P111" s="255">
        <f t="shared" si="33"/>
        <v>1500000</v>
      </c>
      <c r="Q111" s="255"/>
      <c r="R111" s="255"/>
      <c r="S111" s="255">
        <f t="shared" si="34"/>
        <v>0</v>
      </c>
      <c r="T111" s="255">
        <f t="shared" si="35"/>
        <v>0</v>
      </c>
      <c r="U111" s="255">
        <f t="shared" si="36"/>
        <v>0</v>
      </c>
      <c r="V111" s="255">
        <f t="shared" si="37"/>
        <v>0</v>
      </c>
      <c r="W111" s="255"/>
      <c r="X111" s="255"/>
      <c r="Y111" s="255">
        <f t="shared" si="27"/>
        <v>0</v>
      </c>
      <c r="Z111" s="254"/>
      <c r="AA111" s="700"/>
      <c r="AB111" s="254">
        <v>742000</v>
      </c>
      <c r="AE111" s="425"/>
      <c r="AF111" s="258"/>
      <c r="AG111" s="266"/>
      <c r="AH111" s="266"/>
      <c r="AI111" s="266"/>
      <c r="AO111" s="261"/>
    </row>
    <row r="112" spans="1:41" ht="35.15" customHeight="1">
      <c r="A112" s="254">
        <f t="shared" si="28"/>
        <v>103</v>
      </c>
      <c r="B112" s="427">
        <v>1962</v>
      </c>
      <c r="C112" s="254" t="s">
        <v>289</v>
      </c>
      <c r="D112" s="255">
        <v>20000000</v>
      </c>
      <c r="E112" s="255">
        <v>20000000</v>
      </c>
      <c r="F112" s="255">
        <f t="shared" si="26"/>
        <v>0</v>
      </c>
      <c r="G112" s="255">
        <v>1000000</v>
      </c>
      <c r="H112" s="255">
        <v>0</v>
      </c>
      <c r="I112" s="255"/>
      <c r="J112" s="255"/>
      <c r="K112" s="255">
        <f t="shared" si="29"/>
        <v>0</v>
      </c>
      <c r="L112" s="255">
        <f t="shared" si="30"/>
        <v>0</v>
      </c>
      <c r="M112" s="255">
        <f t="shared" si="31"/>
        <v>1000000</v>
      </c>
      <c r="N112" s="255"/>
      <c r="O112" s="255">
        <f t="shared" si="32"/>
        <v>19000000</v>
      </c>
      <c r="P112" s="255">
        <f t="shared" si="33"/>
        <v>1000000</v>
      </c>
      <c r="Q112" s="255"/>
      <c r="R112" s="255"/>
      <c r="S112" s="255">
        <f t="shared" si="34"/>
        <v>0</v>
      </c>
      <c r="T112" s="255">
        <f t="shared" si="35"/>
        <v>0</v>
      </c>
      <c r="U112" s="255">
        <f t="shared" si="36"/>
        <v>0</v>
      </c>
      <c r="V112" s="255">
        <f t="shared" si="37"/>
        <v>0</v>
      </c>
      <c r="W112" s="255"/>
      <c r="X112" s="255"/>
      <c r="Y112" s="255">
        <f t="shared" si="27"/>
        <v>0</v>
      </c>
      <c r="Z112" s="254"/>
      <c r="AA112" s="700"/>
      <c r="AB112" s="254">
        <v>742000</v>
      </c>
      <c r="AE112" s="425"/>
      <c r="AF112" s="258"/>
      <c r="AG112" s="266"/>
      <c r="AH112" s="266"/>
      <c r="AI112" s="266"/>
      <c r="AO112" s="248"/>
    </row>
    <row r="113" spans="1:41" ht="56">
      <c r="A113" s="254">
        <f t="shared" si="28"/>
        <v>104</v>
      </c>
      <c r="B113" s="427">
        <v>1963</v>
      </c>
      <c r="C113" s="254" t="s">
        <v>1081</v>
      </c>
      <c r="D113" s="255">
        <v>2800000</v>
      </c>
      <c r="E113" s="255">
        <v>2800000</v>
      </c>
      <c r="F113" s="255">
        <f t="shared" si="26"/>
        <v>0</v>
      </c>
      <c r="G113" s="255">
        <v>309655</v>
      </c>
      <c r="H113" s="255">
        <v>0</v>
      </c>
      <c r="I113" s="255"/>
      <c r="J113" s="255"/>
      <c r="K113" s="255">
        <f t="shared" si="29"/>
        <v>0</v>
      </c>
      <c r="L113" s="255">
        <f t="shared" si="30"/>
        <v>0</v>
      </c>
      <c r="M113" s="255">
        <f>P113+S113-309655</f>
        <v>0</v>
      </c>
      <c r="N113" s="255"/>
      <c r="O113" s="255">
        <f t="shared" si="32"/>
        <v>2800000</v>
      </c>
      <c r="P113" s="255">
        <f t="shared" si="33"/>
        <v>309655</v>
      </c>
      <c r="Q113" s="423">
        <f>2490345-2490345</f>
        <v>0</v>
      </c>
      <c r="R113" s="255"/>
      <c r="S113" s="255">
        <f t="shared" si="34"/>
        <v>0</v>
      </c>
      <c r="T113" s="255">
        <f t="shared" si="35"/>
        <v>309655</v>
      </c>
      <c r="U113" s="255">
        <f t="shared" si="36"/>
        <v>-309655</v>
      </c>
      <c r="V113" s="255">
        <f t="shared" si="37"/>
        <v>0</v>
      </c>
      <c r="W113" s="255"/>
      <c r="X113" s="255"/>
      <c r="Y113" s="255">
        <f t="shared" si="27"/>
        <v>-309655</v>
      </c>
      <c r="Z113" s="254"/>
      <c r="AA113" s="427"/>
      <c r="AB113" s="254">
        <v>742000</v>
      </c>
      <c r="AE113" s="425"/>
      <c r="AF113" s="258"/>
      <c r="AG113" s="266"/>
      <c r="AH113" s="266"/>
      <c r="AI113" s="266"/>
    </row>
    <row r="114" spans="1:41" ht="35.15" customHeight="1">
      <c r="A114" s="254">
        <f t="shared" si="28"/>
        <v>105</v>
      </c>
      <c r="B114" s="254">
        <v>1965</v>
      </c>
      <c r="C114" s="254" t="s">
        <v>737</v>
      </c>
      <c r="D114" s="255">
        <v>35000000</v>
      </c>
      <c r="E114" s="255">
        <v>35000000</v>
      </c>
      <c r="F114" s="255">
        <f t="shared" si="26"/>
        <v>0</v>
      </c>
      <c r="G114" s="255">
        <v>100000</v>
      </c>
      <c r="H114" s="255">
        <v>0</v>
      </c>
      <c r="I114" s="255"/>
      <c r="J114" s="255"/>
      <c r="K114" s="255">
        <f t="shared" si="29"/>
        <v>0</v>
      </c>
      <c r="L114" s="255">
        <f t="shared" si="30"/>
        <v>0</v>
      </c>
      <c r="M114" s="255">
        <f t="shared" si="31"/>
        <v>100000</v>
      </c>
      <c r="N114" s="255"/>
      <c r="O114" s="255">
        <f t="shared" si="32"/>
        <v>34900000</v>
      </c>
      <c r="P114" s="255">
        <f t="shared" si="33"/>
        <v>100000</v>
      </c>
      <c r="Q114" s="255"/>
      <c r="R114" s="255"/>
      <c r="S114" s="255">
        <f t="shared" si="34"/>
        <v>0</v>
      </c>
      <c r="T114" s="255">
        <f t="shared" si="35"/>
        <v>0</v>
      </c>
      <c r="U114" s="255">
        <f t="shared" si="36"/>
        <v>0</v>
      </c>
      <c r="V114" s="255">
        <f t="shared" si="37"/>
        <v>0</v>
      </c>
      <c r="W114" s="255"/>
      <c r="X114" s="255"/>
      <c r="Y114" s="255">
        <f t="shared" si="27"/>
        <v>0</v>
      </c>
      <c r="Z114" s="254"/>
      <c r="AA114" s="700"/>
      <c r="AB114" s="254">
        <v>810000</v>
      </c>
      <c r="AE114" s="425"/>
      <c r="AF114" s="258"/>
      <c r="AG114" s="266"/>
      <c r="AH114" s="266"/>
      <c r="AI114" s="266"/>
      <c r="AO114" s="248"/>
    </row>
    <row r="115" spans="1:41" s="433" customFormat="1" ht="35.15" customHeight="1">
      <c r="A115" s="260"/>
      <c r="B115" s="431"/>
      <c r="C115" s="260" t="s">
        <v>738</v>
      </c>
      <c r="D115" s="262">
        <f t="shared" ref="D115:Z115" si="38">SUM(D96:D114)</f>
        <v>994666000</v>
      </c>
      <c r="E115" s="262">
        <f t="shared" si="38"/>
        <v>671616000</v>
      </c>
      <c r="F115" s="262">
        <f t="shared" si="38"/>
        <v>323050000</v>
      </c>
      <c r="G115" s="262">
        <f t="shared" si="38"/>
        <v>218490235</v>
      </c>
      <c r="H115" s="262">
        <f t="shared" si="38"/>
        <v>125028434</v>
      </c>
      <c r="I115" s="262">
        <f t="shared" si="38"/>
        <v>1052805.8700000001</v>
      </c>
      <c r="J115" s="262">
        <f t="shared" si="38"/>
        <v>22854749.709999997</v>
      </c>
      <c r="K115" s="262">
        <f t="shared" si="38"/>
        <v>23907555.580000002</v>
      </c>
      <c r="L115" s="262">
        <f t="shared" si="38"/>
        <v>148935989.58000001</v>
      </c>
      <c r="M115" s="262">
        <f t="shared" si="38"/>
        <v>86640259.420000002</v>
      </c>
      <c r="N115" s="262">
        <f t="shared" si="38"/>
        <v>107219925</v>
      </c>
      <c r="O115" s="262">
        <f t="shared" si="38"/>
        <v>651869826</v>
      </c>
      <c r="P115" s="262">
        <f t="shared" si="38"/>
        <v>69554245.419999987</v>
      </c>
      <c r="Q115" s="262">
        <f t="shared" si="38"/>
        <v>19945669</v>
      </c>
      <c r="R115" s="262">
        <f t="shared" si="38"/>
        <v>0</v>
      </c>
      <c r="S115" s="262">
        <f t="shared" si="38"/>
        <v>19945669</v>
      </c>
      <c r="T115" s="262">
        <f t="shared" si="38"/>
        <v>2859655</v>
      </c>
      <c r="U115" s="262">
        <f t="shared" si="38"/>
        <v>104360270</v>
      </c>
      <c r="V115" s="262">
        <f t="shared" si="38"/>
        <v>0</v>
      </c>
      <c r="W115" s="262">
        <f>SUM(W96:W114)</f>
        <v>0</v>
      </c>
      <c r="X115" s="262">
        <f>SUM(X96:X114)</f>
        <v>0</v>
      </c>
      <c r="Y115" s="262">
        <f t="shared" si="38"/>
        <v>34722657</v>
      </c>
      <c r="Z115" s="262">
        <f t="shared" si="38"/>
        <v>69637613</v>
      </c>
      <c r="AA115" s="704"/>
      <c r="AB115" s="260"/>
      <c r="AC115" s="420"/>
      <c r="AD115" s="274"/>
      <c r="AE115" s="420"/>
      <c r="AF115" s="258"/>
      <c r="AG115" s="432"/>
      <c r="AH115" s="432"/>
      <c r="AI115" s="432"/>
      <c r="AJ115" s="416"/>
      <c r="AK115" s="416"/>
      <c r="AL115" s="416"/>
    </row>
    <row r="116" spans="1:41" s="433" customFormat="1" ht="35.15" customHeight="1">
      <c r="A116" s="260"/>
      <c r="B116" s="431"/>
      <c r="C116" s="260"/>
      <c r="D116" s="262"/>
      <c r="E116" s="262"/>
      <c r="F116" s="262"/>
      <c r="G116" s="262"/>
      <c r="H116" s="262"/>
      <c r="I116" s="262"/>
      <c r="J116" s="262"/>
      <c r="K116" s="262"/>
      <c r="L116" s="262"/>
      <c r="M116" s="262"/>
      <c r="N116" s="262"/>
      <c r="O116" s="262"/>
      <c r="P116" s="262"/>
      <c r="Q116" s="262"/>
      <c r="R116" s="262"/>
      <c r="S116" s="262"/>
      <c r="T116" s="262"/>
      <c r="U116" s="262"/>
      <c r="V116" s="262"/>
      <c r="W116" s="262"/>
      <c r="X116" s="262"/>
      <c r="Y116" s="262"/>
      <c r="Z116" s="262"/>
      <c r="AA116" s="704"/>
      <c r="AB116" s="260"/>
      <c r="AC116" s="420"/>
      <c r="AD116" s="274"/>
      <c r="AE116" s="420"/>
      <c r="AF116" s="258"/>
      <c r="AG116" s="432"/>
      <c r="AH116" s="432"/>
      <c r="AI116" s="432"/>
      <c r="AJ116" s="416"/>
      <c r="AK116" s="416"/>
      <c r="AL116" s="416"/>
    </row>
    <row r="117" spans="1:41" s="433" customFormat="1" ht="35.15" customHeight="1">
      <c r="A117" s="262">
        <f>A114</f>
        <v>105</v>
      </c>
      <c r="B117" s="431"/>
      <c r="C117" s="270" t="s">
        <v>137</v>
      </c>
      <c r="D117" s="262">
        <f t="shared" ref="D117:Z117" si="39">D115+D93</f>
        <v>2499972125</v>
      </c>
      <c r="E117" s="262">
        <f t="shared" si="39"/>
        <v>2075031725</v>
      </c>
      <c r="F117" s="262">
        <f t="shared" si="39"/>
        <v>424940400</v>
      </c>
      <c r="G117" s="262">
        <f t="shared" si="39"/>
        <v>959889223</v>
      </c>
      <c r="H117" s="262">
        <f t="shared" si="39"/>
        <v>726844010.36000013</v>
      </c>
      <c r="I117" s="262">
        <f t="shared" si="39"/>
        <v>2023721.4800000002</v>
      </c>
      <c r="J117" s="262">
        <f t="shared" si="39"/>
        <v>103699919.32999998</v>
      </c>
      <c r="K117" s="262">
        <f t="shared" si="39"/>
        <v>105723640.80999999</v>
      </c>
      <c r="L117" s="262">
        <f t="shared" si="39"/>
        <v>832567651.1700002</v>
      </c>
      <c r="M117" s="262">
        <f t="shared" si="39"/>
        <v>260752517.82999992</v>
      </c>
      <c r="N117" s="262">
        <f t="shared" si="39"/>
        <v>320047335</v>
      </c>
      <c r="O117" s="262">
        <f t="shared" si="39"/>
        <v>1086604621</v>
      </c>
      <c r="P117" s="262">
        <f t="shared" si="39"/>
        <v>127321571.83</v>
      </c>
      <c r="Q117" s="262">
        <f t="shared" si="39"/>
        <v>137425601</v>
      </c>
      <c r="R117" s="262">
        <f t="shared" si="39"/>
        <v>6800000</v>
      </c>
      <c r="S117" s="262">
        <f t="shared" si="39"/>
        <v>144225601</v>
      </c>
      <c r="T117" s="262">
        <f t="shared" si="39"/>
        <v>10794655</v>
      </c>
      <c r="U117" s="262">
        <f t="shared" si="39"/>
        <v>309252680</v>
      </c>
      <c r="V117" s="262">
        <f t="shared" si="39"/>
        <v>193844870</v>
      </c>
      <c r="W117" s="262">
        <f t="shared" si="39"/>
        <v>2500000</v>
      </c>
      <c r="X117" s="262">
        <f t="shared" si="39"/>
        <v>0</v>
      </c>
      <c r="Y117" s="262">
        <f t="shared" si="39"/>
        <v>34722657</v>
      </c>
      <c r="Z117" s="262">
        <f t="shared" si="39"/>
        <v>78185153</v>
      </c>
      <c r="AA117" s="704"/>
      <c r="AB117" s="260"/>
      <c r="AC117" s="420"/>
      <c r="AD117" s="266"/>
      <c r="AE117" s="420"/>
      <c r="AF117" s="258"/>
      <c r="AG117" s="432"/>
      <c r="AH117" s="432"/>
      <c r="AI117" s="432"/>
      <c r="AJ117" s="416"/>
      <c r="AK117" s="416"/>
      <c r="AL117" s="416"/>
    </row>
    <row r="118" spans="1:41" hidden="1">
      <c r="B118" s="258"/>
      <c r="D118" s="274"/>
      <c r="E118" s="274"/>
      <c r="F118" s="274"/>
      <c r="G118" s="274"/>
      <c r="H118" s="274"/>
      <c r="I118" s="274"/>
      <c r="J118" s="274"/>
      <c r="K118" s="274"/>
      <c r="L118" s="24">
        <f>H117+K117</f>
        <v>832567651.17000008</v>
      </c>
      <c r="M118" s="24">
        <f>P117+S117-T117</f>
        <v>260752517.82999998</v>
      </c>
      <c r="N118" s="274"/>
      <c r="O118" s="274"/>
      <c r="P118" s="24">
        <f>G117-L117</f>
        <v>127321571.8299998</v>
      </c>
      <c r="Q118" s="274"/>
      <c r="R118" s="274"/>
      <c r="S118" s="274"/>
      <c r="U118" s="24">
        <f>N117-T117</f>
        <v>309252680</v>
      </c>
      <c r="V118" s="277"/>
      <c r="W118" s="277"/>
      <c r="X118" s="277"/>
      <c r="AA118" s="705"/>
      <c r="AB118" s="266"/>
      <c r="AF118" s="258"/>
    </row>
    <row r="119" spans="1:41">
      <c r="B119" s="258"/>
      <c r="C119" s="594"/>
      <c r="D119" s="274"/>
      <c r="E119" s="274"/>
      <c r="F119" s="274"/>
      <c r="G119" s="274"/>
      <c r="H119" s="274"/>
      <c r="I119" s="274"/>
      <c r="J119" s="274"/>
      <c r="K119" s="274"/>
      <c r="L119" s="274"/>
      <c r="M119" s="274"/>
      <c r="N119" s="274"/>
      <c r="O119" s="274"/>
      <c r="Q119" s="274"/>
      <c r="R119" s="274"/>
      <c r="S119" s="274"/>
      <c r="U119" s="266"/>
      <c r="V119" s="266"/>
      <c r="W119" s="266"/>
      <c r="X119" s="266"/>
      <c r="Y119" s="266"/>
      <c r="AB119" s="266"/>
      <c r="AF119" s="258"/>
    </row>
    <row r="120" spans="1:41">
      <c r="C120" s="594"/>
      <c r="D120" s="438"/>
      <c r="E120" s="438"/>
      <c r="F120" s="438"/>
      <c r="G120" s="438"/>
      <c r="H120" s="438"/>
      <c r="I120" s="438"/>
      <c r="J120" s="438"/>
      <c r="K120" s="438"/>
      <c r="L120" s="438"/>
      <c r="M120" s="438"/>
      <c r="N120" s="437"/>
      <c r="O120" s="437"/>
      <c r="P120" s="438"/>
      <c r="Q120" s="438"/>
      <c r="R120" s="438"/>
      <c r="S120" s="438"/>
      <c r="W120" s="248"/>
      <c r="X120" s="248"/>
      <c r="AF120" s="258"/>
    </row>
    <row r="121" spans="1:41">
      <c r="C121" s="594"/>
      <c r="D121" s="438"/>
      <c r="E121" s="438"/>
      <c r="F121" s="438"/>
      <c r="G121" s="438"/>
      <c r="H121" s="438"/>
      <c r="I121" s="438"/>
      <c r="J121" s="438"/>
      <c r="K121" s="438"/>
      <c r="L121" s="438"/>
      <c r="M121" s="438"/>
      <c r="N121" s="437"/>
      <c r="O121" s="437"/>
      <c r="P121" s="438"/>
      <c r="Q121" s="438"/>
      <c r="R121" s="438"/>
      <c r="S121" s="438"/>
      <c r="U121" s="248"/>
      <c r="AF121" s="258"/>
    </row>
    <row r="122" spans="1:41">
      <c r="C122" s="594"/>
      <c r="D122" s="438"/>
      <c r="E122" s="438"/>
      <c r="F122" s="438"/>
      <c r="G122" s="438"/>
      <c r="H122" s="438"/>
      <c r="I122" s="438"/>
      <c r="J122" s="438"/>
      <c r="K122" s="438"/>
      <c r="L122" s="438"/>
      <c r="M122" s="438"/>
      <c r="N122" s="437"/>
      <c r="O122" s="437"/>
      <c r="P122" s="438"/>
      <c r="Q122" s="438"/>
      <c r="R122" s="438"/>
      <c r="S122" s="438"/>
      <c r="AF122" s="258"/>
    </row>
    <row r="123" spans="1:41">
      <c r="C123" s="594"/>
      <c r="D123" s="438"/>
      <c r="E123" s="438"/>
      <c r="F123" s="438"/>
      <c r="G123" s="438"/>
      <c r="H123" s="438"/>
      <c r="I123" s="438"/>
      <c r="J123" s="438"/>
      <c r="K123" s="438"/>
      <c r="L123" s="438"/>
      <c r="M123" s="438"/>
      <c r="N123" s="438"/>
      <c r="O123" s="438"/>
      <c r="P123" s="438"/>
      <c r="Q123" s="438"/>
      <c r="R123" s="438"/>
      <c r="S123" s="438"/>
      <c r="AF123" s="258"/>
    </row>
    <row r="124" spans="1:41">
      <c r="C124" s="594"/>
      <c r="D124" s="438"/>
      <c r="E124" s="438"/>
      <c r="F124" s="438"/>
      <c r="G124" s="438"/>
      <c r="H124" s="438"/>
      <c r="I124" s="438"/>
      <c r="J124" s="438"/>
      <c r="K124" s="438"/>
      <c r="L124" s="438"/>
      <c r="M124" s="438"/>
      <c r="N124" s="438"/>
      <c r="O124" s="438"/>
      <c r="P124" s="438"/>
      <c r="Q124" s="438"/>
      <c r="R124" s="438"/>
      <c r="S124" s="438"/>
      <c r="AF124" s="258"/>
    </row>
    <row r="125" spans="1:41">
      <c r="C125" s="594"/>
      <c r="D125" s="438"/>
      <c r="E125" s="438"/>
      <c r="F125" s="438"/>
      <c r="G125" s="438"/>
      <c r="H125" s="438"/>
      <c r="I125" s="438"/>
      <c r="J125" s="438"/>
      <c r="K125" s="438"/>
      <c r="L125" s="438"/>
      <c r="M125" s="438"/>
      <c r="N125" s="438"/>
      <c r="O125" s="438"/>
      <c r="P125" s="438"/>
      <c r="Q125" s="438"/>
      <c r="R125" s="438"/>
      <c r="S125" s="438"/>
      <c r="AF125" s="258"/>
    </row>
    <row r="126" spans="1:41">
      <c r="C126" s="594"/>
      <c r="D126" s="438"/>
      <c r="E126" s="438"/>
      <c r="F126" s="438"/>
      <c r="G126" s="438"/>
      <c r="H126" s="438"/>
      <c r="I126" s="438"/>
      <c r="J126" s="438"/>
      <c r="K126" s="438"/>
      <c r="L126" s="438"/>
      <c r="M126" s="438"/>
      <c r="N126" s="438"/>
      <c r="O126" s="438"/>
      <c r="P126" s="438"/>
      <c r="Q126" s="438"/>
      <c r="R126" s="438"/>
      <c r="S126" s="438"/>
    </row>
    <row r="127" spans="1:41">
      <c r="C127" s="594"/>
      <c r="D127" s="438"/>
      <c r="E127" s="438"/>
      <c r="F127" s="438"/>
      <c r="G127" s="438"/>
      <c r="H127" s="438"/>
      <c r="I127" s="438"/>
      <c r="J127" s="438"/>
      <c r="K127" s="438"/>
      <c r="L127" s="438"/>
      <c r="M127" s="438"/>
      <c r="N127" s="438"/>
      <c r="O127" s="438"/>
      <c r="P127" s="438"/>
      <c r="Q127" s="438"/>
      <c r="R127" s="438"/>
      <c r="S127" s="438"/>
      <c r="AG127" s="248"/>
    </row>
    <row r="128" spans="1:41">
      <c r="C128" s="594"/>
      <c r="D128" s="438"/>
      <c r="E128" s="438"/>
      <c r="F128" s="438"/>
      <c r="G128" s="438"/>
      <c r="H128" s="438"/>
      <c r="I128" s="438"/>
      <c r="J128" s="438"/>
      <c r="K128" s="438"/>
      <c r="L128" s="438"/>
      <c r="M128" s="438"/>
      <c r="N128" s="438"/>
      <c r="O128" s="438"/>
      <c r="P128" s="438"/>
      <c r="Q128" s="438"/>
      <c r="R128" s="438"/>
      <c r="S128" s="438"/>
    </row>
    <row r="129" spans="3:20">
      <c r="C129" s="594"/>
      <c r="D129" s="438"/>
      <c r="E129" s="438"/>
      <c r="F129" s="438"/>
      <c r="G129" s="438"/>
      <c r="H129" s="438"/>
      <c r="I129" s="438"/>
      <c r="J129" s="438"/>
      <c r="K129" s="438"/>
      <c r="L129" s="438"/>
      <c r="M129" s="438"/>
      <c r="N129" s="438"/>
      <c r="O129" s="438"/>
      <c r="P129" s="438"/>
      <c r="Q129" s="438"/>
      <c r="R129" s="438"/>
      <c r="S129" s="438"/>
    </row>
    <row r="130" spans="3:20">
      <c r="C130" s="594"/>
      <c r="D130" s="438"/>
      <c r="E130" s="438"/>
      <c r="F130" s="438"/>
      <c r="G130" s="438"/>
      <c r="H130" s="438"/>
      <c r="I130" s="438"/>
      <c r="J130" s="438"/>
      <c r="K130" s="438"/>
      <c r="L130" s="438"/>
      <c r="M130" s="438"/>
      <c r="N130" s="438"/>
      <c r="O130" s="438"/>
      <c r="P130" s="438"/>
      <c r="Q130" s="439"/>
      <c r="R130" s="438"/>
      <c r="S130" s="438"/>
    </row>
    <row r="131" spans="3:20">
      <c r="C131" s="594"/>
      <c r="D131" s="438"/>
      <c r="E131" s="438"/>
      <c r="F131" s="438"/>
      <c r="G131" s="438"/>
      <c r="H131" s="438"/>
      <c r="I131" s="438"/>
      <c r="J131" s="438"/>
      <c r="K131" s="438"/>
      <c r="L131" s="438"/>
      <c r="M131" s="438"/>
      <c r="N131" s="437"/>
      <c r="O131" s="437"/>
      <c r="P131" s="438"/>
      <c r="Q131" s="438"/>
      <c r="R131" s="438"/>
      <c r="S131" s="438"/>
    </row>
    <row r="132" spans="3:20">
      <c r="C132" s="594"/>
      <c r="D132" s="438"/>
      <c r="E132" s="438"/>
      <c r="F132" s="438"/>
      <c r="G132" s="438"/>
      <c r="H132" s="438"/>
      <c r="I132" s="438"/>
      <c r="J132" s="438"/>
      <c r="K132" s="438"/>
      <c r="L132" s="438"/>
      <c r="M132" s="438"/>
      <c r="N132" s="438"/>
      <c r="O132" s="438"/>
      <c r="P132" s="437"/>
      <c r="Q132" s="437"/>
      <c r="R132" s="438"/>
      <c r="S132" s="438"/>
    </row>
    <row r="133" spans="3:20">
      <c r="F133" s="438"/>
      <c r="G133" s="438"/>
      <c r="H133" s="438"/>
      <c r="I133" s="438"/>
      <c r="J133" s="438"/>
      <c r="K133" s="438"/>
      <c r="L133" s="438"/>
      <c r="M133" s="438"/>
      <c r="N133" s="438"/>
      <c r="O133" s="438"/>
      <c r="P133" s="437"/>
      <c r="Q133" s="437"/>
      <c r="R133" s="438"/>
      <c r="S133" s="438"/>
      <c r="T133" s="438"/>
    </row>
    <row r="134" spans="3:20">
      <c r="F134" s="438"/>
      <c r="G134" s="438"/>
      <c r="H134" s="438"/>
      <c r="I134" s="438"/>
      <c r="J134" s="438"/>
      <c r="K134" s="438"/>
      <c r="L134" s="438"/>
      <c r="M134" s="438"/>
      <c r="N134" s="438"/>
      <c r="O134" s="438"/>
      <c r="P134" s="438"/>
      <c r="Q134" s="438"/>
      <c r="R134" s="437"/>
      <c r="S134" s="438"/>
      <c r="T134" s="438"/>
    </row>
    <row r="135" spans="3:20">
      <c r="F135" s="438"/>
      <c r="G135" s="438"/>
      <c r="H135" s="438"/>
      <c r="I135" s="438"/>
      <c r="J135" s="438"/>
      <c r="K135" s="438"/>
      <c r="L135" s="438"/>
      <c r="M135" s="438"/>
      <c r="N135" s="438"/>
      <c r="O135" s="438"/>
      <c r="P135" s="438"/>
      <c r="Q135" s="438"/>
      <c r="R135" s="437"/>
      <c r="S135" s="438"/>
      <c r="T135" s="438"/>
    </row>
    <row r="136" spans="3:20">
      <c r="F136" s="438"/>
      <c r="G136" s="438"/>
      <c r="H136" s="438"/>
      <c r="I136" s="438"/>
      <c r="J136" s="438"/>
      <c r="K136" s="438"/>
      <c r="L136" s="438"/>
      <c r="M136" s="438"/>
      <c r="N136" s="438"/>
      <c r="O136" s="438"/>
      <c r="P136" s="438"/>
      <c r="Q136" s="438"/>
      <c r="R136" s="437"/>
      <c r="S136" s="438"/>
      <c r="T136" s="438"/>
    </row>
    <row r="137" spans="3:20">
      <c r="F137" s="438"/>
      <c r="G137" s="438"/>
      <c r="H137" s="438"/>
      <c r="I137" s="438"/>
      <c r="J137" s="438"/>
      <c r="K137" s="438"/>
      <c r="L137" s="438"/>
      <c r="M137" s="438"/>
      <c r="N137" s="438"/>
      <c r="O137" s="438"/>
      <c r="P137" s="438"/>
      <c r="Q137" s="438"/>
      <c r="R137" s="437"/>
      <c r="S137" s="438"/>
      <c r="T137" s="438"/>
    </row>
    <row r="138" spans="3:20">
      <c r="F138" s="438"/>
      <c r="G138" s="438"/>
      <c r="H138" s="438"/>
      <c r="I138" s="438"/>
      <c r="J138" s="438"/>
      <c r="K138" s="438"/>
      <c r="L138" s="438"/>
      <c r="M138" s="438"/>
      <c r="N138" s="438"/>
      <c r="O138" s="438"/>
      <c r="P138" s="438"/>
      <c r="Q138" s="438"/>
      <c r="R138" s="438"/>
      <c r="S138" s="438"/>
      <c r="T138" s="438"/>
    </row>
    <row r="139" spans="3:20">
      <c r="F139" s="438"/>
      <c r="G139" s="438"/>
      <c r="H139" s="438"/>
      <c r="I139" s="438"/>
      <c r="J139" s="438"/>
      <c r="K139" s="438"/>
      <c r="L139" s="438"/>
      <c r="M139" s="438"/>
      <c r="N139" s="438"/>
      <c r="O139" s="438"/>
      <c r="P139" s="438"/>
      <c r="Q139" s="438"/>
      <c r="R139" s="439"/>
      <c r="S139" s="438"/>
      <c r="T139" s="438"/>
    </row>
    <row r="140" spans="3:20">
      <c r="F140" s="438"/>
      <c r="G140" s="438"/>
      <c r="H140" s="438"/>
      <c r="I140" s="438"/>
      <c r="J140" s="438"/>
      <c r="K140" s="438"/>
      <c r="L140" s="438"/>
      <c r="M140" s="438"/>
      <c r="N140" s="438"/>
      <c r="O140" s="438"/>
      <c r="P140" s="438"/>
      <c r="Q140" s="438"/>
      <c r="R140" s="438"/>
      <c r="S140" s="438"/>
      <c r="T140" s="438"/>
    </row>
    <row r="141" spans="3:20">
      <c r="F141" s="438"/>
      <c r="G141" s="438"/>
      <c r="H141" s="438"/>
      <c r="I141" s="438"/>
      <c r="J141" s="438"/>
      <c r="K141" s="438"/>
      <c r="L141" s="438"/>
      <c r="M141" s="438"/>
      <c r="N141" s="438"/>
      <c r="O141" s="438"/>
      <c r="P141" s="438"/>
      <c r="Q141" s="438"/>
      <c r="R141" s="438"/>
      <c r="S141" s="438"/>
      <c r="T141" s="438"/>
    </row>
    <row r="142" spans="3:20">
      <c r="F142" s="438"/>
      <c r="G142" s="438"/>
      <c r="H142" s="438"/>
      <c r="I142" s="438"/>
      <c r="J142" s="438"/>
      <c r="K142" s="438"/>
      <c r="L142" s="438"/>
      <c r="M142" s="438"/>
      <c r="N142" s="438"/>
      <c r="O142" s="438"/>
      <c r="P142" s="438"/>
      <c r="Q142" s="438"/>
      <c r="R142" s="438"/>
      <c r="S142" s="438"/>
      <c r="T142" s="438"/>
    </row>
    <row r="143" spans="3:20">
      <c r="F143" s="438"/>
      <c r="G143" s="438"/>
      <c r="H143" s="438"/>
      <c r="I143" s="438"/>
      <c r="J143" s="438"/>
      <c r="K143" s="438"/>
      <c r="L143" s="438"/>
      <c r="M143" s="438"/>
      <c r="N143" s="438"/>
      <c r="O143" s="438"/>
      <c r="P143" s="438"/>
      <c r="Q143" s="261"/>
      <c r="R143" s="438"/>
      <c r="S143" s="438"/>
      <c r="T143" s="438"/>
    </row>
    <row r="144" spans="3:20">
      <c r="F144" s="438"/>
      <c r="G144" s="438"/>
      <c r="H144" s="438"/>
      <c r="I144" s="438"/>
      <c r="J144" s="438"/>
      <c r="K144" s="438"/>
      <c r="L144" s="438"/>
      <c r="M144" s="438"/>
      <c r="N144" s="438"/>
      <c r="O144" s="438"/>
      <c r="P144" s="438"/>
      <c r="Q144" s="438"/>
      <c r="R144" s="438"/>
      <c r="S144" s="438"/>
      <c r="T144" s="438"/>
    </row>
    <row r="145" spans="6:20">
      <c r="F145" s="438"/>
      <c r="G145" s="438"/>
      <c r="H145" s="438"/>
      <c r="I145" s="438"/>
      <c r="J145" s="438"/>
      <c r="K145" s="438"/>
      <c r="L145" s="438"/>
      <c r="M145" s="438"/>
      <c r="N145" s="438"/>
      <c r="O145" s="438"/>
      <c r="P145" s="438"/>
      <c r="Q145" s="438"/>
      <c r="R145" s="438"/>
      <c r="S145" s="438"/>
      <c r="T145" s="438"/>
    </row>
    <row r="146" spans="6:20">
      <c r="F146" s="438"/>
      <c r="G146" s="438"/>
      <c r="H146" s="438"/>
      <c r="I146" s="438"/>
      <c r="J146" s="438"/>
      <c r="K146" s="438"/>
      <c r="L146" s="438"/>
      <c r="M146" s="438"/>
      <c r="N146" s="438"/>
      <c r="O146" s="438"/>
      <c r="P146" s="438"/>
      <c r="Q146" s="438"/>
      <c r="R146" s="438"/>
      <c r="S146" s="438"/>
      <c r="T146" s="438"/>
    </row>
    <row r="147" spans="6:20">
      <c r="F147" s="438"/>
      <c r="G147" s="438"/>
      <c r="H147" s="438"/>
      <c r="I147" s="438"/>
      <c r="J147" s="438"/>
      <c r="K147" s="438"/>
      <c r="L147" s="438"/>
      <c r="M147" s="438"/>
      <c r="N147" s="438"/>
      <c r="O147" s="438"/>
      <c r="P147" s="438"/>
      <c r="Q147" s="438"/>
      <c r="R147" s="261"/>
      <c r="S147" s="438"/>
      <c r="T147" s="438"/>
    </row>
    <row r="148" spans="6:20">
      <c r="F148" s="438"/>
      <c r="G148" s="438"/>
      <c r="H148" s="438"/>
      <c r="I148" s="438"/>
      <c r="J148" s="438"/>
      <c r="K148" s="438"/>
      <c r="L148" s="438"/>
      <c r="M148" s="438"/>
      <c r="N148" s="438"/>
      <c r="O148" s="438"/>
      <c r="P148" s="438"/>
      <c r="Q148" s="438"/>
      <c r="R148" s="438"/>
      <c r="S148" s="438"/>
      <c r="T148" s="438"/>
    </row>
    <row r="149" spans="6:20">
      <c r="F149" s="438"/>
      <c r="G149" s="438"/>
      <c r="H149" s="438"/>
      <c r="I149" s="438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</row>
    <row r="150" spans="6:20">
      <c r="F150" s="438"/>
      <c r="G150" s="438"/>
      <c r="H150" s="438"/>
      <c r="I150" s="438"/>
      <c r="J150" s="438"/>
      <c r="K150" s="438"/>
      <c r="L150" s="438"/>
      <c r="M150" s="438"/>
      <c r="N150" s="438"/>
      <c r="O150" s="438"/>
      <c r="P150" s="438"/>
      <c r="Q150" s="438"/>
      <c r="R150" s="438"/>
      <c r="S150" s="438"/>
      <c r="T150" s="438"/>
    </row>
    <row r="151" spans="6:20">
      <c r="F151" s="438"/>
      <c r="G151" s="438"/>
      <c r="H151" s="438"/>
      <c r="I151" s="438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</row>
  </sheetData>
  <sheetProtection formatCells="0" formatColumns="0" formatRows="0" insertColumns="0" insertRows="0" insertHyperlinks="0" deleteColumns="0" deleteRows="0" sort="0" autoFilter="0" pivotTables="0"/>
  <conditionalFormatting sqref="AA5">
    <cfRule type="cellIs" dxfId="286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157"/>
  <sheetViews>
    <sheetView showZeros="0" rightToLeft="1" zoomScaleNormal="100" workbookViewId="0">
      <pane xSplit="3" ySplit="4" topLeftCell="D83" activePane="bottomRight" state="frozen"/>
      <selection activeCell="C42" sqref="C42"/>
      <selection pane="topRight" activeCell="C42" sqref="C42"/>
      <selection pane="bottomLeft" activeCell="C42" sqref="C42"/>
      <selection pane="bottomRight" activeCell="C42" sqref="C42"/>
    </sheetView>
  </sheetViews>
  <sheetFormatPr defaultColWidth="9.1796875" defaultRowHeight="18"/>
  <cols>
    <col min="1" max="1" width="5.26953125" style="418" customWidth="1"/>
    <col min="2" max="2" width="6.7265625" style="419" customWidth="1"/>
    <col min="3" max="3" width="22.26953125" style="266" customWidth="1"/>
    <col min="4" max="4" width="12.54296875" style="248" customWidth="1"/>
    <col min="5" max="5" width="12.81640625" style="248" customWidth="1"/>
    <col min="6" max="6" width="11.453125" style="248" hidden="1" customWidth="1"/>
    <col min="7" max="10" width="12.7265625" style="248" hidden="1" customWidth="1"/>
    <col min="11" max="11" width="11.26953125" style="248" hidden="1" customWidth="1"/>
    <col min="12" max="12" width="11" style="248" customWidth="1"/>
    <col min="13" max="14" width="11.1796875" style="248" customWidth="1"/>
    <col min="15" max="15" width="12.54296875" style="248" hidden="1" customWidth="1"/>
    <col min="16" max="17" width="11.1796875" style="248" hidden="1" customWidth="1"/>
    <col min="18" max="18" width="10.26953125" style="248" hidden="1" customWidth="1"/>
    <col min="19" max="19" width="12" style="248" hidden="1" customWidth="1"/>
    <col min="20" max="20" width="10.453125" style="248" customWidth="1"/>
    <col min="21" max="21" width="10.81640625" style="247" customWidth="1"/>
    <col min="22" max="22" width="11.1796875" style="247" customWidth="1"/>
    <col min="23" max="23" width="9.1796875" style="247" customWidth="1"/>
    <col min="24" max="24" width="11.81640625" style="247" hidden="1" customWidth="1"/>
    <col min="25" max="26" width="10.1796875" style="247" customWidth="1"/>
    <col min="27" max="27" width="18.1796875" style="588" hidden="1" customWidth="1"/>
    <col min="28" max="28" width="7.81640625" style="247" customWidth="1"/>
    <col min="29" max="29" width="11" style="420" customWidth="1"/>
    <col min="30" max="30" width="15.81640625" style="266" customWidth="1"/>
    <col min="31" max="31" width="11.81640625" style="420" customWidth="1"/>
    <col min="32" max="32" width="9.1796875" style="247" customWidth="1"/>
    <col min="33" max="33" width="11.1796875" style="247" customWidth="1"/>
    <col min="34" max="35" width="9.1796875" style="247" customWidth="1"/>
    <col min="36" max="36" width="1.54296875" style="416" customWidth="1"/>
    <col min="37" max="37" width="10.54296875" style="416" customWidth="1"/>
    <col min="38" max="38" width="11.453125" style="416" customWidth="1"/>
    <col min="39" max="39" width="9.1796875" style="247" customWidth="1"/>
    <col min="40" max="40" width="9.1796875" style="247"/>
    <col min="41" max="41" width="10.1796875" style="247" bestFit="1" customWidth="1"/>
    <col min="42" max="16384" width="9.1796875" style="247"/>
  </cols>
  <sheetData>
    <row r="1" spans="1:43" s="416" customFormat="1">
      <c r="A1" s="414"/>
      <c r="B1" s="414"/>
      <c r="C1" s="593"/>
      <c r="D1" s="414"/>
      <c r="E1" s="414"/>
      <c r="F1" s="414"/>
      <c r="G1" s="414"/>
      <c r="H1" s="414"/>
      <c r="I1" s="414"/>
      <c r="J1" s="414"/>
      <c r="K1" s="414"/>
      <c r="L1" s="414"/>
      <c r="M1" s="414"/>
      <c r="N1" s="414"/>
      <c r="O1" s="414"/>
      <c r="P1" s="414"/>
      <c r="Q1" s="414"/>
      <c r="R1" s="414"/>
      <c r="S1" s="414"/>
      <c r="T1" s="414"/>
      <c r="U1" s="414"/>
      <c r="V1" s="414"/>
      <c r="W1" s="414"/>
      <c r="X1" s="414"/>
      <c r="Y1" s="414"/>
      <c r="Z1" s="414"/>
      <c r="AA1" s="417"/>
      <c r="AC1" s="415"/>
      <c r="AD1" s="266"/>
    </row>
    <row r="2" spans="1:43">
      <c r="A2" s="414" t="s">
        <v>444</v>
      </c>
      <c r="B2" s="414"/>
      <c r="C2" s="593"/>
      <c r="D2" s="414"/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414"/>
      <c r="R2" s="414"/>
      <c r="S2" s="414"/>
      <c r="T2" s="414"/>
      <c r="U2" s="414"/>
      <c r="V2" s="414"/>
      <c r="W2" s="414"/>
      <c r="X2" s="414"/>
      <c r="Y2" s="414"/>
      <c r="Z2" s="414"/>
      <c r="AA2" s="266"/>
      <c r="AC2" s="418"/>
      <c r="AE2" s="247"/>
      <c r="AJ2" s="247"/>
      <c r="AK2" s="247"/>
      <c r="AL2" s="247"/>
    </row>
    <row r="3" spans="1:43">
      <c r="U3" s="248"/>
    </row>
    <row r="4" spans="1:43" s="422" customFormat="1" ht="86.25" customHeight="1">
      <c r="A4" s="250" t="s">
        <v>0</v>
      </c>
      <c r="B4" s="250" t="s">
        <v>1</v>
      </c>
      <c r="C4" s="250" t="s">
        <v>2</v>
      </c>
      <c r="D4" s="250" t="s">
        <v>3</v>
      </c>
      <c r="E4" s="250" t="s">
        <v>4</v>
      </c>
      <c r="F4" s="250" t="s">
        <v>5</v>
      </c>
      <c r="G4" s="250" t="s">
        <v>6</v>
      </c>
      <c r="H4" s="250" t="s">
        <v>7</v>
      </c>
      <c r="I4" s="250" t="s">
        <v>9</v>
      </c>
      <c r="J4" s="250" t="s">
        <v>318</v>
      </c>
      <c r="K4" s="250" t="s">
        <v>10</v>
      </c>
      <c r="L4" s="250" t="s">
        <v>11</v>
      </c>
      <c r="M4" s="11" t="s">
        <v>627</v>
      </c>
      <c r="N4" s="250" t="s">
        <v>628</v>
      </c>
      <c r="O4" s="250" t="s">
        <v>629</v>
      </c>
      <c r="P4" s="250" t="s">
        <v>12</v>
      </c>
      <c r="Q4" s="250" t="s">
        <v>700</v>
      </c>
      <c r="R4" s="250" t="s">
        <v>701</v>
      </c>
      <c r="S4" s="250" t="s">
        <v>632</v>
      </c>
      <c r="T4" s="250" t="s">
        <v>633</v>
      </c>
      <c r="U4" s="250" t="s">
        <v>634</v>
      </c>
      <c r="V4" s="250" t="s">
        <v>13</v>
      </c>
      <c r="W4" s="19" t="s">
        <v>14</v>
      </c>
      <c r="X4" s="250" t="s">
        <v>15</v>
      </c>
      <c r="Y4" s="250" t="s">
        <v>523</v>
      </c>
      <c r="Z4" s="250" t="s">
        <v>140</v>
      </c>
      <c r="AA4" s="477" t="s">
        <v>635</v>
      </c>
      <c r="AB4" s="250" t="s">
        <v>16</v>
      </c>
      <c r="AC4" s="420"/>
      <c r="AD4" s="266"/>
      <c r="AE4" s="420"/>
      <c r="AJ4" s="416"/>
      <c r="AK4" s="416"/>
      <c r="AL4" s="416"/>
    </row>
    <row r="5" spans="1:43" s="258" customFormat="1">
      <c r="A5" s="254"/>
      <c r="B5" s="254"/>
      <c r="C5" s="254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Y5" s="255"/>
      <c r="Z5" s="254"/>
      <c r="AA5" s="589"/>
      <c r="AB5" s="251"/>
      <c r="AC5" s="420"/>
      <c r="AD5" s="266"/>
      <c r="AE5" s="420"/>
      <c r="AJ5" s="416"/>
      <c r="AK5" s="416"/>
      <c r="AL5" s="416"/>
    </row>
    <row r="6" spans="1:43" s="258" customFormat="1">
      <c r="A6" s="254">
        <f>A5+1</f>
        <v>1</v>
      </c>
      <c r="B6" s="254">
        <v>1402</v>
      </c>
      <c r="C6" s="254" t="s">
        <v>135</v>
      </c>
      <c r="D6" s="255">
        <f>'תקציב החברה לפיתוח 2019'!D17</f>
        <v>7700000</v>
      </c>
      <c r="E6" s="255">
        <f>'תקציב החברה לפיתוח 2019'!E17</f>
        <v>7700000</v>
      </c>
      <c r="F6" s="255">
        <f>'תקציב החברה לפיתוח 2019'!F17</f>
        <v>0</v>
      </c>
      <c r="G6" s="255">
        <f>'תקציב החברה לפיתוח 2019'!G17</f>
        <v>7700000</v>
      </c>
      <c r="H6" s="255">
        <f>'תקציב החברה לפיתוח 2019'!H17</f>
        <v>7686958.6200000001</v>
      </c>
      <c r="I6" s="255">
        <f>'תקציב החברה לפיתוח 2019'!I17</f>
        <v>0</v>
      </c>
      <c r="J6" s="255">
        <f>'תקציב החברה לפיתוח 2019'!J17</f>
        <v>10526.88</v>
      </c>
      <c r="K6" s="255">
        <f>'תקציב החברה לפיתוח 2019'!K17</f>
        <v>10526.88</v>
      </c>
      <c r="L6" s="255">
        <f>'תקציב החברה לפיתוח 2019'!L17</f>
        <v>7697485.5</v>
      </c>
      <c r="M6" s="255">
        <f>'תקציב החברה לפיתוח 2019'!M17</f>
        <v>2514.5</v>
      </c>
      <c r="N6" s="255">
        <f>'תקציב החברה לפיתוח 2019'!N17</f>
        <v>0</v>
      </c>
      <c r="O6" s="255">
        <f>'תקציב החברה לפיתוח 2019'!O17</f>
        <v>0</v>
      </c>
      <c r="P6" s="255">
        <f>'תקציב החברה לפיתוח 2019'!P17</f>
        <v>2514.5</v>
      </c>
      <c r="Q6" s="255">
        <f>'תקציב החברה לפיתוח 2019'!Q17</f>
        <v>0</v>
      </c>
      <c r="R6" s="255">
        <f>'תקציב החברה לפיתוח 2019'!R17</f>
        <v>0</v>
      </c>
      <c r="S6" s="255">
        <f>'תקציב החברה לפיתוח 2019'!S17</f>
        <v>0</v>
      </c>
      <c r="T6" s="255">
        <f>'תקציב החברה לפיתוח 2019'!T17</f>
        <v>0</v>
      </c>
      <c r="U6" s="255">
        <f>'תקציב החברה לפיתוח 2019'!U17</f>
        <v>0</v>
      </c>
      <c r="V6" s="255">
        <f>'תקציב החברה לפיתוח 2019'!V17</f>
        <v>0</v>
      </c>
      <c r="W6" s="255">
        <f>'תקציב החברה לפיתוח 2019'!W17</f>
        <v>0</v>
      </c>
      <c r="X6" s="255">
        <f>'תקציב החברה לפיתוח 2019'!X17</f>
        <v>0</v>
      </c>
      <c r="Y6" s="255">
        <f>'תקציב החברה לפיתוח 2019'!Y17</f>
        <v>0</v>
      </c>
      <c r="Z6" s="255">
        <f>'תקציב החברה לפיתוח 2019'!Z17</f>
        <v>0</v>
      </c>
      <c r="AA6" s="254"/>
      <c r="AB6" s="254">
        <v>714000</v>
      </c>
      <c r="AC6" s="420"/>
      <c r="AD6" s="266"/>
      <c r="AE6" s="425"/>
      <c r="AJ6" s="416"/>
      <c r="AK6" s="416"/>
      <c r="AL6" s="416"/>
    </row>
    <row r="7" spans="1:43" s="621" customFormat="1">
      <c r="A7" s="426"/>
      <c r="B7" s="426"/>
      <c r="C7" s="426" t="s">
        <v>1216</v>
      </c>
      <c r="D7" s="659">
        <f>SUM(D6)</f>
        <v>7700000</v>
      </c>
      <c r="E7" s="659">
        <f t="shared" ref="E7:Z7" si="0">SUM(E6)</f>
        <v>7700000</v>
      </c>
      <c r="F7" s="659">
        <f t="shared" si="0"/>
        <v>0</v>
      </c>
      <c r="G7" s="659">
        <f t="shared" si="0"/>
        <v>7700000</v>
      </c>
      <c r="H7" s="659">
        <f t="shared" si="0"/>
        <v>7686958.6200000001</v>
      </c>
      <c r="I7" s="659">
        <f t="shared" si="0"/>
        <v>0</v>
      </c>
      <c r="J7" s="659">
        <f t="shared" si="0"/>
        <v>10526.88</v>
      </c>
      <c r="K7" s="659">
        <f t="shared" si="0"/>
        <v>10526.88</v>
      </c>
      <c r="L7" s="659">
        <f t="shared" si="0"/>
        <v>7697485.5</v>
      </c>
      <c r="M7" s="659">
        <f t="shared" si="0"/>
        <v>2514.5</v>
      </c>
      <c r="N7" s="659">
        <f t="shared" si="0"/>
        <v>0</v>
      </c>
      <c r="O7" s="659">
        <f t="shared" si="0"/>
        <v>0</v>
      </c>
      <c r="P7" s="659">
        <f t="shared" si="0"/>
        <v>2514.5</v>
      </c>
      <c r="Q7" s="659">
        <f t="shared" si="0"/>
        <v>0</v>
      </c>
      <c r="R7" s="659">
        <f t="shared" si="0"/>
        <v>0</v>
      </c>
      <c r="S7" s="659">
        <f t="shared" si="0"/>
        <v>0</v>
      </c>
      <c r="T7" s="659">
        <f t="shared" si="0"/>
        <v>0</v>
      </c>
      <c r="U7" s="659">
        <f t="shared" si="0"/>
        <v>0</v>
      </c>
      <c r="V7" s="659">
        <f t="shared" si="0"/>
        <v>0</v>
      </c>
      <c r="W7" s="659">
        <f t="shared" si="0"/>
        <v>0</v>
      </c>
      <c r="X7" s="659">
        <f t="shared" si="0"/>
        <v>0</v>
      </c>
      <c r="Y7" s="659">
        <f t="shared" si="0"/>
        <v>0</v>
      </c>
      <c r="Z7" s="659">
        <f t="shared" si="0"/>
        <v>0</v>
      </c>
      <c r="AA7" s="426"/>
      <c r="AB7" s="426"/>
      <c r="AC7" s="660"/>
      <c r="AD7" s="622"/>
      <c r="AE7" s="661"/>
      <c r="AJ7" s="624"/>
      <c r="AK7" s="624"/>
      <c r="AL7" s="624"/>
    </row>
    <row r="8" spans="1:43" s="259" customFormat="1">
      <c r="A8" s="254">
        <f>A6+1</f>
        <v>2</v>
      </c>
      <c r="B8" s="254">
        <v>634</v>
      </c>
      <c r="C8" s="254" t="s">
        <v>1316</v>
      </c>
      <c r="D8" s="255">
        <f>'תקציב החברה לפיתוח 2019'!D10</f>
        <v>57250000</v>
      </c>
      <c r="E8" s="255">
        <f>'תקציב החברה לפיתוח 2019'!E10</f>
        <v>57250000</v>
      </c>
      <c r="F8" s="255">
        <f>'תקציב החברה לפיתוח 2019'!F10</f>
        <v>0</v>
      </c>
      <c r="G8" s="255">
        <f>'תקציב החברה לפיתוח 2019'!G10</f>
        <v>57250000</v>
      </c>
      <c r="H8" s="255">
        <f>'תקציב החברה לפיתוח 2019'!H10</f>
        <v>55114069.850000001</v>
      </c>
      <c r="I8" s="255">
        <f>'תקציב החברה לפיתוח 2019'!I10</f>
        <v>0</v>
      </c>
      <c r="J8" s="255">
        <f>'תקציב החברה לפיתוח 2019'!J10</f>
        <v>1188923.04</v>
      </c>
      <c r="K8" s="255">
        <f>'תקציב החברה לפיתוח 2019'!K10</f>
        <v>1188923.04</v>
      </c>
      <c r="L8" s="255">
        <f>'תקציב החברה לפיתוח 2019'!L10</f>
        <v>56302992.890000001</v>
      </c>
      <c r="M8" s="255">
        <f>'תקציב החברה לפיתוח 2019'!M10</f>
        <v>47007.109999999404</v>
      </c>
      <c r="N8" s="255">
        <f>'תקציב החברה לפיתוח 2019'!N10</f>
        <v>0</v>
      </c>
      <c r="O8" s="255">
        <f>'תקציב החברה לפיתוח 2019'!O10</f>
        <v>900000</v>
      </c>
      <c r="P8" s="255">
        <f>'תקציב החברה לפיתוח 2019'!P10</f>
        <v>947007.1099999994</v>
      </c>
      <c r="Q8" s="255">
        <f>'תקציב החברה לפיתוח 2019'!Q10</f>
        <v>0</v>
      </c>
      <c r="R8" s="255">
        <f>'תקציב החברה לפיתוח 2019'!R10</f>
        <v>0</v>
      </c>
      <c r="S8" s="255">
        <f>'תקציב החברה לפיתוח 2019'!S10</f>
        <v>0</v>
      </c>
      <c r="T8" s="255">
        <f>'תקציב החברה לפיתוח 2019'!T10</f>
        <v>900000</v>
      </c>
      <c r="U8" s="255">
        <f>'תקציב החברה לפיתוח 2019'!U10</f>
        <v>-900000</v>
      </c>
      <c r="V8" s="255">
        <f>'תקציב החברה לפיתוח 2019'!V10</f>
        <v>-900000</v>
      </c>
      <c r="W8" s="255">
        <f>'תקציב החברה לפיתוח 2019'!W10</f>
        <v>0</v>
      </c>
      <c r="X8" s="255">
        <f>'תקציב החברה לפיתוח 2019'!X10</f>
        <v>0</v>
      </c>
      <c r="Y8" s="255">
        <f>'תקציב החברה לפיתוח 2019'!Y10</f>
        <v>0</v>
      </c>
      <c r="Z8" s="255">
        <f>'תקציב החברה לפיתוח 2019'!Z10</f>
        <v>0</v>
      </c>
      <c r="AA8" s="254"/>
      <c r="AB8" s="254">
        <v>732000</v>
      </c>
      <c r="AC8" s="420"/>
      <c r="AD8" s="266"/>
      <c r="AE8" s="425"/>
      <c r="AF8" s="258"/>
      <c r="AJ8" s="416"/>
      <c r="AK8" s="416"/>
      <c r="AL8" s="416"/>
    </row>
    <row r="9" spans="1:43" s="259" customFormat="1" ht="70">
      <c r="A9" s="254">
        <f>A8+1</f>
        <v>3</v>
      </c>
      <c r="B9" s="254">
        <v>1723</v>
      </c>
      <c r="C9" s="254" t="s">
        <v>34</v>
      </c>
      <c r="D9" s="255">
        <f>'תקציב החברה לפיתוח 2019'!D31</f>
        <v>17500000</v>
      </c>
      <c r="E9" s="255">
        <f>'תקציב החברה לפיתוח 2019'!E31</f>
        <v>17500000</v>
      </c>
      <c r="F9" s="255">
        <f>'תקציב החברה לפיתוח 2019'!F31</f>
        <v>0</v>
      </c>
      <c r="G9" s="255">
        <f>'תקציב החברה לפיתוח 2019'!G31</f>
        <v>12212460</v>
      </c>
      <c r="H9" s="255">
        <f>'תקציב החברה לפיתוח 2019'!H31</f>
        <v>1125069</v>
      </c>
      <c r="I9" s="255">
        <f>'תקציב החברה לפיתוח 2019'!I31</f>
        <v>0</v>
      </c>
      <c r="J9" s="255">
        <f>'תקציב החברה לפיתוח 2019'!J31</f>
        <v>6598927.9400000004</v>
      </c>
      <c r="K9" s="255">
        <f>'תקציב החברה לפיתוח 2019'!K31</f>
        <v>6598927.9400000004</v>
      </c>
      <c r="L9" s="255">
        <f>'תקציב החברה לפיתוח 2019'!L31</f>
        <v>7723996.9400000004</v>
      </c>
      <c r="M9" s="255">
        <f>'תקציב החברה לפיתוח 2019'!M31</f>
        <v>4488463.0599999996</v>
      </c>
      <c r="N9" s="255">
        <f>'תקציב החברה לפיתוח 2019'!N31</f>
        <v>5287540</v>
      </c>
      <c r="O9" s="255">
        <f>'תקציב החברה לפיתוח 2019'!O31</f>
        <v>0</v>
      </c>
      <c r="P9" s="255">
        <f>'תקציב החברה לפיתוח 2019'!P31</f>
        <v>4488463.0599999996</v>
      </c>
      <c r="Q9" s="255">
        <f>'תקציב החברה לפיתוח 2019'!Q31</f>
        <v>0</v>
      </c>
      <c r="R9" s="255">
        <f>'תקציב החברה לפיתוח 2019'!R31</f>
        <v>0</v>
      </c>
      <c r="S9" s="255">
        <f>'תקציב החברה לפיתוח 2019'!S31</f>
        <v>0</v>
      </c>
      <c r="T9" s="255">
        <f>'תקציב החברה לפיתוח 2019'!T31</f>
        <v>0</v>
      </c>
      <c r="U9" s="255">
        <f>'תקציב החברה לפיתוח 2019'!U31</f>
        <v>5287540</v>
      </c>
      <c r="V9" s="255">
        <f>'תקציב החברה לפיתוח 2019'!V31</f>
        <v>825000</v>
      </c>
      <c r="W9" s="255">
        <f>'תקציב החברה לפיתוח 2019'!W31</f>
        <v>0</v>
      </c>
      <c r="X9" s="255">
        <f>'תקציב החברה לפיתוח 2019'!X31</f>
        <v>0</v>
      </c>
      <c r="Y9" s="255">
        <f>'תקציב החברה לפיתוח 2019'!Y31</f>
        <v>0</v>
      </c>
      <c r="Z9" s="255">
        <f>'תקציב החברה לפיתוח 2019'!Z31</f>
        <v>4462540</v>
      </c>
      <c r="AA9" s="254" t="s">
        <v>1062</v>
      </c>
      <c r="AB9" s="254">
        <v>732000</v>
      </c>
      <c r="AC9" s="420"/>
      <c r="AD9" s="266"/>
      <c r="AE9" s="425"/>
      <c r="AF9" s="258"/>
      <c r="AG9" s="258"/>
      <c r="AH9" s="258"/>
      <c r="AI9" s="258"/>
      <c r="AJ9" s="416"/>
      <c r="AK9" s="416"/>
      <c r="AL9" s="416"/>
      <c r="AM9" s="258"/>
      <c r="AN9" s="258"/>
      <c r="AO9" s="258"/>
      <c r="AP9" s="258"/>
      <c r="AQ9" s="258"/>
    </row>
    <row r="10" spans="1:43" s="259" customFormat="1" ht="42">
      <c r="A10" s="254">
        <f>A9+1</f>
        <v>4</v>
      </c>
      <c r="B10" s="254">
        <v>1806</v>
      </c>
      <c r="C10" s="254" t="s">
        <v>216</v>
      </c>
      <c r="D10" s="255">
        <f>'תקציב החברה לפיתוח 2019'!D37</f>
        <v>500000</v>
      </c>
      <c r="E10" s="255">
        <f>'תקציב החברה לפיתוח 2019'!E37</f>
        <v>500000</v>
      </c>
      <c r="F10" s="255">
        <f>'תקציב החברה לפיתוח 2019'!F37</f>
        <v>0</v>
      </c>
      <c r="G10" s="255">
        <f>'תקציב החברה לפיתוח 2019'!G37</f>
        <v>350000</v>
      </c>
      <c r="H10" s="255">
        <f>'תקציב החברה לפיתוח 2019'!H37</f>
        <v>111153</v>
      </c>
      <c r="I10" s="255">
        <f>'תקציב החברה לפיתוח 2019'!I37</f>
        <v>0</v>
      </c>
      <c r="J10" s="255">
        <f>'תקציב החברה לפיתוח 2019'!J37</f>
        <v>87981.07</v>
      </c>
      <c r="K10" s="255">
        <f>'תקציב החברה לפיתוח 2019'!K37</f>
        <v>87981.07</v>
      </c>
      <c r="L10" s="255">
        <f>'תקציב החברה לפיתוח 2019'!L37</f>
        <v>199134.07</v>
      </c>
      <c r="M10" s="255">
        <f>'תקציב החברה לפיתוח 2019'!M37</f>
        <v>150865.93</v>
      </c>
      <c r="N10" s="255">
        <f>'תקציב החברה לפיתוח 2019'!N37</f>
        <v>150000</v>
      </c>
      <c r="O10" s="255">
        <f>'תקציב החברה לפיתוח 2019'!O37</f>
        <v>0</v>
      </c>
      <c r="P10" s="255">
        <f>'תקציב החברה לפיתוח 2019'!P37</f>
        <v>150865.93</v>
      </c>
      <c r="Q10" s="255">
        <f>'תקציב החברה לפיתוח 2019'!Q37</f>
        <v>0</v>
      </c>
      <c r="R10" s="255">
        <f>'תקציב החברה לפיתוח 2019'!R37</f>
        <v>0</v>
      </c>
      <c r="S10" s="255">
        <f>'תקציב החברה לפיתוח 2019'!S37</f>
        <v>0</v>
      </c>
      <c r="T10" s="255">
        <f>'תקציב החברה לפיתוח 2019'!T37</f>
        <v>0</v>
      </c>
      <c r="U10" s="255">
        <f>'תקציב החברה לפיתוח 2019'!U37</f>
        <v>150000</v>
      </c>
      <c r="V10" s="255">
        <f>'תקציב החברה לפיתוח 2019'!V37</f>
        <v>150000</v>
      </c>
      <c r="W10" s="255">
        <f>'תקציב החברה לפיתוח 2019'!W37</f>
        <v>0</v>
      </c>
      <c r="X10" s="255">
        <f>'תקציב החברה לפיתוח 2019'!X37</f>
        <v>0</v>
      </c>
      <c r="Y10" s="255">
        <f>'תקציב החברה לפיתוח 2019'!Y37</f>
        <v>0</v>
      </c>
      <c r="Z10" s="255">
        <f>'תקציב החברה לפיתוח 2019'!Z37</f>
        <v>0</v>
      </c>
      <c r="AA10" s="428" t="s">
        <v>707</v>
      </c>
      <c r="AB10" s="254">
        <v>732000</v>
      </c>
      <c r="AC10" s="420"/>
      <c r="AD10" s="266"/>
      <c r="AE10" s="425"/>
      <c r="AF10" s="258"/>
      <c r="AG10" s="266"/>
      <c r="AH10" s="266"/>
      <c r="AI10" s="266"/>
      <c r="AJ10" s="416"/>
      <c r="AK10" s="416"/>
      <c r="AL10" s="416"/>
      <c r="AM10" s="266"/>
      <c r="AN10" s="266"/>
      <c r="AO10" s="266"/>
      <c r="AP10" s="266"/>
      <c r="AQ10" s="266"/>
    </row>
    <row r="11" spans="1:43" s="258" customFormat="1" ht="56">
      <c r="A11" s="254">
        <f>A10+1</f>
        <v>5</v>
      </c>
      <c r="B11" s="427">
        <v>1846</v>
      </c>
      <c r="C11" s="254" t="s">
        <v>211</v>
      </c>
      <c r="D11" s="255">
        <f>'תקציב החברה לפיתוח 2019'!D48</f>
        <v>500000</v>
      </c>
      <c r="E11" s="255">
        <f>'תקציב החברה לפיתוח 2019'!E48</f>
        <v>2500000</v>
      </c>
      <c r="F11" s="255">
        <f>'תקציב החברה לפיתוח 2019'!F48</f>
        <v>-2000000</v>
      </c>
      <c r="G11" s="255">
        <f>'תקציב החברה לפיתוח 2019'!G48</f>
        <v>2500000</v>
      </c>
      <c r="H11" s="255">
        <f>'תקציב החברה לפיתוח 2019'!H48</f>
        <v>200055</v>
      </c>
      <c r="I11" s="255">
        <f>'תקציב החברה לפיתוח 2019'!I48</f>
        <v>0</v>
      </c>
      <c r="J11" s="255">
        <f>'תקציב החברה לפיתוח 2019'!J48</f>
        <v>299944.23</v>
      </c>
      <c r="K11" s="255">
        <f>'תקציב החברה לפיתוח 2019'!K48</f>
        <v>299944.23</v>
      </c>
      <c r="L11" s="255">
        <f>'תקציב החברה לפיתוח 2019'!L48</f>
        <v>499999.23</v>
      </c>
      <c r="M11" s="255">
        <f>'תקציב החברה לפיתוח 2019'!M48</f>
        <v>0.77000000001862645</v>
      </c>
      <c r="N11" s="255">
        <f>'תקציב החברה לפיתוח 2019'!N48</f>
        <v>0</v>
      </c>
      <c r="O11" s="255">
        <f>'תקציב החברה לפיתוח 2019'!O48</f>
        <v>0</v>
      </c>
      <c r="P11" s="255">
        <f>'תקציב החברה לפיתוח 2019'!P48</f>
        <v>2000000.77</v>
      </c>
      <c r="Q11" s="255">
        <f>'תקציב החברה לפיתוח 2019'!Q48</f>
        <v>-1000000</v>
      </c>
      <c r="R11" s="255">
        <f>'תקציב החברה לפיתוח 2019'!R48</f>
        <v>0</v>
      </c>
      <c r="S11" s="255">
        <f>'תקציב החברה לפיתוח 2019'!S48</f>
        <v>-1000000</v>
      </c>
      <c r="T11" s="255">
        <f>'תקציב החברה לפיתוח 2019'!T48</f>
        <v>1000000</v>
      </c>
      <c r="U11" s="255">
        <f>'תקציב החברה לפיתוח 2019'!U48</f>
        <v>-1000000</v>
      </c>
      <c r="V11" s="255">
        <f>'תקציב החברה לפיתוח 2019'!V48</f>
        <v>-1000000</v>
      </c>
      <c r="W11" s="255">
        <f>'תקציב החברה לפיתוח 2019'!W48</f>
        <v>0</v>
      </c>
      <c r="X11" s="255">
        <f>'תקציב החברה לפיתוח 2019'!X48</f>
        <v>0</v>
      </c>
      <c r="Y11" s="255">
        <f>'תקציב החברה לפיתוח 2019'!Y48</f>
        <v>0</v>
      </c>
      <c r="Z11" s="255">
        <f>'תקציב החברה לפיתוח 2019'!Z48</f>
        <v>0</v>
      </c>
      <c r="AA11" s="254" t="s">
        <v>1066</v>
      </c>
      <c r="AB11" s="254">
        <v>732000</v>
      </c>
      <c r="AC11" s="420"/>
      <c r="AD11" s="266"/>
      <c r="AE11" s="425"/>
      <c r="AG11" s="266"/>
      <c r="AH11" s="266"/>
      <c r="AI11" s="266"/>
      <c r="AJ11" s="416"/>
      <c r="AK11" s="416"/>
      <c r="AL11" s="416"/>
      <c r="AM11" s="247"/>
      <c r="AN11" s="247"/>
      <c r="AO11" s="247"/>
      <c r="AP11" s="247"/>
      <c r="AQ11" s="247"/>
    </row>
    <row r="12" spans="1:43" s="259" customFormat="1">
      <c r="A12" s="254">
        <f>A11+1</f>
        <v>6</v>
      </c>
      <c r="B12" s="427">
        <v>1936</v>
      </c>
      <c r="C12" s="254" t="s">
        <v>323</v>
      </c>
      <c r="D12" s="255">
        <f>'תקציב החברה לפיתוח 2019'!D57</f>
        <v>6082795</v>
      </c>
      <c r="E12" s="255">
        <f>'תקציב החברה לפיתוח 2019'!E57</f>
        <v>6082795</v>
      </c>
      <c r="F12" s="255">
        <f>'תקציב החברה לפיתוח 2019'!F57</f>
        <v>0</v>
      </c>
      <c r="G12" s="255">
        <f>'תקציב החברה לפיתוח 2019'!G57</f>
        <v>700000</v>
      </c>
      <c r="H12" s="255">
        <f>'תקציב החברה לפיתוח 2019'!H57</f>
        <v>313933</v>
      </c>
      <c r="I12" s="255">
        <f>'תקציב החברה לפיתוח 2019'!I57</f>
        <v>0</v>
      </c>
      <c r="J12" s="255">
        <f>'תקציב החברה לפיתוח 2019'!J57</f>
        <v>86064.19</v>
      </c>
      <c r="K12" s="255">
        <f>'תקציב החברה לפיתוח 2019'!K57</f>
        <v>86064.19</v>
      </c>
      <c r="L12" s="255">
        <f>'תקציב החברה לפיתוח 2019'!L57</f>
        <v>399997.19</v>
      </c>
      <c r="M12" s="255">
        <f>'תקציב החברה לפיתוח 2019'!M57</f>
        <v>300002.81</v>
      </c>
      <c r="N12" s="255">
        <f>'תקציב החברה לפיתוח 2019'!N57</f>
        <v>0</v>
      </c>
      <c r="O12" s="255">
        <f>'תקציב החברה לפיתוח 2019'!O57</f>
        <v>5382795</v>
      </c>
      <c r="P12" s="255">
        <f>'תקציב החברה לפיתוח 2019'!P57</f>
        <v>300002.81</v>
      </c>
      <c r="Q12" s="255">
        <f>'תקציב החברה לפיתוח 2019'!Q57</f>
        <v>0</v>
      </c>
      <c r="R12" s="255">
        <f>'תקציב החברה לפיתוח 2019'!R57</f>
        <v>0</v>
      </c>
      <c r="S12" s="255">
        <f>'תקציב החברה לפיתוח 2019'!S57</f>
        <v>0</v>
      </c>
      <c r="T12" s="255">
        <f>'תקציב החברה לפיתוח 2019'!T57</f>
        <v>0</v>
      </c>
      <c r="U12" s="255">
        <f>'תקציב החברה לפיתוח 2019'!U57</f>
        <v>0</v>
      </c>
      <c r="V12" s="255">
        <f>'תקציב החברה לפיתוח 2019'!V57</f>
        <v>0</v>
      </c>
      <c r="W12" s="255">
        <f>'תקציב החברה לפיתוח 2019'!W57</f>
        <v>0</v>
      </c>
      <c r="X12" s="255">
        <f>'תקציב החברה לפיתוח 2019'!X57</f>
        <v>0</v>
      </c>
      <c r="Y12" s="255">
        <f>'תקציב החברה לפיתוח 2019'!Y57</f>
        <v>0</v>
      </c>
      <c r="Z12" s="255">
        <f>'תקציב החברה לפיתוח 2019'!Z57</f>
        <v>0</v>
      </c>
      <c r="AA12" s="428" t="s">
        <v>1068</v>
      </c>
      <c r="AB12" s="254">
        <v>732000</v>
      </c>
      <c r="AC12" s="420"/>
      <c r="AD12" s="266"/>
      <c r="AE12" s="425"/>
      <c r="AF12" s="258"/>
      <c r="AG12" s="266"/>
      <c r="AH12" s="266"/>
      <c r="AI12" s="266"/>
      <c r="AJ12" s="416"/>
      <c r="AK12" s="416"/>
      <c r="AL12" s="416"/>
      <c r="AM12" s="247"/>
      <c r="AN12" s="247"/>
      <c r="AO12" s="261"/>
      <c r="AP12" s="247"/>
      <c r="AQ12" s="247"/>
    </row>
    <row r="13" spans="1:43" s="259" customFormat="1">
      <c r="A13" s="254">
        <f>A12+1</f>
        <v>7</v>
      </c>
      <c r="B13" s="427">
        <v>1940</v>
      </c>
      <c r="C13" s="254" t="s">
        <v>252</v>
      </c>
      <c r="D13" s="255">
        <f>'תקציב החברה לפיתוח 2019'!D58</f>
        <v>186000</v>
      </c>
      <c r="E13" s="255">
        <f>'תקציב החברה לפיתוח 2019'!E58</f>
        <v>186000</v>
      </c>
      <c r="F13" s="255">
        <f>'תקציב החברה לפיתוח 2019'!F58</f>
        <v>0</v>
      </c>
      <c r="G13" s="255">
        <f>'תקציב החברה לפיתוח 2019'!G58</f>
        <v>186000</v>
      </c>
      <c r="H13" s="255">
        <f>'תקציב החברה לפיתוח 2019'!H58</f>
        <v>99216</v>
      </c>
      <c r="I13" s="255">
        <f>'תקציב החברה לפיתוח 2019'!I58</f>
        <v>0</v>
      </c>
      <c r="J13" s="255">
        <f>'תקציב החברה לפיתוח 2019'!J58</f>
        <v>24773.58</v>
      </c>
      <c r="K13" s="255">
        <f>'תקציב החברה לפיתוח 2019'!K58</f>
        <v>24773.58</v>
      </c>
      <c r="L13" s="255">
        <f>'תקציב החברה לפיתוח 2019'!L58</f>
        <v>123989.58</v>
      </c>
      <c r="M13" s="255">
        <f>'תקציב החברה לפיתוח 2019'!M58</f>
        <v>62010.42</v>
      </c>
      <c r="N13" s="255">
        <f>'תקציב החברה לפיתוח 2019'!N58</f>
        <v>0</v>
      </c>
      <c r="O13" s="255">
        <f>'תקציב החברה לפיתוח 2019'!O58</f>
        <v>0</v>
      </c>
      <c r="P13" s="255">
        <f>'תקציב החברה לפיתוח 2019'!P58</f>
        <v>62010.42</v>
      </c>
      <c r="Q13" s="255">
        <f>'תקציב החברה לפיתוח 2019'!Q58</f>
        <v>0</v>
      </c>
      <c r="R13" s="255">
        <f>'תקציב החברה לפיתוח 2019'!R58</f>
        <v>0</v>
      </c>
      <c r="S13" s="255">
        <f>'תקציב החברה לפיתוח 2019'!S58</f>
        <v>0</v>
      </c>
      <c r="T13" s="255">
        <f>'תקציב החברה לפיתוח 2019'!T58</f>
        <v>0</v>
      </c>
      <c r="U13" s="255">
        <f>'תקציב החברה לפיתוח 2019'!U58</f>
        <v>0</v>
      </c>
      <c r="V13" s="255">
        <f>'תקציב החברה לפיתוח 2019'!V58</f>
        <v>0</v>
      </c>
      <c r="W13" s="255">
        <f>'תקציב החברה לפיתוח 2019'!W58</f>
        <v>0</v>
      </c>
      <c r="X13" s="255">
        <f>'תקציב החברה לפיתוח 2019'!X58</f>
        <v>0</v>
      </c>
      <c r="Y13" s="255">
        <f>'תקציב החברה לפיתוח 2019'!Y58</f>
        <v>0</v>
      </c>
      <c r="Z13" s="255">
        <f>'תקציב החברה לפיתוח 2019'!Z58</f>
        <v>0</v>
      </c>
      <c r="AA13" s="254"/>
      <c r="AB13" s="254">
        <v>732000</v>
      </c>
      <c r="AC13" s="420"/>
      <c r="AD13" s="266"/>
      <c r="AE13" s="425"/>
      <c r="AF13" s="258"/>
      <c r="AG13" s="266"/>
      <c r="AH13" s="266"/>
      <c r="AI13" s="266"/>
      <c r="AJ13" s="416"/>
      <c r="AK13" s="416"/>
      <c r="AL13" s="416"/>
      <c r="AM13" s="247"/>
      <c r="AN13" s="247"/>
      <c r="AO13" s="261"/>
      <c r="AP13" s="247"/>
      <c r="AQ13" s="247"/>
    </row>
    <row r="14" spans="1:43" s="621" customFormat="1">
      <c r="A14" s="426"/>
      <c r="B14" s="662"/>
      <c r="C14" s="426" t="s">
        <v>1201</v>
      </c>
      <c r="D14" s="659">
        <f>SUM(D8:D13)</f>
        <v>82018795</v>
      </c>
      <c r="E14" s="659">
        <f t="shared" ref="E14:Z14" si="1">SUM(E8:E13)</f>
        <v>84018795</v>
      </c>
      <c r="F14" s="659">
        <f t="shared" si="1"/>
        <v>-2000000</v>
      </c>
      <c r="G14" s="659">
        <f t="shared" si="1"/>
        <v>73198460</v>
      </c>
      <c r="H14" s="659">
        <f t="shared" si="1"/>
        <v>56963495.850000001</v>
      </c>
      <c r="I14" s="659">
        <f t="shared" si="1"/>
        <v>0</v>
      </c>
      <c r="J14" s="659">
        <f t="shared" si="1"/>
        <v>8286614.0500000017</v>
      </c>
      <c r="K14" s="659">
        <f t="shared" si="1"/>
        <v>8286614.0500000017</v>
      </c>
      <c r="L14" s="659">
        <f t="shared" si="1"/>
        <v>65250109.899999991</v>
      </c>
      <c r="M14" s="659">
        <f t="shared" si="1"/>
        <v>5048350.0999999987</v>
      </c>
      <c r="N14" s="659">
        <f t="shared" si="1"/>
        <v>5437540</v>
      </c>
      <c r="O14" s="659">
        <f t="shared" si="1"/>
        <v>6282795</v>
      </c>
      <c r="P14" s="659">
        <f t="shared" si="1"/>
        <v>7948350.0999999987</v>
      </c>
      <c r="Q14" s="659">
        <f t="shared" si="1"/>
        <v>-1000000</v>
      </c>
      <c r="R14" s="659">
        <f t="shared" si="1"/>
        <v>0</v>
      </c>
      <c r="S14" s="659">
        <f t="shared" si="1"/>
        <v>-1000000</v>
      </c>
      <c r="T14" s="659">
        <f t="shared" si="1"/>
        <v>1900000</v>
      </c>
      <c r="U14" s="659">
        <f t="shared" si="1"/>
        <v>3537540</v>
      </c>
      <c r="V14" s="659">
        <f t="shared" si="1"/>
        <v>-925000</v>
      </c>
      <c r="W14" s="659">
        <f t="shared" si="1"/>
        <v>0</v>
      </c>
      <c r="X14" s="659">
        <f t="shared" si="1"/>
        <v>0</v>
      </c>
      <c r="Y14" s="659">
        <f t="shared" si="1"/>
        <v>0</v>
      </c>
      <c r="Z14" s="659">
        <f t="shared" si="1"/>
        <v>4462540</v>
      </c>
      <c r="AA14" s="426"/>
      <c r="AB14" s="426"/>
      <c r="AC14" s="660"/>
      <c r="AD14" s="622"/>
      <c r="AE14" s="661"/>
      <c r="AG14" s="622"/>
      <c r="AH14" s="622"/>
      <c r="AI14" s="622"/>
      <c r="AJ14" s="624"/>
      <c r="AK14" s="624"/>
      <c r="AL14" s="624"/>
      <c r="AM14" s="642"/>
      <c r="AN14" s="642"/>
      <c r="AO14" s="663"/>
      <c r="AP14" s="642"/>
      <c r="AQ14" s="642"/>
    </row>
    <row r="15" spans="1:43" s="259" customFormat="1" ht="56">
      <c r="A15" s="254">
        <f>A13+1</f>
        <v>8</v>
      </c>
      <c r="B15" s="254">
        <v>382</v>
      </c>
      <c r="C15" s="254" t="s">
        <v>1054</v>
      </c>
      <c r="D15" s="255">
        <f>'תקציב החברה לפיתוח 2019'!D7</f>
        <v>72881330</v>
      </c>
      <c r="E15" s="255">
        <f>'תקציב החברה לפיתוח 2019'!E7</f>
        <v>49581930</v>
      </c>
      <c r="F15" s="255">
        <f>'תקציב החברה לפיתוח 2019'!F7</f>
        <v>23299400</v>
      </c>
      <c r="G15" s="255">
        <f>'תקציב החברה לפיתוח 2019'!G7</f>
        <v>41381330</v>
      </c>
      <c r="H15" s="255">
        <f>'תקציב החברה לפיתוח 2019'!H7</f>
        <v>39212248.18</v>
      </c>
      <c r="I15" s="255">
        <f>'תקציב החברה לפיתוח 2019'!I7</f>
        <v>0</v>
      </c>
      <c r="J15" s="255">
        <f>'תקציב החברה לפיתוח 2019'!J7</f>
        <v>2169071.08</v>
      </c>
      <c r="K15" s="255">
        <f>'תקציב החברה לפיתוח 2019'!K7</f>
        <v>2169071.08</v>
      </c>
      <c r="L15" s="255">
        <f>'תקציב החברה לפיתוח 2019'!L7</f>
        <v>41381319.259999998</v>
      </c>
      <c r="M15" s="255">
        <f>'תקציב החברה לפיתוח 2019'!M7</f>
        <v>5500010.7400000021</v>
      </c>
      <c r="N15" s="255">
        <f>'תקציב החברה לפיתוח 2019'!N7</f>
        <v>14500000</v>
      </c>
      <c r="O15" s="255">
        <f>'תקציב החברה לפיתוח 2019'!O7</f>
        <v>11500000</v>
      </c>
      <c r="P15" s="255">
        <f>'תקציב החברה לפיתוח 2019'!P7</f>
        <v>10.740000002086163</v>
      </c>
      <c r="Q15" s="255">
        <f>'תקציב החברה לפיתוח 2019'!Q7</f>
        <v>5500000</v>
      </c>
      <c r="R15" s="255">
        <f>'תקציב החברה לפיתוח 2019'!R7</f>
        <v>0</v>
      </c>
      <c r="S15" s="255">
        <f>'תקציב החברה לפיתוח 2019'!S7</f>
        <v>5500000</v>
      </c>
      <c r="T15" s="255">
        <f>'תקציב החברה לפיתוח 2019'!T7</f>
        <v>0</v>
      </c>
      <c r="U15" s="255">
        <f>'תקציב החברה לפיתוח 2019'!U7</f>
        <v>14500000</v>
      </c>
      <c r="V15" s="255">
        <f>'תקציב החברה לפיתוח 2019'!V7</f>
        <v>14500000</v>
      </c>
      <c r="W15" s="255">
        <f>'תקציב החברה לפיתוח 2019'!W7</f>
        <v>0</v>
      </c>
      <c r="X15" s="255">
        <f>'תקציב החברה לפיתוח 2019'!X7</f>
        <v>0</v>
      </c>
      <c r="Y15" s="255">
        <f>'תקציב החברה לפיתוח 2019'!Y7</f>
        <v>0</v>
      </c>
      <c r="Z15" s="255">
        <f>'תקציב החברה לפיתוח 2019'!Z7</f>
        <v>0</v>
      </c>
      <c r="AA15" s="424" t="s">
        <v>1120</v>
      </c>
      <c r="AB15" s="254">
        <v>742000</v>
      </c>
      <c r="AC15" s="420"/>
      <c r="AD15" s="266"/>
      <c r="AE15" s="425"/>
      <c r="AF15" s="258"/>
      <c r="AG15" s="258"/>
      <c r="AH15" s="258"/>
      <c r="AI15" s="258"/>
      <c r="AJ15" s="416"/>
      <c r="AK15" s="416"/>
      <c r="AL15" s="416"/>
      <c r="AM15" s="258"/>
      <c r="AN15" s="258"/>
      <c r="AO15" s="258"/>
      <c r="AP15" s="258"/>
      <c r="AQ15" s="258"/>
    </row>
    <row r="16" spans="1:43" s="258" customFormat="1" ht="28">
      <c r="A16" s="254">
        <f t="shared" ref="A16:A45" si="2">A15+1</f>
        <v>9</v>
      </c>
      <c r="B16" s="254">
        <v>532</v>
      </c>
      <c r="C16" s="254" t="s">
        <v>128</v>
      </c>
      <c r="D16" s="255">
        <f>'תקציב החברה לפיתוח 2019'!D8</f>
        <v>80090000</v>
      </c>
      <c r="E16" s="255">
        <f>'תקציב החברה לפיתוח 2019'!E8</f>
        <v>80090000</v>
      </c>
      <c r="F16" s="255">
        <f>'תקציב החברה לפיתוח 2019'!F8</f>
        <v>0</v>
      </c>
      <c r="G16" s="255">
        <f>'תקציב החברה לפיתוח 2019'!G8</f>
        <v>75090000</v>
      </c>
      <c r="H16" s="255">
        <f>'תקציב החברה לפיתוח 2019'!H8</f>
        <v>67445015.310000002</v>
      </c>
      <c r="I16" s="255">
        <f>'תקציב החברה לפיתוח 2019'!I8</f>
        <v>0</v>
      </c>
      <c r="J16" s="255">
        <f>'תקציב החברה לפיתוח 2019'!J8</f>
        <v>3423266.65</v>
      </c>
      <c r="K16" s="255">
        <f>'תקציב החברה לפיתוח 2019'!K8</f>
        <v>3423266.65</v>
      </c>
      <c r="L16" s="255">
        <f>'תקציב החברה לפיתוח 2019'!L8</f>
        <v>70868281.960000008</v>
      </c>
      <c r="M16" s="255">
        <f>'תקציב החברה לפיתוח 2019'!M8</f>
        <v>9221718.0399999917</v>
      </c>
      <c r="N16" s="255">
        <f>'תקציב החברה לפיתוח 2019'!N8</f>
        <v>0</v>
      </c>
      <c r="O16" s="255">
        <f>'תקציב החברה לפיתוח 2019'!O8</f>
        <v>0</v>
      </c>
      <c r="P16" s="255">
        <f>'תקציב החברה לפיתוח 2019'!P8</f>
        <v>4221718.0399999917</v>
      </c>
      <c r="Q16" s="255">
        <f>'תקציב החברה לפיתוח 2019'!Q8</f>
        <v>5000000</v>
      </c>
      <c r="R16" s="255">
        <f>'תקציב החברה לפיתוח 2019'!R8</f>
        <v>0</v>
      </c>
      <c r="S16" s="255">
        <f>'תקציב החברה לפיתוח 2019'!S8</f>
        <v>5000000</v>
      </c>
      <c r="T16" s="255">
        <f>'תקציב החברה לפיתוח 2019'!T8</f>
        <v>0</v>
      </c>
      <c r="U16" s="255">
        <f>'תקציב החברה לפיתוח 2019'!U8</f>
        <v>0</v>
      </c>
      <c r="V16" s="255">
        <f>'תקציב החברה לפיתוח 2019'!V8</f>
        <v>0</v>
      </c>
      <c r="W16" s="255">
        <f>'תקציב החברה לפיתוח 2019'!W8</f>
        <v>0</v>
      </c>
      <c r="X16" s="255">
        <f>'תקציב החברה לפיתוח 2019'!X8</f>
        <v>0</v>
      </c>
      <c r="Y16" s="255">
        <f>'תקציב החברה לפיתוח 2019'!Y8</f>
        <v>0</v>
      </c>
      <c r="Z16" s="255">
        <f>'תקציב החברה לפיתוח 2019'!Z8</f>
        <v>0</v>
      </c>
      <c r="AA16" s="428" t="s">
        <v>1052</v>
      </c>
      <c r="AB16" s="254">
        <v>742000</v>
      </c>
      <c r="AC16" s="420"/>
      <c r="AD16" s="266"/>
      <c r="AE16" s="425"/>
      <c r="AG16" s="259"/>
      <c r="AH16" s="259"/>
      <c r="AI16" s="259"/>
      <c r="AJ16" s="416"/>
      <c r="AK16" s="416"/>
      <c r="AL16" s="416"/>
      <c r="AM16" s="259"/>
      <c r="AN16" s="259"/>
      <c r="AO16" s="259"/>
      <c r="AP16" s="259"/>
      <c r="AQ16" s="259"/>
    </row>
    <row r="17" spans="1:43" s="258" customFormat="1" ht="28">
      <c r="A17" s="254">
        <f t="shared" si="2"/>
        <v>10</v>
      </c>
      <c r="B17" s="254">
        <v>1067</v>
      </c>
      <c r="C17" s="254" t="s">
        <v>131</v>
      </c>
      <c r="D17" s="255">
        <f>'תקציב החברה לפיתוח 2019'!D11</f>
        <v>3725000</v>
      </c>
      <c r="E17" s="255">
        <f>'תקציב החברה לפיתוח 2019'!E11</f>
        <v>3725000</v>
      </c>
      <c r="F17" s="255">
        <f>'תקציב החברה לפיתוח 2019'!F11</f>
        <v>0</v>
      </c>
      <c r="G17" s="255">
        <f>'תקציב החברה לפיתוח 2019'!G11</f>
        <v>3575000</v>
      </c>
      <c r="H17" s="255">
        <f>'תקציב החברה לפיתוח 2019'!H11</f>
        <v>2510465.44</v>
      </c>
      <c r="I17" s="255">
        <f>'תקציב החברה לפיתוח 2019'!I11</f>
        <v>0</v>
      </c>
      <c r="J17" s="255">
        <f>'תקציב החברה לפיתוח 2019'!J11</f>
        <v>108849.76</v>
      </c>
      <c r="K17" s="255">
        <f>'תקציב החברה לפיתוח 2019'!K11</f>
        <v>108849.76</v>
      </c>
      <c r="L17" s="255">
        <f>'תקציב החברה לפיתוח 2019'!L11</f>
        <v>2619315.1999999997</v>
      </c>
      <c r="M17" s="255">
        <f>'תקציב החברה לפיתוח 2019'!M11</f>
        <v>1105684.8000000003</v>
      </c>
      <c r="N17" s="255">
        <f>'תקציב החברה לפיתוח 2019'!N11</f>
        <v>0</v>
      </c>
      <c r="O17" s="255">
        <f>'תקציב החברה לפיתוח 2019'!O11</f>
        <v>0</v>
      </c>
      <c r="P17" s="255">
        <f>'תקציב החברה לפיתוח 2019'!P11</f>
        <v>955684.80000000028</v>
      </c>
      <c r="Q17" s="255">
        <f>'תקציב החברה לפיתוח 2019'!Q11</f>
        <v>150000</v>
      </c>
      <c r="R17" s="255">
        <f>'תקציב החברה לפיתוח 2019'!R11</f>
        <v>0</v>
      </c>
      <c r="S17" s="255">
        <f>'תקציב החברה לפיתוח 2019'!S11</f>
        <v>150000</v>
      </c>
      <c r="T17" s="255">
        <f>'תקציב החברה לפיתוח 2019'!T11</f>
        <v>0</v>
      </c>
      <c r="U17" s="255">
        <f>'תקציב החברה לפיתוח 2019'!U11</f>
        <v>0</v>
      </c>
      <c r="V17" s="255">
        <f>'תקציב החברה לפיתוח 2019'!V11</f>
        <v>0</v>
      </c>
      <c r="W17" s="255">
        <f>'תקציב החברה לפיתוח 2019'!W11</f>
        <v>0</v>
      </c>
      <c r="X17" s="255">
        <f>'תקציב החברה לפיתוח 2019'!X11</f>
        <v>0</v>
      </c>
      <c r="Y17" s="255">
        <f>'תקציב החברה לפיתוח 2019'!Y11</f>
        <v>0</v>
      </c>
      <c r="Z17" s="255">
        <f>'תקציב החברה לפיתוח 2019'!Z11</f>
        <v>0</v>
      </c>
      <c r="AA17" s="428" t="s">
        <v>702</v>
      </c>
      <c r="AB17" s="254">
        <v>742000</v>
      </c>
      <c r="AC17" s="420"/>
      <c r="AD17" s="266"/>
      <c r="AE17" s="425"/>
      <c r="AJ17" s="416"/>
      <c r="AK17" s="416"/>
      <c r="AL17" s="416"/>
    </row>
    <row r="18" spans="1:43" s="258" customFormat="1" ht="28">
      <c r="A18" s="254">
        <f t="shared" si="2"/>
        <v>11</v>
      </c>
      <c r="B18" s="254">
        <v>1207</v>
      </c>
      <c r="C18" s="254" t="s">
        <v>132</v>
      </c>
      <c r="D18" s="255">
        <f>'תקציב החברה לפיתוח 2019'!D12</f>
        <v>50650000</v>
      </c>
      <c r="E18" s="255">
        <f>'תקציב החברה לפיתוח 2019'!E12</f>
        <v>50650000</v>
      </c>
      <c r="F18" s="255">
        <f>'תקציב החברה לפיתוח 2019'!F12</f>
        <v>0</v>
      </c>
      <c r="G18" s="255">
        <f>'תקציב החברה לפיתוח 2019'!G12</f>
        <v>21650000</v>
      </c>
      <c r="H18" s="255">
        <f>'תקציב החברה לפיתוח 2019'!H12</f>
        <v>18541918.899999999</v>
      </c>
      <c r="I18" s="255">
        <f>'תקציב החברה לפיתוח 2019'!I12</f>
        <v>0</v>
      </c>
      <c r="J18" s="255">
        <f>'תקציב החברה לפיתוח 2019'!J12</f>
        <v>3102404.99</v>
      </c>
      <c r="K18" s="255">
        <f>'תקציב החברה לפיתוח 2019'!K12</f>
        <v>3102404.99</v>
      </c>
      <c r="L18" s="255">
        <f>'תקציב החברה לפיתוח 2019'!L12</f>
        <v>21644323.890000001</v>
      </c>
      <c r="M18" s="255">
        <f>'תקציב החברה לפיתוח 2019'!M12</f>
        <v>14005676.109999999</v>
      </c>
      <c r="N18" s="255">
        <f>'תקציב החברה לפיתוח 2019'!N12</f>
        <v>5000000</v>
      </c>
      <c r="O18" s="255">
        <f>'תקציב החברה לפיתוח 2019'!O12</f>
        <v>10000000</v>
      </c>
      <c r="P18" s="255">
        <f>'תקציב החברה לפיתוח 2019'!P12</f>
        <v>5676.109999999404</v>
      </c>
      <c r="Q18" s="255">
        <f>'תקציב החברה לפיתוח 2019'!Q12</f>
        <v>14000000</v>
      </c>
      <c r="R18" s="255">
        <f>'תקציב החברה לפיתוח 2019'!R12</f>
        <v>0</v>
      </c>
      <c r="S18" s="255">
        <f>'תקציב החברה לפיתוח 2019'!S12</f>
        <v>14000000</v>
      </c>
      <c r="T18" s="255">
        <f>'תקציב החברה לפיתוח 2019'!T12</f>
        <v>0</v>
      </c>
      <c r="U18" s="255">
        <f>'תקציב החברה לפיתוח 2019'!U12</f>
        <v>5000000</v>
      </c>
      <c r="V18" s="255">
        <f>'תקציב החברה לפיתוח 2019'!V12</f>
        <v>5000000</v>
      </c>
      <c r="W18" s="255">
        <f>'תקציב החברה לפיתוח 2019'!W12</f>
        <v>0</v>
      </c>
      <c r="X18" s="255">
        <f>'תקציב החברה לפיתוח 2019'!X12</f>
        <v>0</v>
      </c>
      <c r="Y18" s="255">
        <f>'תקציב החברה לפיתוח 2019'!Y12</f>
        <v>0</v>
      </c>
      <c r="Z18" s="255">
        <f>'תקציב החברה לפיתוח 2019'!Z12</f>
        <v>0</v>
      </c>
      <c r="AA18" s="428" t="s">
        <v>1255</v>
      </c>
      <c r="AB18" s="254">
        <v>742000</v>
      </c>
      <c r="AC18" s="420"/>
      <c r="AD18" s="266"/>
      <c r="AE18" s="425"/>
      <c r="AG18" s="259"/>
      <c r="AH18" s="259"/>
      <c r="AI18" s="259"/>
      <c r="AJ18" s="416"/>
      <c r="AK18" s="416"/>
      <c r="AL18" s="416"/>
      <c r="AM18" s="259"/>
      <c r="AN18" s="259"/>
      <c r="AO18" s="259"/>
      <c r="AP18" s="259"/>
      <c r="AQ18" s="259"/>
    </row>
    <row r="19" spans="1:43" s="258" customFormat="1">
      <c r="A19" s="254">
        <f t="shared" si="2"/>
        <v>12</v>
      </c>
      <c r="B19" s="254">
        <v>1238</v>
      </c>
      <c r="C19" s="254" t="s">
        <v>133</v>
      </c>
      <c r="D19" s="255">
        <f>'תקציב החברה לפיתוח 2019'!D13</f>
        <v>32940000</v>
      </c>
      <c r="E19" s="255">
        <f>'תקציב החברה לפיתוח 2019'!E13</f>
        <v>32940000</v>
      </c>
      <c r="F19" s="255">
        <f>'תקציב החברה לפיתוח 2019'!F13</f>
        <v>0</v>
      </c>
      <c r="G19" s="255">
        <f>'תקציב החברה לפיתוח 2019'!G13</f>
        <v>26440000</v>
      </c>
      <c r="H19" s="255">
        <f>'תקציב החברה לפיתוח 2019'!H13</f>
        <v>25492352.199999999</v>
      </c>
      <c r="I19" s="255">
        <f>'תקציב החברה לפיתוח 2019'!I13</f>
        <v>0</v>
      </c>
      <c r="J19" s="255">
        <f>'תקציב החברה לפיתוח 2019'!J13</f>
        <v>802970.7</v>
      </c>
      <c r="K19" s="255">
        <f>'תקציב החברה לפיתוח 2019'!K13</f>
        <v>802970.7</v>
      </c>
      <c r="L19" s="255">
        <f>'תקציב החברה לפיתוח 2019'!L13</f>
        <v>26295322.899999999</v>
      </c>
      <c r="M19" s="255">
        <f>'תקציב החברה לפיתוח 2019'!M13</f>
        <v>144677.10000000149</v>
      </c>
      <c r="N19" s="255">
        <f>'תקציב החברה לפיתוח 2019'!N13</f>
        <v>0</v>
      </c>
      <c r="O19" s="255">
        <f>'תקציב החברה לפיתוח 2019'!O13</f>
        <v>6500000</v>
      </c>
      <c r="P19" s="255">
        <f>'תקציב החברה לפיתוח 2019'!P13</f>
        <v>144677.10000000149</v>
      </c>
      <c r="Q19" s="255">
        <f>'תקציב החברה לפיתוח 2019'!Q13</f>
        <v>0</v>
      </c>
      <c r="R19" s="255">
        <f>'תקציב החברה לפיתוח 2019'!R13</f>
        <v>0</v>
      </c>
      <c r="S19" s="255">
        <f>'תקציב החברה לפיתוח 2019'!S13</f>
        <v>0</v>
      </c>
      <c r="T19" s="255">
        <f>'תקציב החברה לפיתוח 2019'!T13</f>
        <v>0</v>
      </c>
      <c r="U19" s="255">
        <f>'תקציב החברה לפיתוח 2019'!U13</f>
        <v>0</v>
      </c>
      <c r="V19" s="255">
        <f>'תקציב החברה לפיתוח 2019'!V13</f>
        <v>0</v>
      </c>
      <c r="W19" s="255">
        <f>'תקציב החברה לפיתוח 2019'!W13</f>
        <v>0</v>
      </c>
      <c r="X19" s="255">
        <f>'תקציב החברה לפיתוח 2019'!X13</f>
        <v>0</v>
      </c>
      <c r="Y19" s="255">
        <f>'תקציב החברה לפיתוח 2019'!Y13</f>
        <v>0</v>
      </c>
      <c r="Z19" s="255">
        <f>'תקציב החברה לפיתוח 2019'!Z13</f>
        <v>0</v>
      </c>
      <c r="AA19" s="254"/>
      <c r="AB19" s="254">
        <v>742000</v>
      </c>
      <c r="AC19" s="420"/>
      <c r="AD19" s="266"/>
      <c r="AE19" s="425"/>
      <c r="AG19" s="259"/>
      <c r="AH19" s="259"/>
      <c r="AI19" s="259"/>
      <c r="AJ19" s="416"/>
      <c r="AK19" s="416"/>
      <c r="AL19" s="416"/>
      <c r="AM19" s="259"/>
      <c r="AN19" s="259"/>
      <c r="AO19" s="259"/>
      <c r="AP19" s="259"/>
      <c r="AQ19" s="259"/>
    </row>
    <row r="20" spans="1:43" s="258" customFormat="1" ht="28">
      <c r="A20" s="254">
        <f t="shared" si="2"/>
        <v>13</v>
      </c>
      <c r="B20" s="254">
        <v>1298</v>
      </c>
      <c r="C20" s="254" t="s">
        <v>40</v>
      </c>
      <c r="D20" s="255">
        <f>'תקציב החברה לפיתוח 2019'!D14</f>
        <v>4600000</v>
      </c>
      <c r="E20" s="255">
        <f>'תקציב החברה לפיתוח 2019'!E14</f>
        <v>4100000</v>
      </c>
      <c r="F20" s="255">
        <f>'תקציב החברה לפיתוח 2019'!F14</f>
        <v>500000</v>
      </c>
      <c r="G20" s="255">
        <f>'תקציב החברה לפיתוח 2019'!G14</f>
        <v>3800000</v>
      </c>
      <c r="H20" s="255">
        <f>'תקציב החברה לפיתוח 2019'!H14</f>
        <v>3447721.87</v>
      </c>
      <c r="I20" s="255">
        <f>'תקציב החברה לפיתוח 2019'!I14</f>
        <v>0</v>
      </c>
      <c r="J20" s="255">
        <f>'תקציב החברה לפיתוח 2019'!J14</f>
        <v>152279.51</v>
      </c>
      <c r="K20" s="255">
        <f>'תקציב החברה לפיתוח 2019'!K14</f>
        <v>152279.51</v>
      </c>
      <c r="L20" s="255">
        <f>'תקציב החברה לפיתוח 2019'!L14</f>
        <v>3600001.38</v>
      </c>
      <c r="M20" s="255">
        <f>'תקציב החברה לפיתוח 2019'!M14</f>
        <v>499998.62000000011</v>
      </c>
      <c r="N20" s="255">
        <f>'תקציב החברה לפיתוח 2019'!N14</f>
        <v>500000</v>
      </c>
      <c r="O20" s="255">
        <f>'תקציב החברה לפיתוח 2019'!O14</f>
        <v>0</v>
      </c>
      <c r="P20" s="255">
        <f>'תקציב החברה לפיתוח 2019'!P14</f>
        <v>199998.62000000011</v>
      </c>
      <c r="Q20" s="255">
        <f>'תקציב החברה לפיתוח 2019'!Q14</f>
        <v>300000</v>
      </c>
      <c r="R20" s="255">
        <f>'תקציב החברה לפיתוח 2019'!R14</f>
        <v>0</v>
      </c>
      <c r="S20" s="255">
        <f>'תקציב החברה לפיתוח 2019'!S14</f>
        <v>300000</v>
      </c>
      <c r="T20" s="255">
        <f>'תקציב החברה לפיתוח 2019'!T14</f>
        <v>0</v>
      </c>
      <c r="U20" s="255">
        <f>'תקציב החברה לפיתוח 2019'!U14</f>
        <v>500000</v>
      </c>
      <c r="V20" s="255">
        <f>'תקציב החברה לפיתוח 2019'!V14</f>
        <v>500000</v>
      </c>
      <c r="W20" s="255">
        <f>'תקציב החברה לפיתוח 2019'!W14</f>
        <v>0</v>
      </c>
      <c r="X20" s="255">
        <f>'תקציב החברה לפיתוח 2019'!X14</f>
        <v>0</v>
      </c>
      <c r="Y20" s="255">
        <f>'תקציב החברה לפיתוח 2019'!Y14</f>
        <v>0</v>
      </c>
      <c r="Z20" s="255">
        <f>'תקציב החברה לפיתוח 2019'!Z14</f>
        <v>0</v>
      </c>
      <c r="AA20" s="428" t="s">
        <v>703</v>
      </c>
      <c r="AB20" s="254">
        <v>742000</v>
      </c>
      <c r="AC20" s="420"/>
      <c r="AD20" s="266"/>
      <c r="AE20" s="425"/>
      <c r="AG20" s="259"/>
      <c r="AH20" s="259"/>
      <c r="AI20" s="259"/>
      <c r="AJ20" s="416"/>
      <c r="AK20" s="416"/>
      <c r="AL20" s="416"/>
      <c r="AM20" s="259"/>
      <c r="AN20" s="259"/>
      <c r="AO20" s="259"/>
      <c r="AP20" s="259"/>
      <c r="AQ20" s="259"/>
    </row>
    <row r="21" spans="1:43" s="258" customFormat="1" ht="70">
      <c r="A21" s="254">
        <f t="shared" si="2"/>
        <v>14</v>
      </c>
      <c r="B21" s="254">
        <v>1446</v>
      </c>
      <c r="C21" s="254" t="s">
        <v>321</v>
      </c>
      <c r="D21" s="255">
        <f>'תקציב החברה לפיתוח 2019'!D20</f>
        <v>14250000</v>
      </c>
      <c r="E21" s="255">
        <f>'תקציב החברה לפיתוח 2019'!E20</f>
        <v>14250000</v>
      </c>
      <c r="F21" s="255">
        <f>'תקציב החברה לפיתוח 2019'!F20</f>
        <v>0</v>
      </c>
      <c r="G21" s="255">
        <f>'תקציב החברה לפיתוח 2019'!G20</f>
        <v>5000000</v>
      </c>
      <c r="H21" s="255">
        <f>'תקציב החברה לפיתוח 2019'!H20</f>
        <v>2780916.5</v>
      </c>
      <c r="I21" s="255">
        <f>'תקציב החברה לפיתוח 2019'!I20</f>
        <v>1.1599999999999999</v>
      </c>
      <c r="J21" s="255">
        <f>'תקציב החברה לפיתוח 2019'!J20</f>
        <v>2118058</v>
      </c>
      <c r="K21" s="255">
        <f>'תקציב החברה לפיתוח 2019'!K20</f>
        <v>2118059.16</v>
      </c>
      <c r="L21" s="255">
        <f>'תקציב החברה לפיתוח 2019'!L20</f>
        <v>4898975.66</v>
      </c>
      <c r="M21" s="255">
        <f>'תקציב החברה לפיתוח 2019'!M20</f>
        <v>3101024.34</v>
      </c>
      <c r="N21" s="255">
        <f>'תקציב החברה לפיתוח 2019'!N20</f>
        <v>6250000</v>
      </c>
      <c r="O21" s="255">
        <f>'תקציב החברה לפיתוח 2019'!O20</f>
        <v>0</v>
      </c>
      <c r="P21" s="255">
        <f>'תקציב החברה לפיתוח 2019'!P20</f>
        <v>101024.33999999985</v>
      </c>
      <c r="Q21" s="255">
        <f>'תקציב החברה לפיתוח 2019'!Q20</f>
        <v>3000000</v>
      </c>
      <c r="R21" s="255">
        <f>'תקציב החברה לפיתוח 2019'!R20</f>
        <v>0</v>
      </c>
      <c r="S21" s="255">
        <f>'תקציב החברה לפיתוח 2019'!S20</f>
        <v>3000000</v>
      </c>
      <c r="T21" s="255">
        <f>'תקציב החברה לפיתוח 2019'!T20</f>
        <v>0</v>
      </c>
      <c r="U21" s="255">
        <f>'תקציב החברה לפיתוח 2019'!U20</f>
        <v>6250000</v>
      </c>
      <c r="V21" s="255">
        <f>'תקציב החברה לפיתוח 2019'!V20</f>
        <v>6250000</v>
      </c>
      <c r="W21" s="255">
        <f>'תקציב החברה לפיתוח 2019'!W20</f>
        <v>0</v>
      </c>
      <c r="X21" s="255">
        <f>'תקציב החברה לפיתוח 2019'!X20</f>
        <v>0</v>
      </c>
      <c r="Y21" s="255">
        <f>'תקציב החברה לפיתוח 2019'!Y20</f>
        <v>0</v>
      </c>
      <c r="Z21" s="255">
        <f>'תקציב החברה לפיתוח 2019'!Z20</f>
        <v>0</v>
      </c>
      <c r="AA21" s="428" t="s">
        <v>1058</v>
      </c>
      <c r="AB21" s="254">
        <v>742000</v>
      </c>
      <c r="AC21" s="420"/>
      <c r="AD21" s="266"/>
      <c r="AE21" s="425"/>
      <c r="AJ21" s="416"/>
      <c r="AK21" s="416"/>
      <c r="AL21" s="416"/>
    </row>
    <row r="22" spans="1:43" s="258" customFormat="1" ht="28">
      <c r="A22" s="254">
        <f t="shared" si="2"/>
        <v>15</v>
      </c>
      <c r="B22" s="254">
        <v>1455</v>
      </c>
      <c r="C22" s="254" t="s">
        <v>45</v>
      </c>
      <c r="D22" s="255">
        <f>'תקציב החברה לפיתוח 2019'!D21</f>
        <v>4500000</v>
      </c>
      <c r="E22" s="255">
        <f>'תקציב החברה לפיתוח 2019'!E21</f>
        <v>4500000</v>
      </c>
      <c r="F22" s="255">
        <f>'תקציב החברה לפיתוח 2019'!F21</f>
        <v>0</v>
      </c>
      <c r="G22" s="255">
        <f>'תקציב החברה לפיתוח 2019'!G21</f>
        <v>4500000</v>
      </c>
      <c r="H22" s="255">
        <f>'תקציב החברה לפיתוח 2019'!H21</f>
        <v>1029179.7</v>
      </c>
      <c r="I22" s="255">
        <f>'תקציב החברה לפיתוח 2019'!I21</f>
        <v>0</v>
      </c>
      <c r="J22" s="255">
        <f>'תקציב החברה לפיתוח 2019'!J21</f>
        <v>3323385.7</v>
      </c>
      <c r="K22" s="255">
        <f>'תקציב החברה לפיתוח 2019'!K21</f>
        <v>3323385.7</v>
      </c>
      <c r="L22" s="255">
        <f>'תקציב החברה לפיתוח 2019'!L21</f>
        <v>4352565.4000000004</v>
      </c>
      <c r="M22" s="255">
        <f>'תקציב החברה לפיתוח 2019'!M21</f>
        <v>147434.59999999963</v>
      </c>
      <c r="N22" s="255">
        <f>'תקציב החברה לפיתוח 2019'!N21</f>
        <v>0</v>
      </c>
      <c r="O22" s="255">
        <f>'תקציב החברה לפיתוח 2019'!O21</f>
        <v>0</v>
      </c>
      <c r="P22" s="255">
        <f>'תקציב החברה לפיתוח 2019'!P21</f>
        <v>147434.59999999963</v>
      </c>
      <c r="Q22" s="255">
        <f>'תקציב החברה לפיתוח 2019'!Q21</f>
        <v>0</v>
      </c>
      <c r="R22" s="255">
        <f>'תקציב החברה לפיתוח 2019'!R21</f>
        <v>0</v>
      </c>
      <c r="S22" s="255">
        <f>'תקציב החברה לפיתוח 2019'!S21</f>
        <v>0</v>
      </c>
      <c r="T22" s="255">
        <f>'תקציב החברה לפיתוח 2019'!T21</f>
        <v>0</v>
      </c>
      <c r="U22" s="255">
        <f>'תקציב החברה לפיתוח 2019'!U21</f>
        <v>0</v>
      </c>
      <c r="V22" s="255">
        <f>'תקציב החברה לפיתוח 2019'!V21</f>
        <v>0</v>
      </c>
      <c r="W22" s="255">
        <f>'תקציב החברה לפיתוח 2019'!W21</f>
        <v>0</v>
      </c>
      <c r="X22" s="255">
        <f>'תקציב החברה לפיתוח 2019'!X21</f>
        <v>0</v>
      </c>
      <c r="Y22" s="255">
        <f>'תקציב החברה לפיתוח 2019'!Y21</f>
        <v>0</v>
      </c>
      <c r="Z22" s="255">
        <f>'תקציב החברה לפיתוח 2019'!Z21</f>
        <v>0</v>
      </c>
      <c r="AA22" s="428"/>
      <c r="AB22" s="254">
        <v>742000</v>
      </c>
      <c r="AC22" s="420"/>
      <c r="AD22" s="266"/>
      <c r="AE22" s="425"/>
      <c r="AJ22" s="416"/>
      <c r="AK22" s="416"/>
      <c r="AL22" s="416"/>
    </row>
    <row r="23" spans="1:43" s="258" customFormat="1" ht="28">
      <c r="A23" s="254">
        <f t="shared" si="2"/>
        <v>16</v>
      </c>
      <c r="B23" s="254">
        <v>1462</v>
      </c>
      <c r="C23" s="254" t="s">
        <v>705</v>
      </c>
      <c r="D23" s="255">
        <f>'תקציב החברה לפיתוח 2019'!D22</f>
        <v>7500000</v>
      </c>
      <c r="E23" s="255">
        <f>'תקציב החברה לפיתוח 2019'!E22</f>
        <v>7500000</v>
      </c>
      <c r="F23" s="255">
        <f>'תקציב החברה לפיתוח 2019'!F22</f>
        <v>0</v>
      </c>
      <c r="G23" s="255">
        <f>'תקציב החברה לפיתוח 2019'!G22</f>
        <v>4600000</v>
      </c>
      <c r="H23" s="255">
        <f>'תקציב החברה לפיתוח 2019'!H22</f>
        <v>2520514</v>
      </c>
      <c r="I23" s="255">
        <f>'תקציב החברה לפיתוח 2019'!I22</f>
        <v>0</v>
      </c>
      <c r="J23" s="255">
        <f>'תקציב החברה לפיתוח 2019'!J22</f>
        <v>1858217</v>
      </c>
      <c r="K23" s="255">
        <f>'תקציב החברה לפיתוח 2019'!K22</f>
        <v>1858217</v>
      </c>
      <c r="L23" s="255">
        <f>'תקציב החברה לפיתוח 2019'!L22</f>
        <v>4378731</v>
      </c>
      <c r="M23" s="255">
        <f>'תקציב החברה לפיתוח 2019'!M22</f>
        <v>3121269</v>
      </c>
      <c r="N23" s="255">
        <f>'תקציב החברה לפיתוח 2019'!N22</f>
        <v>0</v>
      </c>
      <c r="O23" s="255">
        <f>'תקציב החברה לפיתוח 2019'!O22</f>
        <v>0</v>
      </c>
      <c r="P23" s="255">
        <f>'תקציב החברה לפיתוח 2019'!P22</f>
        <v>221269</v>
      </c>
      <c r="Q23" s="255">
        <f>'תקציב החברה לפיתוח 2019'!Q22</f>
        <v>2900000</v>
      </c>
      <c r="R23" s="255">
        <f>'תקציב החברה לפיתוח 2019'!R22</f>
        <v>0</v>
      </c>
      <c r="S23" s="255">
        <f>'תקציב החברה לפיתוח 2019'!S22</f>
        <v>2900000</v>
      </c>
      <c r="T23" s="255">
        <f>'תקציב החברה לפיתוח 2019'!T22</f>
        <v>0</v>
      </c>
      <c r="U23" s="255">
        <f>'תקציב החברה לפיתוח 2019'!U22</f>
        <v>0</v>
      </c>
      <c r="V23" s="255">
        <f>'תקציב החברה לפיתוח 2019'!V22</f>
        <v>0</v>
      </c>
      <c r="W23" s="255">
        <f>'תקציב החברה לפיתוח 2019'!W22</f>
        <v>0</v>
      </c>
      <c r="X23" s="255">
        <f>'תקציב החברה לפיתוח 2019'!X22</f>
        <v>0</v>
      </c>
      <c r="Y23" s="255">
        <f>'תקציב החברה לפיתוח 2019'!Y22</f>
        <v>0</v>
      </c>
      <c r="Z23" s="255">
        <f>'תקציב החברה לפיתוח 2019'!Z22</f>
        <v>0</v>
      </c>
      <c r="AA23" s="254"/>
      <c r="AB23" s="254">
        <v>742000</v>
      </c>
      <c r="AC23" s="420"/>
      <c r="AD23" s="266"/>
      <c r="AE23" s="425"/>
      <c r="AJ23" s="416"/>
      <c r="AK23" s="416"/>
      <c r="AL23" s="416"/>
    </row>
    <row r="24" spans="1:43" s="258" customFormat="1">
      <c r="A24" s="254">
        <f t="shared" si="2"/>
        <v>17</v>
      </c>
      <c r="B24" s="254">
        <v>1539</v>
      </c>
      <c r="C24" s="254" t="s">
        <v>47</v>
      </c>
      <c r="D24" s="255">
        <f>'תקציב החברה לפיתוח 2019'!D23</f>
        <v>16300000</v>
      </c>
      <c r="E24" s="255">
        <f>'תקציב החברה לפיתוח 2019'!E23</f>
        <v>16300000</v>
      </c>
      <c r="F24" s="255">
        <f>'תקציב החברה לפיתוח 2019'!F23</f>
        <v>0</v>
      </c>
      <c r="G24" s="255">
        <f>'תקציב החברה לפיתוח 2019'!G23</f>
        <v>11240068</v>
      </c>
      <c r="H24" s="255">
        <f>'תקציב החברה לפיתוח 2019'!H23</f>
        <v>4351428</v>
      </c>
      <c r="I24" s="255">
        <f>'תקציב החברה לפיתוח 2019'!I23</f>
        <v>54264.4</v>
      </c>
      <c r="J24" s="255">
        <f>'תקציב החברה לפיתוח 2019'!J23</f>
        <v>4279760</v>
      </c>
      <c r="K24" s="255">
        <f>'תקציב החברה לפיתוח 2019'!K23</f>
        <v>4334024.4000000004</v>
      </c>
      <c r="L24" s="255">
        <f>'תקציב החברה לפיתוח 2019'!L23</f>
        <v>8685452.4000000004</v>
      </c>
      <c r="M24" s="255">
        <f>'תקציב החברה לפיתוח 2019'!M23</f>
        <v>7614547.5999999996</v>
      </c>
      <c r="N24" s="255">
        <f>'תקציב החברה לפיתוח 2019'!N23</f>
        <v>0</v>
      </c>
      <c r="O24" s="255">
        <f>'תקציב החברה לפיתוח 2019'!O23</f>
        <v>0</v>
      </c>
      <c r="P24" s="255">
        <f>'תקציב החברה לפיתוח 2019'!P23</f>
        <v>2554615.5999999996</v>
      </c>
      <c r="Q24" s="255">
        <f>'תקציב החברה לפיתוח 2019'!Q23</f>
        <v>5059932</v>
      </c>
      <c r="R24" s="255">
        <f>'תקציב החברה לפיתוח 2019'!R23</f>
        <v>0</v>
      </c>
      <c r="S24" s="255">
        <f>'תקציב החברה לפיתוח 2019'!S23</f>
        <v>5059932</v>
      </c>
      <c r="T24" s="255">
        <f>'תקציב החברה לפיתוח 2019'!T23</f>
        <v>0</v>
      </c>
      <c r="U24" s="255">
        <f>'תקציב החברה לפיתוח 2019'!U23</f>
        <v>0</v>
      </c>
      <c r="V24" s="255">
        <f>'תקציב החברה לפיתוח 2019'!V23</f>
        <v>0</v>
      </c>
      <c r="W24" s="255">
        <f>'תקציב החברה לפיתוח 2019'!W23</f>
        <v>0</v>
      </c>
      <c r="X24" s="255">
        <f>'תקציב החברה לפיתוח 2019'!X23</f>
        <v>0</v>
      </c>
      <c r="Y24" s="255">
        <f>'תקציב החברה לפיתוח 2019'!Y23</f>
        <v>0</v>
      </c>
      <c r="Z24" s="255">
        <f>'תקציב החברה לפיתוח 2019'!Z23</f>
        <v>0</v>
      </c>
      <c r="AA24" s="428"/>
      <c r="AB24" s="254">
        <v>742000</v>
      </c>
      <c r="AC24" s="420"/>
      <c r="AD24" s="266"/>
      <c r="AE24" s="425"/>
      <c r="AJ24" s="416"/>
      <c r="AK24" s="416"/>
      <c r="AL24" s="416"/>
    </row>
    <row r="25" spans="1:43" s="258" customFormat="1" ht="42">
      <c r="A25" s="254">
        <f t="shared" si="2"/>
        <v>18</v>
      </c>
      <c r="B25" s="254">
        <v>1588</v>
      </c>
      <c r="C25" s="254" t="s">
        <v>31</v>
      </c>
      <c r="D25" s="255">
        <f>'תקציב החברה לפיתוח 2019'!D24</f>
        <v>50500000</v>
      </c>
      <c r="E25" s="255">
        <f>'תקציב החברה לפיתוח 2019'!E24</f>
        <v>50500000</v>
      </c>
      <c r="F25" s="255">
        <f>'תקציב החברה לפיתוח 2019'!F24</f>
        <v>0</v>
      </c>
      <c r="G25" s="255">
        <f>'תקציב החברה לפיתוח 2019'!G24</f>
        <v>20500000</v>
      </c>
      <c r="H25" s="255">
        <f>'תקציב החברה לפיתוח 2019'!H24</f>
        <v>14968892</v>
      </c>
      <c r="I25" s="255">
        <f>'תקציב החברה לפיתוח 2019'!I24</f>
        <v>682147.41</v>
      </c>
      <c r="J25" s="255">
        <f>'תקציב החברה לפיתוח 2019'!J24</f>
        <v>3348957</v>
      </c>
      <c r="K25" s="255">
        <f>'תקציב החברה לפיתוח 2019'!K24</f>
        <v>4031104.41</v>
      </c>
      <c r="L25" s="255">
        <f>'תקציב החברה לפיתוח 2019'!L24</f>
        <v>18999996.41</v>
      </c>
      <c r="M25" s="255">
        <f>'תקציב החברה לפיתוח 2019'!M24</f>
        <v>5500003.5899999999</v>
      </c>
      <c r="N25" s="255">
        <f>'תקציב החברה לפיתוח 2019'!N24</f>
        <v>26000000</v>
      </c>
      <c r="O25" s="255">
        <f>'תקציב החברה לפיתוח 2019'!O24</f>
        <v>0</v>
      </c>
      <c r="P25" s="255">
        <f>'תקציב החברה לפיתוח 2019'!P24</f>
        <v>1500003.5899999999</v>
      </c>
      <c r="Q25" s="255">
        <f>'תקציב החברה לפיתוח 2019'!Q24</f>
        <v>0</v>
      </c>
      <c r="R25" s="255">
        <f>'תקציב החברה לפיתוח 2019'!R24</f>
        <v>4000000</v>
      </c>
      <c r="S25" s="255">
        <f>'תקציב החברה לפיתוח 2019'!S24</f>
        <v>4000000</v>
      </c>
      <c r="T25" s="255">
        <f>'תקציב החברה לפיתוח 2019'!T24</f>
        <v>0</v>
      </c>
      <c r="U25" s="255">
        <f>'תקציב החברה לפיתוח 2019'!U24</f>
        <v>26000000</v>
      </c>
      <c r="V25" s="255">
        <f>'תקציב החברה לפיתוח 2019'!V24</f>
        <v>26000000</v>
      </c>
      <c r="W25" s="255">
        <f>'תקציב החברה לפיתוח 2019'!W24</f>
        <v>0</v>
      </c>
      <c r="X25" s="255">
        <f>'תקציב החברה לפיתוח 2019'!X24</f>
        <v>0</v>
      </c>
      <c r="Y25" s="255">
        <f>'תקציב החברה לפיתוח 2019'!Y24</f>
        <v>0</v>
      </c>
      <c r="Z25" s="255">
        <f>'תקציב החברה לפיתוח 2019'!Z24</f>
        <v>0</v>
      </c>
      <c r="AA25" s="254" t="s">
        <v>1059</v>
      </c>
      <c r="AB25" s="254">
        <v>742000</v>
      </c>
      <c r="AC25" s="420"/>
      <c r="AD25" s="266"/>
      <c r="AE25" s="425"/>
      <c r="AJ25" s="416"/>
      <c r="AK25" s="416"/>
      <c r="AL25" s="416"/>
    </row>
    <row r="26" spans="1:43" s="258" customFormat="1" ht="28">
      <c r="A26" s="254">
        <f t="shared" si="2"/>
        <v>19</v>
      </c>
      <c r="B26" s="254">
        <v>1614</v>
      </c>
      <c r="C26" s="254" t="s">
        <v>706</v>
      </c>
      <c r="D26" s="255">
        <f>'תקציב החברה לפיתוח 2019'!D25</f>
        <v>7200000</v>
      </c>
      <c r="E26" s="255">
        <f>'תקציב החברה לפיתוח 2019'!E25</f>
        <v>7200000</v>
      </c>
      <c r="F26" s="255">
        <f>'תקציב החברה לפיתוח 2019'!F25</f>
        <v>0</v>
      </c>
      <c r="G26" s="255">
        <f>'תקציב החברה לפיתוח 2019'!G25</f>
        <v>500000</v>
      </c>
      <c r="H26" s="255">
        <f>'תקציב החברה לפיתוח 2019'!H25</f>
        <v>376009</v>
      </c>
      <c r="I26" s="255">
        <f>'תקציב החברה לפיתוח 2019'!I25</f>
        <v>4790.92</v>
      </c>
      <c r="J26" s="255">
        <f>'תקציב החברה לפיתוח 2019'!J25</f>
        <v>9452.2900000000009</v>
      </c>
      <c r="K26" s="255">
        <f>'תקציב החברה לפיתוח 2019'!K25</f>
        <v>14243.210000000001</v>
      </c>
      <c r="L26" s="255">
        <f>'תקציב החברה לפיתוח 2019'!L25</f>
        <v>390252.21</v>
      </c>
      <c r="M26" s="255">
        <f>'תקציב החברה לפיתוח 2019'!M25</f>
        <v>5809747.79</v>
      </c>
      <c r="N26" s="255">
        <f>'תקציב החברה לפיתוח 2019'!N25</f>
        <v>1000000</v>
      </c>
      <c r="O26" s="255">
        <f>'תקציב החברה לפיתוח 2019'!O25</f>
        <v>0</v>
      </c>
      <c r="P26" s="255">
        <f>'תקציב החברה לפיתוח 2019'!P25</f>
        <v>109747.78999999998</v>
      </c>
      <c r="Q26" s="255">
        <f>'תקציב החברה לפיתוח 2019'!Q25</f>
        <v>5700000</v>
      </c>
      <c r="R26" s="255">
        <f>'תקציב החברה לפיתוח 2019'!R25</f>
        <v>0</v>
      </c>
      <c r="S26" s="255">
        <f>'תקציב החברה לפיתוח 2019'!S25</f>
        <v>5700000</v>
      </c>
      <c r="T26" s="255">
        <f>'תקציב החברה לפיתוח 2019'!T25</f>
        <v>0</v>
      </c>
      <c r="U26" s="255">
        <f>'תקציב החברה לפיתוח 2019'!U25</f>
        <v>1000000</v>
      </c>
      <c r="V26" s="255">
        <f>'תקציב החברה לפיתוח 2019'!V25</f>
        <v>1000000</v>
      </c>
      <c r="W26" s="255">
        <f>'תקציב החברה לפיתוח 2019'!W25</f>
        <v>0</v>
      </c>
      <c r="X26" s="255">
        <f>'תקציב החברה לפיתוח 2019'!X25</f>
        <v>0</v>
      </c>
      <c r="Y26" s="255">
        <f>'תקציב החברה לפיתוח 2019'!Y25</f>
        <v>0</v>
      </c>
      <c r="Z26" s="255">
        <f>'תקציב החברה לפיתוח 2019'!Z25</f>
        <v>0</v>
      </c>
      <c r="AA26" s="254" t="s">
        <v>1060</v>
      </c>
      <c r="AB26" s="254">
        <v>742000</v>
      </c>
      <c r="AC26" s="420"/>
      <c r="AD26" s="266"/>
      <c r="AE26" s="425"/>
      <c r="AJ26" s="416"/>
      <c r="AK26" s="416"/>
      <c r="AL26" s="416"/>
    </row>
    <row r="27" spans="1:43" s="258" customFormat="1" ht="42">
      <c r="A27" s="254">
        <f t="shared" si="2"/>
        <v>20</v>
      </c>
      <c r="B27" s="254">
        <v>1615</v>
      </c>
      <c r="C27" s="254" t="s">
        <v>200</v>
      </c>
      <c r="D27" s="255">
        <f>'תקציב החברה לפיתוח 2019'!D26</f>
        <v>27700000</v>
      </c>
      <c r="E27" s="255">
        <f>'תקציב החברה לפיתוח 2019'!E26</f>
        <v>27700000</v>
      </c>
      <c r="F27" s="255">
        <f>'תקציב החברה לפיתוח 2019'!F26</f>
        <v>0</v>
      </c>
      <c r="G27" s="255">
        <f>'תקציב החברה לפיתוח 2019'!G26</f>
        <v>13200000</v>
      </c>
      <c r="H27" s="255">
        <f>'תקציב החברה לפיתוח 2019'!H26</f>
        <v>8108780</v>
      </c>
      <c r="I27" s="255">
        <f>'תקציב החברה לפיתוח 2019'!I26</f>
        <v>0</v>
      </c>
      <c r="J27" s="255">
        <f>'תקציב החברה לפיתוח 2019'!J26</f>
        <v>4500965</v>
      </c>
      <c r="K27" s="255">
        <f>'תקציב החברה לפיתוח 2019'!K26</f>
        <v>4500965</v>
      </c>
      <c r="L27" s="255">
        <f>'תקציב החברה לפיתוח 2019'!L26</f>
        <v>12609745</v>
      </c>
      <c r="M27" s="255">
        <f>'תקציב החברה לפיתוח 2019'!M26</f>
        <v>7590255</v>
      </c>
      <c r="N27" s="255">
        <f>'תקציב החברה לפיתוח 2019'!N26</f>
        <v>7500000</v>
      </c>
      <c r="O27" s="255">
        <f>'תקציב החברה לפיתוח 2019'!O26</f>
        <v>0</v>
      </c>
      <c r="P27" s="255">
        <f>'תקציב החברה לפיתוח 2019'!P26</f>
        <v>590255</v>
      </c>
      <c r="Q27" s="255">
        <f>'תקציב החברה לפיתוח 2019'!Q26</f>
        <v>7000000</v>
      </c>
      <c r="R27" s="255">
        <f>'תקציב החברה לפיתוח 2019'!R26</f>
        <v>0</v>
      </c>
      <c r="S27" s="255">
        <f>'תקציב החברה לפיתוח 2019'!S26</f>
        <v>7000000</v>
      </c>
      <c r="T27" s="255">
        <f>'תקציב החברה לפיתוח 2019'!T26</f>
        <v>0</v>
      </c>
      <c r="U27" s="255">
        <f>'תקציב החברה לפיתוח 2019'!U26</f>
        <v>7500000</v>
      </c>
      <c r="V27" s="255">
        <f>'תקציב החברה לפיתוח 2019'!V26</f>
        <v>7500000</v>
      </c>
      <c r="W27" s="255">
        <f>'תקציב החברה לפיתוח 2019'!W26</f>
        <v>0</v>
      </c>
      <c r="X27" s="255">
        <f>'תקציב החברה לפיתוח 2019'!X26</f>
        <v>0</v>
      </c>
      <c r="Y27" s="255">
        <f>'תקציב החברה לפיתוח 2019'!Y26</f>
        <v>0</v>
      </c>
      <c r="Z27" s="255">
        <f>'תקציב החברה לפיתוח 2019'!Z26</f>
        <v>0</v>
      </c>
      <c r="AA27" s="254" t="s">
        <v>1061</v>
      </c>
      <c r="AB27" s="254">
        <v>742000</v>
      </c>
      <c r="AC27" s="420"/>
      <c r="AD27" s="266"/>
      <c r="AE27" s="425"/>
      <c r="AJ27" s="416"/>
      <c r="AK27" s="416"/>
      <c r="AL27" s="416"/>
    </row>
    <row r="28" spans="1:43" s="258" customFormat="1">
      <c r="A28" s="254">
        <f t="shared" si="2"/>
        <v>21</v>
      </c>
      <c r="B28" s="254">
        <v>1656</v>
      </c>
      <c r="C28" s="254" t="s">
        <v>49</v>
      </c>
      <c r="D28" s="255">
        <f>'תקציב החברה לפיתוח 2019'!D28</f>
        <v>9400000</v>
      </c>
      <c r="E28" s="255">
        <f>'תקציב החברה לפיתוח 2019'!E28</f>
        <v>10800000</v>
      </c>
      <c r="F28" s="255">
        <f>'תקציב החברה לפיתוח 2019'!F28</f>
        <v>-1400000</v>
      </c>
      <c r="G28" s="255">
        <f>'תקציב החברה לפיתוח 2019'!G28</f>
        <v>10800000</v>
      </c>
      <c r="H28" s="255">
        <f>'תקציב החברה לפיתוח 2019'!H28</f>
        <v>6188759.0999999996</v>
      </c>
      <c r="I28" s="255">
        <f>'תקציב החברה לפיתוח 2019'!I28</f>
        <v>30194.89</v>
      </c>
      <c r="J28" s="255">
        <f>'תקציב החברה לפיתוח 2019'!J28</f>
        <v>2988274.59</v>
      </c>
      <c r="K28" s="255">
        <f>'תקציב החברה לפיתוח 2019'!K28</f>
        <v>3018469.48</v>
      </c>
      <c r="L28" s="255">
        <f>'תקציב החברה לפיתוח 2019'!L28</f>
        <v>9207228.5800000001</v>
      </c>
      <c r="M28" s="255">
        <f>'תקציב החברה לפיתוח 2019'!M28</f>
        <v>192771.41999999993</v>
      </c>
      <c r="N28" s="255">
        <f>'תקציב החברה לפיתוח 2019'!N28</f>
        <v>0</v>
      </c>
      <c r="O28" s="255">
        <f>'תקציב החברה לפיתוח 2019'!O28</f>
        <v>0</v>
      </c>
      <c r="P28" s="255">
        <f>'תקציב החברה לפיתוח 2019'!P28</f>
        <v>1592771.42</v>
      </c>
      <c r="Q28" s="255">
        <f>'תקציב החברה לפיתוח 2019'!Q28</f>
        <v>0</v>
      </c>
      <c r="R28" s="255">
        <f>'תקציב החברה לפיתוח 2019'!R28</f>
        <v>0</v>
      </c>
      <c r="S28" s="255">
        <f>'תקציב החברה לפיתוח 2019'!S28</f>
        <v>0</v>
      </c>
      <c r="T28" s="255">
        <f>'תקציב החברה לפיתוח 2019'!T28</f>
        <v>1400000</v>
      </c>
      <c r="U28" s="255">
        <f>'תקציב החברה לפיתוח 2019'!U28</f>
        <v>-1400000</v>
      </c>
      <c r="V28" s="255">
        <f>'תקציב החברה לפיתוח 2019'!V28</f>
        <v>-1400000</v>
      </c>
      <c r="W28" s="255">
        <f>'תקציב החברה לפיתוח 2019'!W28</f>
        <v>0</v>
      </c>
      <c r="X28" s="255">
        <f>'תקציב החברה לפיתוח 2019'!X28</f>
        <v>0</v>
      </c>
      <c r="Y28" s="255">
        <f>'תקציב החברה לפיתוח 2019'!Y28</f>
        <v>0</v>
      </c>
      <c r="Z28" s="255">
        <f>'תקציב החברה לפיתוח 2019'!Z28</f>
        <v>0</v>
      </c>
      <c r="AA28" s="428"/>
      <c r="AB28" s="254">
        <v>742000</v>
      </c>
      <c r="AC28" s="420"/>
      <c r="AD28" s="266"/>
      <c r="AE28" s="425"/>
      <c r="AJ28" s="416"/>
      <c r="AK28" s="416"/>
      <c r="AL28" s="416"/>
    </row>
    <row r="29" spans="1:43" s="258" customFormat="1" ht="70">
      <c r="A29" s="254">
        <f t="shared" si="2"/>
        <v>22</v>
      </c>
      <c r="B29" s="254">
        <v>1657</v>
      </c>
      <c r="C29" s="254" t="s">
        <v>33</v>
      </c>
      <c r="D29" s="255">
        <f>'תקציב החברה לפיתוח 2019'!D29</f>
        <v>60000000</v>
      </c>
      <c r="E29" s="255">
        <f>'תקציב החברה לפיתוח 2019'!E29</f>
        <v>60000000</v>
      </c>
      <c r="F29" s="255">
        <f>'תקציב החברה לפיתוח 2019'!F29</f>
        <v>0</v>
      </c>
      <c r="G29" s="255">
        <f>'תקציב החברה לפיתוח 2019'!G29</f>
        <v>10700000</v>
      </c>
      <c r="H29" s="255">
        <f>'תקציב החברה לפיתוח 2019'!H29</f>
        <v>1285188.1599999999</v>
      </c>
      <c r="I29" s="255">
        <f>'תקציב החברה לפיתוח 2019'!I29</f>
        <v>167189.14000000001</v>
      </c>
      <c r="J29" s="255">
        <f>'תקציב החברה לפיתוח 2019'!J29</f>
        <v>1443624.21</v>
      </c>
      <c r="K29" s="255">
        <f>'תקציב החברה לפיתוח 2019'!K29</f>
        <v>1610813.35</v>
      </c>
      <c r="L29" s="255">
        <f>'תקציב החברה לפיתוח 2019'!L29</f>
        <v>2896001.51</v>
      </c>
      <c r="M29" s="255">
        <f>'תקציב החברה לפיתוח 2019'!M29</f>
        <v>10803998.49</v>
      </c>
      <c r="N29" s="255">
        <f>'תקציב החברה לפיתוח 2019'!N29</f>
        <v>210000</v>
      </c>
      <c r="O29" s="255">
        <f>'תקציב החברה לפיתוח 2019'!O29</f>
        <v>46090000</v>
      </c>
      <c r="P29" s="255">
        <f>'תקציב החברה לפיתוח 2019'!P29</f>
        <v>7803998.4900000002</v>
      </c>
      <c r="Q29" s="255">
        <f>'תקציב החברה לפיתוח 2019'!Q29</f>
        <v>3000000</v>
      </c>
      <c r="R29" s="255">
        <f>'תקציב החברה לפיתוח 2019'!R29</f>
        <v>0</v>
      </c>
      <c r="S29" s="255">
        <f>'תקציב החברה לפיתוח 2019'!S29</f>
        <v>3000000</v>
      </c>
      <c r="T29" s="255">
        <f>'תקציב החברה לפיתוח 2019'!T29</f>
        <v>0</v>
      </c>
      <c r="U29" s="255">
        <f>'תקציב החברה לפיתוח 2019'!U29</f>
        <v>210000</v>
      </c>
      <c r="V29" s="255">
        <f>'תקציב החברה לפיתוח 2019'!V29</f>
        <v>0</v>
      </c>
      <c r="W29" s="255">
        <f>'תקציב החברה לפיתוח 2019'!W29</f>
        <v>0</v>
      </c>
      <c r="X29" s="255">
        <f>'תקציב החברה לפיתוח 2019'!X29</f>
        <v>0</v>
      </c>
      <c r="Y29" s="255">
        <f>'תקציב החברה לפיתוח 2019'!Y29</f>
        <v>0</v>
      </c>
      <c r="Z29" s="255">
        <f>'תקציב החברה לפיתוח 2019'!Z29</f>
        <v>210000</v>
      </c>
      <c r="AA29" s="3" t="s">
        <v>1260</v>
      </c>
      <c r="AB29" s="254">
        <v>742000</v>
      </c>
      <c r="AC29" s="420"/>
      <c r="AD29" s="266"/>
      <c r="AE29" s="425"/>
      <c r="AJ29" s="416"/>
      <c r="AK29" s="416"/>
      <c r="AL29" s="416"/>
    </row>
    <row r="30" spans="1:43" s="258" customFormat="1">
      <c r="A30" s="254">
        <f t="shared" si="2"/>
        <v>23</v>
      </c>
      <c r="B30" s="254">
        <v>1718</v>
      </c>
      <c r="C30" s="254" t="s">
        <v>64</v>
      </c>
      <c r="D30" s="255">
        <f>'תקציב החברה לפיתוח 2019'!D30</f>
        <v>11200000</v>
      </c>
      <c r="E30" s="255">
        <f>'תקציב החברה לפיתוח 2019'!E30</f>
        <v>13200000</v>
      </c>
      <c r="F30" s="255">
        <f>'תקציב החברה לפיתוח 2019'!F30</f>
        <v>-2000000</v>
      </c>
      <c r="G30" s="255">
        <f>'תקציב החברה לפיתוח 2019'!G30</f>
        <v>13200000</v>
      </c>
      <c r="H30" s="255">
        <f>'תקציב החברה לפיתוח 2019'!H30</f>
        <v>10395784.18</v>
      </c>
      <c r="I30" s="255">
        <f>'תקציב החברה לפיתוח 2019'!I30</f>
        <v>32327.69</v>
      </c>
      <c r="J30" s="255">
        <f>'תקציב החברה לפיתוח 2019'!J30</f>
        <v>591129.55000000005</v>
      </c>
      <c r="K30" s="255">
        <f>'תקציב החברה לפיתוח 2019'!K30</f>
        <v>623457.24</v>
      </c>
      <c r="L30" s="255">
        <f>'תקציב החברה לפיתוח 2019'!L30</f>
        <v>11019241.42</v>
      </c>
      <c r="M30" s="255">
        <f>'תקציב החברה לפיתוח 2019'!M30</f>
        <v>180758.58000000007</v>
      </c>
      <c r="N30" s="255">
        <f>'תקציב החברה לפיתוח 2019'!N30</f>
        <v>0</v>
      </c>
      <c r="O30" s="255">
        <f>'תקציב החברה לפיתוח 2019'!O30</f>
        <v>0</v>
      </c>
      <c r="P30" s="255">
        <f>'תקציב החברה לפיתוח 2019'!P30</f>
        <v>2180758.58</v>
      </c>
      <c r="Q30" s="255">
        <f>'תקציב החברה לפיתוח 2019'!Q30</f>
        <v>0</v>
      </c>
      <c r="R30" s="255">
        <f>'תקציב החברה לפיתוח 2019'!R30</f>
        <v>0</v>
      </c>
      <c r="S30" s="255">
        <f>'תקציב החברה לפיתוח 2019'!S30</f>
        <v>0</v>
      </c>
      <c r="T30" s="255">
        <f>'תקציב החברה לפיתוח 2019'!T30</f>
        <v>2000000</v>
      </c>
      <c r="U30" s="255">
        <f>'תקציב החברה לפיתוח 2019'!U30</f>
        <v>-2000000</v>
      </c>
      <c r="V30" s="255">
        <f>'תקציב החברה לפיתוח 2019'!V30</f>
        <v>-2000000</v>
      </c>
      <c r="W30" s="255">
        <f>'תקציב החברה לפיתוח 2019'!W30</f>
        <v>0</v>
      </c>
      <c r="X30" s="255">
        <f>'תקציב החברה לפיתוח 2019'!X30</f>
        <v>0</v>
      </c>
      <c r="Y30" s="255">
        <f>'תקציב החברה לפיתוח 2019'!Y30</f>
        <v>0</v>
      </c>
      <c r="Z30" s="255">
        <f>'תקציב החברה לפיתוח 2019'!Z30</f>
        <v>0</v>
      </c>
      <c r="AA30" s="254"/>
      <c r="AB30" s="254">
        <v>742000</v>
      </c>
      <c r="AC30" s="420"/>
      <c r="AD30" s="266"/>
      <c r="AE30" s="425"/>
      <c r="AJ30" s="416"/>
      <c r="AK30" s="416"/>
      <c r="AL30" s="416"/>
    </row>
    <row r="31" spans="1:43" s="258" customFormat="1" ht="28">
      <c r="A31" s="254">
        <f t="shared" si="2"/>
        <v>24</v>
      </c>
      <c r="B31" s="254">
        <v>1763</v>
      </c>
      <c r="C31" s="254" t="s">
        <v>179</v>
      </c>
      <c r="D31" s="255">
        <f>'תקציב החברה לפיתוח 2019'!D34</f>
        <v>4200000</v>
      </c>
      <c r="E31" s="255">
        <f>'תקציב החברה לפיתוח 2019'!E34</f>
        <v>4200000</v>
      </c>
      <c r="F31" s="255">
        <f>'תקציב החברה לפיתוח 2019'!F34</f>
        <v>0</v>
      </c>
      <c r="G31" s="255">
        <f>'תקציב החברה לפיתוח 2019'!G34</f>
        <v>4200000</v>
      </c>
      <c r="H31" s="255">
        <f>'תקציב החברה לפיתוח 2019'!H34</f>
        <v>4018658</v>
      </c>
      <c r="I31" s="255">
        <f>'תקציב החברה לפיתוח 2019'!I34</f>
        <v>0</v>
      </c>
      <c r="J31" s="255">
        <f>'תקציב החברה לפיתוח 2019'!J34</f>
        <v>181154.89</v>
      </c>
      <c r="K31" s="255">
        <f>'תקציב החברה לפיתוח 2019'!K34</f>
        <v>181154.89</v>
      </c>
      <c r="L31" s="255">
        <f>'תקציב החברה לפיתוח 2019'!L34</f>
        <v>4199812.8899999997</v>
      </c>
      <c r="M31" s="255">
        <f>'תקציב החברה לפיתוח 2019'!M34</f>
        <v>187.11000000033528</v>
      </c>
      <c r="N31" s="255">
        <f>'תקציב החברה לפיתוח 2019'!N34</f>
        <v>0</v>
      </c>
      <c r="O31" s="255">
        <f>'תקציב החברה לפיתוח 2019'!O34</f>
        <v>0</v>
      </c>
      <c r="P31" s="255">
        <f>'תקציב החברה לפיתוח 2019'!P34</f>
        <v>187.11000000033528</v>
      </c>
      <c r="Q31" s="255">
        <f>'תקציב החברה לפיתוח 2019'!Q34</f>
        <v>0</v>
      </c>
      <c r="R31" s="255">
        <f>'תקציב החברה לפיתוח 2019'!R34</f>
        <v>0</v>
      </c>
      <c r="S31" s="255">
        <f>'תקציב החברה לפיתוח 2019'!S34</f>
        <v>0</v>
      </c>
      <c r="T31" s="255">
        <f>'תקציב החברה לפיתוח 2019'!T34</f>
        <v>0</v>
      </c>
      <c r="U31" s="255">
        <f>'תקציב החברה לפיתוח 2019'!U34</f>
        <v>0</v>
      </c>
      <c r="V31" s="255">
        <f>'תקציב החברה לפיתוח 2019'!V34</f>
        <v>0</v>
      </c>
      <c r="W31" s="255">
        <f>'תקציב החברה לפיתוח 2019'!W34</f>
        <v>0</v>
      </c>
      <c r="X31" s="255">
        <f>'תקציב החברה לפיתוח 2019'!X34</f>
        <v>0</v>
      </c>
      <c r="Y31" s="255">
        <f>'תקציב החברה לפיתוח 2019'!Y34</f>
        <v>0</v>
      </c>
      <c r="Z31" s="255">
        <f>'תקציב החברה לפיתוח 2019'!Z34</f>
        <v>0</v>
      </c>
      <c r="AA31" s="254"/>
      <c r="AB31" s="254">
        <v>742000</v>
      </c>
      <c r="AC31" s="420"/>
      <c r="AD31" s="266"/>
      <c r="AE31" s="425"/>
      <c r="AJ31" s="416"/>
      <c r="AK31" s="416"/>
      <c r="AL31" s="416"/>
    </row>
    <row r="32" spans="1:43" s="258" customFormat="1">
      <c r="A32" s="254">
        <f t="shared" si="2"/>
        <v>25</v>
      </c>
      <c r="B32" s="254">
        <v>1765</v>
      </c>
      <c r="C32" s="254" t="s">
        <v>171</v>
      </c>
      <c r="D32" s="255">
        <f>'תקציב החברה לפיתוח 2019'!D35</f>
        <v>2800000</v>
      </c>
      <c r="E32" s="255">
        <f>'תקציב החברה לפיתוח 2019'!E35</f>
        <v>2800000</v>
      </c>
      <c r="F32" s="255">
        <f>'תקציב החברה לפיתוח 2019'!F35</f>
        <v>0</v>
      </c>
      <c r="G32" s="255">
        <f>'תקציב החברה לפיתוח 2019'!G35</f>
        <v>2800000</v>
      </c>
      <c r="H32" s="255">
        <f>'תקציב החברה לפיתוח 2019'!H35</f>
        <v>1618136.36</v>
      </c>
      <c r="I32" s="255">
        <f>'תקציב החברה לפיתוח 2019'!I35</f>
        <v>0</v>
      </c>
      <c r="J32" s="255">
        <f>'תקציב החברה לפיתוח 2019'!J35</f>
        <v>282628.65999999997</v>
      </c>
      <c r="K32" s="255">
        <f>'תקציב החברה לפיתוח 2019'!K35</f>
        <v>282628.65999999997</v>
      </c>
      <c r="L32" s="255">
        <f>'תקציב החברה לפיתוח 2019'!L35</f>
        <v>1900765.02</v>
      </c>
      <c r="M32" s="255">
        <f>'תקציב החברה לפיתוח 2019'!M35</f>
        <v>899234.98</v>
      </c>
      <c r="N32" s="255">
        <f>'תקציב החברה לפיתוח 2019'!N35</f>
        <v>0</v>
      </c>
      <c r="O32" s="255">
        <f>'תקציב החברה לפיתוח 2019'!O35</f>
        <v>0</v>
      </c>
      <c r="P32" s="255">
        <f>'תקציב החברה לפיתוח 2019'!P35</f>
        <v>899234.98</v>
      </c>
      <c r="Q32" s="255">
        <f>'תקציב החברה לפיתוח 2019'!Q35</f>
        <v>0</v>
      </c>
      <c r="R32" s="255">
        <f>'תקציב החברה לפיתוח 2019'!R35</f>
        <v>0</v>
      </c>
      <c r="S32" s="255">
        <f>'תקציב החברה לפיתוח 2019'!S35</f>
        <v>0</v>
      </c>
      <c r="T32" s="255">
        <f>'תקציב החברה לפיתוח 2019'!T35</f>
        <v>0</v>
      </c>
      <c r="U32" s="255">
        <f>'תקציב החברה לפיתוח 2019'!U35</f>
        <v>0</v>
      </c>
      <c r="V32" s="255">
        <f>'תקציב החברה לפיתוח 2019'!V35</f>
        <v>0</v>
      </c>
      <c r="W32" s="255">
        <f>'תקציב החברה לפיתוח 2019'!W35</f>
        <v>0</v>
      </c>
      <c r="X32" s="255">
        <f>'תקציב החברה לפיתוח 2019'!X35</f>
        <v>0</v>
      </c>
      <c r="Y32" s="255">
        <f>'תקציב החברה לפיתוח 2019'!Y35</f>
        <v>0</v>
      </c>
      <c r="Z32" s="255">
        <f>'תקציב החברה לפיתוח 2019'!Z35</f>
        <v>0</v>
      </c>
      <c r="AA32" s="428"/>
      <c r="AB32" s="254">
        <v>742000</v>
      </c>
      <c r="AC32" s="420"/>
      <c r="AD32" s="266"/>
      <c r="AE32" s="425"/>
      <c r="AJ32" s="416"/>
      <c r="AK32" s="416"/>
      <c r="AL32" s="416"/>
      <c r="AM32" s="265"/>
      <c r="AN32" s="265"/>
      <c r="AO32" s="265"/>
      <c r="AP32" s="265"/>
      <c r="AQ32" s="265"/>
    </row>
    <row r="33" spans="1:43" s="258" customFormat="1" ht="28">
      <c r="A33" s="254">
        <f t="shared" si="2"/>
        <v>26</v>
      </c>
      <c r="B33" s="254">
        <v>1808</v>
      </c>
      <c r="C33" s="254" t="s">
        <v>186</v>
      </c>
      <c r="D33" s="255">
        <f>'תקציב החברה לפיתוח 2019'!D38</f>
        <v>1800000</v>
      </c>
      <c r="E33" s="255">
        <f>'תקציב החברה לפיתוח 2019'!E38</f>
        <v>1800000</v>
      </c>
      <c r="F33" s="255">
        <f>'תקציב החברה לפיתוח 2019'!F38</f>
        <v>0</v>
      </c>
      <c r="G33" s="255">
        <f>'תקציב החברה לפיתוח 2019'!G38</f>
        <v>1800000</v>
      </c>
      <c r="H33" s="255">
        <f>'תקציב החברה לפיתוח 2019'!H38</f>
        <v>1512488</v>
      </c>
      <c r="I33" s="255">
        <f>'תקציב החברה לפיתוח 2019'!I38</f>
        <v>0</v>
      </c>
      <c r="J33" s="255">
        <f>'תקציב החברה לפיתוח 2019'!J38</f>
        <v>287218</v>
      </c>
      <c r="K33" s="255">
        <f>'תקציב החברה לפיתוח 2019'!K38</f>
        <v>287218</v>
      </c>
      <c r="L33" s="255">
        <f>'תקציב החברה לפיתוח 2019'!L38</f>
        <v>1799706</v>
      </c>
      <c r="M33" s="255">
        <f>'תקציב החברה לפיתוח 2019'!M38</f>
        <v>294</v>
      </c>
      <c r="N33" s="255">
        <f>'תקציב החברה לפיתוח 2019'!N38</f>
        <v>0</v>
      </c>
      <c r="O33" s="255">
        <f>'תקציב החברה לפיתוח 2019'!O38</f>
        <v>0</v>
      </c>
      <c r="P33" s="255">
        <f>'תקציב החברה לפיתוח 2019'!P38</f>
        <v>294</v>
      </c>
      <c r="Q33" s="255">
        <f>'תקציב החברה לפיתוח 2019'!Q38</f>
        <v>0</v>
      </c>
      <c r="R33" s="255">
        <f>'תקציב החברה לפיתוח 2019'!R38</f>
        <v>0</v>
      </c>
      <c r="S33" s="255">
        <f>'תקציב החברה לפיתוח 2019'!S38</f>
        <v>0</v>
      </c>
      <c r="T33" s="255">
        <f>'תקציב החברה לפיתוח 2019'!T38</f>
        <v>0</v>
      </c>
      <c r="U33" s="255">
        <f>'תקציב החברה לפיתוח 2019'!U38</f>
        <v>0</v>
      </c>
      <c r="V33" s="255">
        <f>'תקציב החברה לפיתוח 2019'!V38</f>
        <v>0</v>
      </c>
      <c r="W33" s="255">
        <f>'תקציב החברה לפיתוח 2019'!W38</f>
        <v>0</v>
      </c>
      <c r="X33" s="255">
        <f>'תקציב החברה לפיתוח 2019'!X38</f>
        <v>0</v>
      </c>
      <c r="Y33" s="255">
        <f>'תקציב החברה לפיתוח 2019'!Y38</f>
        <v>0</v>
      </c>
      <c r="Z33" s="255">
        <f>'תקציב החברה לפיתוח 2019'!Z38</f>
        <v>0</v>
      </c>
      <c r="AA33" s="254"/>
      <c r="AB33" s="254">
        <v>742000</v>
      </c>
      <c r="AC33" s="420"/>
      <c r="AD33" s="266"/>
      <c r="AE33" s="425"/>
      <c r="AG33" s="266"/>
      <c r="AH33" s="266"/>
      <c r="AI33" s="266"/>
      <c r="AJ33" s="416"/>
      <c r="AK33" s="416"/>
      <c r="AL33" s="416"/>
      <c r="AM33" s="247"/>
      <c r="AN33" s="247"/>
      <c r="AO33" s="247"/>
      <c r="AP33" s="247"/>
      <c r="AQ33" s="247"/>
    </row>
    <row r="34" spans="1:43" s="258" customFormat="1" ht="28">
      <c r="A34" s="254">
        <f t="shared" si="2"/>
        <v>27</v>
      </c>
      <c r="B34" s="254">
        <v>1809</v>
      </c>
      <c r="C34" s="254" t="s">
        <v>187</v>
      </c>
      <c r="D34" s="255">
        <f>'תקציב החברה לפיתוח 2019'!D39</f>
        <v>680000</v>
      </c>
      <c r="E34" s="255">
        <f>'תקציב החברה לפיתוח 2019'!E39</f>
        <v>680000</v>
      </c>
      <c r="F34" s="255">
        <f>'תקציב החברה לפיתוח 2019'!F39</f>
        <v>0</v>
      </c>
      <c r="G34" s="255">
        <f>'תקציב החברה לפיתוח 2019'!G39</f>
        <v>680000</v>
      </c>
      <c r="H34" s="255">
        <f>'תקציב החברה לפיתוח 2019'!H39</f>
        <v>266012</v>
      </c>
      <c r="I34" s="255">
        <f>'תקציב החברה לפיתוח 2019'!I39</f>
        <v>0</v>
      </c>
      <c r="J34" s="255">
        <f>'תקציב החברה לפיתוח 2019'!J39</f>
        <v>413976.2</v>
      </c>
      <c r="K34" s="255">
        <f>'תקציב החברה לפיתוח 2019'!K39</f>
        <v>413976.2</v>
      </c>
      <c r="L34" s="255">
        <f>'תקציב החברה לפיתוח 2019'!L39</f>
        <v>679988.2</v>
      </c>
      <c r="M34" s="255">
        <f>'תקציב החברה לפיתוח 2019'!M39</f>
        <v>11.800000000046566</v>
      </c>
      <c r="N34" s="255">
        <f>'תקציב החברה לפיתוח 2019'!N39</f>
        <v>0</v>
      </c>
      <c r="O34" s="255">
        <f>'תקציב החברה לפיתוח 2019'!O39</f>
        <v>0</v>
      </c>
      <c r="P34" s="255">
        <f>'תקציב החברה לפיתוח 2019'!P39</f>
        <v>11.800000000046566</v>
      </c>
      <c r="Q34" s="255">
        <f>'תקציב החברה לפיתוח 2019'!Q39</f>
        <v>0</v>
      </c>
      <c r="R34" s="255">
        <f>'תקציב החברה לפיתוח 2019'!R39</f>
        <v>0</v>
      </c>
      <c r="S34" s="255">
        <f>'תקציב החברה לפיתוח 2019'!S39</f>
        <v>0</v>
      </c>
      <c r="T34" s="255">
        <f>'תקציב החברה לפיתוח 2019'!T39</f>
        <v>0</v>
      </c>
      <c r="U34" s="255">
        <f>'תקציב החברה לפיתוח 2019'!U39</f>
        <v>0</v>
      </c>
      <c r="V34" s="255">
        <f>'תקציב החברה לפיתוח 2019'!V39</f>
        <v>0</v>
      </c>
      <c r="W34" s="255">
        <f>'תקציב החברה לפיתוח 2019'!W39</f>
        <v>0</v>
      </c>
      <c r="X34" s="255">
        <f>'תקציב החברה לפיתוח 2019'!X39</f>
        <v>0</v>
      </c>
      <c r="Y34" s="255">
        <f>'תקציב החברה לפיתוח 2019'!Y39</f>
        <v>0</v>
      </c>
      <c r="Z34" s="255">
        <f>'תקציב החברה לפיתוח 2019'!Z39</f>
        <v>0</v>
      </c>
      <c r="AA34" s="254"/>
      <c r="AB34" s="254">
        <v>742000</v>
      </c>
      <c r="AC34" s="420"/>
      <c r="AD34" s="266"/>
      <c r="AE34" s="425"/>
      <c r="AG34" s="266"/>
      <c r="AH34" s="266"/>
      <c r="AI34" s="266"/>
      <c r="AJ34" s="416"/>
      <c r="AK34" s="416"/>
      <c r="AL34" s="416"/>
      <c r="AM34" s="247"/>
      <c r="AN34" s="247"/>
      <c r="AO34" s="247"/>
      <c r="AP34" s="247"/>
      <c r="AQ34" s="247"/>
    </row>
    <row r="35" spans="1:43" s="265" customFormat="1" ht="56">
      <c r="A35" s="254">
        <f t="shared" si="2"/>
        <v>28</v>
      </c>
      <c r="B35" s="427">
        <v>1819</v>
      </c>
      <c r="C35" s="254" t="s">
        <v>185</v>
      </c>
      <c r="D35" s="255">
        <f>'תקציב החברה לפיתוח 2019'!D40</f>
        <v>18000000</v>
      </c>
      <c r="E35" s="255">
        <f>'תקציב החברה לפיתוח 2019'!E40</f>
        <v>18000000</v>
      </c>
      <c r="F35" s="255">
        <f>'תקציב החברה לפיתוח 2019'!F40</f>
        <v>0</v>
      </c>
      <c r="G35" s="255">
        <f>'תקציב החברה לפיתוח 2019'!G40</f>
        <v>2200000</v>
      </c>
      <c r="H35" s="255">
        <f>'תקציב החברה לפיתוח 2019'!H40</f>
        <v>834062.1</v>
      </c>
      <c r="I35" s="255">
        <f>'תקציב החברה לפיתוח 2019'!I40</f>
        <v>0</v>
      </c>
      <c r="J35" s="255">
        <f>'תקציב החברה לפיתוח 2019'!J40</f>
        <v>1031865.66</v>
      </c>
      <c r="K35" s="255">
        <f>'תקציב החברה לפיתוח 2019'!K40</f>
        <v>1031865.66</v>
      </c>
      <c r="L35" s="255">
        <f>'תקציב החברה לפיתוח 2019'!L40</f>
        <v>1865927.76</v>
      </c>
      <c r="M35" s="255">
        <f>'תקציב החברה לפיתוח 2019'!M40</f>
        <v>7334072.2400000002</v>
      </c>
      <c r="N35" s="255">
        <f>'תקציב החברה לפיתוח 2019'!N40</f>
        <v>6800000</v>
      </c>
      <c r="O35" s="255">
        <f>'תקציב החברה לפיתוח 2019'!O40</f>
        <v>2000000</v>
      </c>
      <c r="P35" s="255">
        <f>'תקציב החברה לפיתוח 2019'!P40</f>
        <v>334072.24</v>
      </c>
      <c r="Q35" s="255">
        <f>'תקציב החברה לפיתוח 2019'!Q40</f>
        <v>7000000</v>
      </c>
      <c r="R35" s="255">
        <f>'תקציב החברה לפיתוח 2019'!R40</f>
        <v>0</v>
      </c>
      <c r="S35" s="255">
        <f>'תקציב החברה לפיתוח 2019'!S40</f>
        <v>7000000</v>
      </c>
      <c r="T35" s="255">
        <f>'תקציב החברה לפיתוח 2019'!T40</f>
        <v>0</v>
      </c>
      <c r="U35" s="255">
        <f>'תקציב החברה לפיתוח 2019'!U40</f>
        <v>6800000</v>
      </c>
      <c r="V35" s="255">
        <f>'תקציב החברה לפיתוח 2019'!V40</f>
        <v>6800000</v>
      </c>
      <c r="W35" s="255">
        <f>'תקציב החברה לפיתוח 2019'!W40</f>
        <v>0</v>
      </c>
      <c r="X35" s="255">
        <f>'תקציב החברה לפיתוח 2019'!X40</f>
        <v>0</v>
      </c>
      <c r="Y35" s="255">
        <f>'תקציב החברה לפיתוח 2019'!Y40</f>
        <v>0</v>
      </c>
      <c r="Z35" s="255">
        <f>'תקציב החברה לפיתוח 2019'!Z40</f>
        <v>0</v>
      </c>
      <c r="AA35" s="254" t="s">
        <v>1256</v>
      </c>
      <c r="AB35" s="254">
        <v>742000</v>
      </c>
      <c r="AC35" s="420"/>
      <c r="AD35" s="266"/>
      <c r="AE35" s="425"/>
      <c r="AF35" s="258"/>
      <c r="AG35" s="266"/>
      <c r="AH35" s="266"/>
      <c r="AI35" s="266"/>
      <c r="AJ35" s="416"/>
      <c r="AK35" s="416"/>
      <c r="AL35" s="416"/>
      <c r="AM35" s="247"/>
      <c r="AN35" s="247"/>
      <c r="AO35" s="247"/>
      <c r="AP35" s="247"/>
      <c r="AQ35" s="247"/>
    </row>
    <row r="36" spans="1:43" s="266" customFormat="1" ht="70">
      <c r="A36" s="254">
        <f t="shared" si="2"/>
        <v>29</v>
      </c>
      <c r="B36" s="427">
        <v>1845</v>
      </c>
      <c r="C36" s="254" t="s">
        <v>210</v>
      </c>
      <c r="D36" s="255">
        <f>'תקציב החברה לפיתוח 2019'!D47</f>
        <v>1500000</v>
      </c>
      <c r="E36" s="255">
        <f>'תקציב החברה לפיתוח 2019'!E47</f>
        <v>1500000</v>
      </c>
      <c r="F36" s="255">
        <f>'תקציב החברה לפיתוח 2019'!F47</f>
        <v>0</v>
      </c>
      <c r="G36" s="255">
        <f>'תקציב החברה לפיתוח 2019'!G47</f>
        <v>500000</v>
      </c>
      <c r="H36" s="255">
        <f>'תקציב החברה לפיתוח 2019'!H47</f>
        <v>360072</v>
      </c>
      <c r="I36" s="255">
        <f>'תקציב החברה לפיתוח 2019'!I47</f>
        <v>0</v>
      </c>
      <c r="J36" s="255">
        <f>'תקציב החברה לפיתוח 2019'!J47</f>
        <v>39892</v>
      </c>
      <c r="K36" s="255">
        <f>'תקציב החברה לפיתוח 2019'!K47</f>
        <v>39892</v>
      </c>
      <c r="L36" s="255">
        <f>'תקציב החברה לפיתוח 2019'!L47</f>
        <v>399964</v>
      </c>
      <c r="M36" s="255">
        <f>'תקציב החברה לפיתוח 2019'!M47</f>
        <v>100036</v>
      </c>
      <c r="N36" s="255">
        <f>'תקציב החברה לפיתוח 2019'!N47</f>
        <v>1000000</v>
      </c>
      <c r="O36" s="255">
        <f>'תקציב החברה לפיתוח 2019'!O47</f>
        <v>0</v>
      </c>
      <c r="P36" s="255">
        <f>'תקציב החברה לפיתוח 2019'!P47</f>
        <v>100036</v>
      </c>
      <c r="Q36" s="255">
        <f>'תקציב החברה לפיתוח 2019'!Q47</f>
        <v>0</v>
      </c>
      <c r="R36" s="255">
        <f>'תקציב החברה לפיתוח 2019'!R47</f>
        <v>0</v>
      </c>
      <c r="S36" s="255">
        <f>'תקציב החברה לפיתוח 2019'!S47</f>
        <v>0</v>
      </c>
      <c r="T36" s="255">
        <f>'תקציב החברה לפיתוח 2019'!T47</f>
        <v>0</v>
      </c>
      <c r="U36" s="255">
        <f>'תקציב החברה לפיתוח 2019'!U47</f>
        <v>1000000</v>
      </c>
      <c r="V36" s="255">
        <f>'תקציב החברה לפיתוח 2019'!V47</f>
        <v>1000000</v>
      </c>
      <c r="W36" s="255">
        <f>'תקציב החברה לפיתוח 2019'!W47</f>
        <v>0</v>
      </c>
      <c r="X36" s="255">
        <f>'תקציב החברה לפיתוח 2019'!X47</f>
        <v>0</v>
      </c>
      <c r="Y36" s="255">
        <f>'תקציב החברה לפיתוח 2019'!Y47</f>
        <v>0</v>
      </c>
      <c r="Z36" s="255">
        <f>'תקציב החברה לפיתוח 2019'!Z47</f>
        <v>0</v>
      </c>
      <c r="AA36" s="254" t="s">
        <v>1123</v>
      </c>
      <c r="AB36" s="254">
        <v>742000</v>
      </c>
      <c r="AC36" s="420"/>
      <c r="AE36" s="425"/>
      <c r="AF36" s="258"/>
      <c r="AJ36" s="416"/>
      <c r="AK36" s="416"/>
      <c r="AL36" s="416"/>
      <c r="AM36" s="247"/>
      <c r="AN36" s="247"/>
      <c r="AO36" s="247"/>
      <c r="AP36" s="247"/>
      <c r="AQ36" s="247"/>
    </row>
    <row r="37" spans="1:43" s="259" customFormat="1" ht="28">
      <c r="A37" s="254">
        <f t="shared" si="2"/>
        <v>30</v>
      </c>
      <c r="B37" s="3">
        <v>1872</v>
      </c>
      <c r="C37" s="3" t="s">
        <v>1320</v>
      </c>
      <c r="D37" s="255">
        <f>'תקציב החברה לפיתוח 2019'!D51</f>
        <v>1160000</v>
      </c>
      <c r="E37" s="255">
        <f>'תקציב החברה לפיתוח 2019'!E51</f>
        <v>1160000</v>
      </c>
      <c r="F37" s="255">
        <f>'תקציב החברה לפיתוח 2019'!F51</f>
        <v>0</v>
      </c>
      <c r="G37" s="255">
        <f>'תקציב החברה לפיתוח 2019'!G51</f>
        <v>1160000</v>
      </c>
      <c r="H37" s="255">
        <f>'תקציב החברה לפיתוח 2019'!H51</f>
        <v>0</v>
      </c>
      <c r="I37" s="255">
        <f>'תקציב החברה לפיתוח 2019'!I51</f>
        <v>0</v>
      </c>
      <c r="J37" s="255">
        <f>'תקציב החברה לפיתוח 2019'!J51</f>
        <v>200860.45</v>
      </c>
      <c r="K37" s="255">
        <f>'תקציב החברה לפיתוח 2019'!K51</f>
        <v>200860.45</v>
      </c>
      <c r="L37" s="255">
        <f>'תקציב החברה לפיתוח 2019'!L51</f>
        <v>200860.45</v>
      </c>
      <c r="M37" s="255">
        <f>'תקציב החברה לפיתוח 2019'!M51</f>
        <v>959139.55</v>
      </c>
      <c r="N37" s="255">
        <f>'תקציב החברה לפיתוח 2019'!N51</f>
        <v>0</v>
      </c>
      <c r="O37" s="255">
        <f>'תקציב החברה לפיתוח 2019'!O51</f>
        <v>0</v>
      </c>
      <c r="P37" s="255">
        <f>'תקציב החברה לפיתוח 2019'!P51</f>
        <v>959139.55</v>
      </c>
      <c r="Q37" s="255">
        <f>'תקציב החברה לפיתוח 2019'!Q51</f>
        <v>0</v>
      </c>
      <c r="R37" s="255">
        <f>'תקציב החברה לפיתוח 2019'!R51</f>
        <v>0</v>
      </c>
      <c r="S37" s="255">
        <f>'תקציב החברה לפיתוח 2019'!S51</f>
        <v>0</v>
      </c>
      <c r="T37" s="255">
        <f>'תקציב החברה לפיתוח 2019'!T51</f>
        <v>0</v>
      </c>
      <c r="U37" s="255">
        <f>'תקציב החברה לפיתוח 2019'!U51</f>
        <v>0</v>
      </c>
      <c r="V37" s="255">
        <f>'תקציב החברה לפיתוח 2019'!V51</f>
        <v>0</v>
      </c>
      <c r="W37" s="255">
        <f>'תקציב החברה לפיתוח 2019'!W51</f>
        <v>0</v>
      </c>
      <c r="X37" s="255">
        <f>'תקציב החברה לפיתוח 2019'!X51</f>
        <v>0</v>
      </c>
      <c r="Y37" s="255">
        <f>'תקציב החברה לפיתוח 2019'!Y51</f>
        <v>0</v>
      </c>
      <c r="Z37" s="255">
        <f>'תקציב החברה לפיתוח 2019'!Z51</f>
        <v>0</v>
      </c>
      <c r="AA37" s="408"/>
      <c r="AB37" s="3">
        <v>742000</v>
      </c>
      <c r="AC37" s="5"/>
      <c r="AD37" s="266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</row>
    <row r="38" spans="1:43" ht="28">
      <c r="A38" s="254">
        <f t="shared" si="2"/>
        <v>31</v>
      </c>
      <c r="B38" s="254">
        <v>1904</v>
      </c>
      <c r="C38" s="254" t="s">
        <v>199</v>
      </c>
      <c r="D38" s="255">
        <f>'תקציב החברה לפיתוח 2019'!D55</f>
        <v>5700000</v>
      </c>
      <c r="E38" s="255">
        <f>'תקציב החברה לפיתוח 2019'!E55</f>
        <v>5700000</v>
      </c>
      <c r="F38" s="255">
        <f>'תקציב החברה לפיתוח 2019'!F55</f>
        <v>0</v>
      </c>
      <c r="G38" s="255">
        <f>'תקציב החברה לפיתוח 2019'!G55</f>
        <v>2000000</v>
      </c>
      <c r="H38" s="255">
        <f>'תקציב החברה לפיתוח 2019'!H55</f>
        <v>86598</v>
      </c>
      <c r="I38" s="255">
        <f>'תקציב החברה לפיתוח 2019'!I55</f>
        <v>0</v>
      </c>
      <c r="J38" s="255">
        <f>'תקציב החברה לפיתוח 2019'!J55</f>
        <v>263400.27</v>
      </c>
      <c r="K38" s="255">
        <f>'תקציב החברה לפיתוח 2019'!K55</f>
        <v>263400.27</v>
      </c>
      <c r="L38" s="255">
        <f>'תקציב החברה לפיתוח 2019'!L55</f>
        <v>349998.27</v>
      </c>
      <c r="M38" s="255">
        <f>'תקציב החברה לפיתוח 2019'!M55</f>
        <v>1650001.73</v>
      </c>
      <c r="N38" s="255">
        <f>'תקציב החברה לפיתוח 2019'!N55</f>
        <v>3700000</v>
      </c>
      <c r="O38" s="255">
        <f>'תקציב החברה לפיתוח 2019'!O55</f>
        <v>0</v>
      </c>
      <c r="P38" s="255">
        <f>'תקציב החברה לפיתוח 2019'!P55</f>
        <v>1650001.73</v>
      </c>
      <c r="Q38" s="255">
        <f>'תקציב החברה לפיתוח 2019'!Q55</f>
        <v>0</v>
      </c>
      <c r="R38" s="255">
        <f>'תקציב החברה לפיתוח 2019'!R55</f>
        <v>0</v>
      </c>
      <c r="S38" s="255">
        <f>'תקציב החברה לפיתוח 2019'!S55</f>
        <v>0</v>
      </c>
      <c r="T38" s="255">
        <f>'תקציב החברה לפיתוח 2019'!T55</f>
        <v>0</v>
      </c>
      <c r="U38" s="255">
        <f>'תקציב החברה לפיתוח 2019'!U55</f>
        <v>3700000</v>
      </c>
      <c r="V38" s="255">
        <f>'תקציב החברה לפיתוח 2019'!V55</f>
        <v>775000</v>
      </c>
      <c r="W38" s="255">
        <f>'תקציב החברה לפיתוח 2019'!W55</f>
        <v>0</v>
      </c>
      <c r="X38" s="255">
        <f>'תקציב החברה לפיתוח 2019'!X55</f>
        <v>0</v>
      </c>
      <c r="Y38" s="255">
        <f>'תקציב החברה לפיתוח 2019'!Y55</f>
        <v>0</v>
      </c>
      <c r="Z38" s="255">
        <f>'תקציב החברה לפיתוח 2019'!Z55</f>
        <v>2925000</v>
      </c>
      <c r="AA38" s="254" t="s">
        <v>1067</v>
      </c>
      <c r="AB38" s="254">
        <v>742000</v>
      </c>
      <c r="AE38" s="425"/>
      <c r="AF38" s="258"/>
      <c r="AG38" s="258"/>
      <c r="AH38" s="258"/>
      <c r="AI38" s="258"/>
      <c r="AM38" s="258"/>
      <c r="AN38" s="258"/>
      <c r="AO38" s="258"/>
      <c r="AP38" s="258"/>
      <c r="AQ38" s="258"/>
    </row>
    <row r="39" spans="1:43" ht="28">
      <c r="A39" s="254">
        <f t="shared" si="2"/>
        <v>32</v>
      </c>
      <c r="B39" s="427">
        <v>1953</v>
      </c>
      <c r="C39" s="254" t="s">
        <v>1322</v>
      </c>
      <c r="D39" s="255">
        <f>'תקציב החברה לפיתוח 2019'!D59</f>
        <v>5300000</v>
      </c>
      <c r="E39" s="255">
        <f>'תקציב החברה לפיתוח 2019'!E59</f>
        <v>5300000</v>
      </c>
      <c r="F39" s="255">
        <f>'תקציב החברה לפיתוח 2019'!F59</f>
        <v>0</v>
      </c>
      <c r="G39" s="255">
        <f>'תקציב החברה לפיתוח 2019'!G59</f>
        <v>3300000</v>
      </c>
      <c r="H39" s="255">
        <f>'תקציב החברה לפיתוח 2019'!H59</f>
        <v>1922976</v>
      </c>
      <c r="I39" s="255">
        <f>'תקציב החברה לפיתוח 2019'!I59</f>
        <v>0</v>
      </c>
      <c r="J39" s="255">
        <f>'תקציב החברה לפיתוח 2019'!J59</f>
        <v>1373536.08</v>
      </c>
      <c r="K39" s="255">
        <f>'תקציב החברה לפיתוח 2019'!K59</f>
        <v>1373536.08</v>
      </c>
      <c r="L39" s="255">
        <f>'תקציב החברה לפיתוח 2019'!L59</f>
        <v>3296512.08</v>
      </c>
      <c r="M39" s="255">
        <f>'תקציב החברה לפיתוח 2019'!M59</f>
        <v>2003487.92</v>
      </c>
      <c r="N39" s="255">
        <f>'תקציב החברה לפיתוח 2019'!N59</f>
        <v>0</v>
      </c>
      <c r="O39" s="255">
        <f>'תקציב החברה לפיתוח 2019'!O59</f>
        <v>0</v>
      </c>
      <c r="P39" s="255">
        <f>'תקציב החברה לפיתוח 2019'!P59</f>
        <v>3487.9199999999255</v>
      </c>
      <c r="Q39" s="255">
        <f>'תקציב החברה לפיתוח 2019'!Q59</f>
        <v>2000000</v>
      </c>
      <c r="R39" s="255">
        <f>'תקציב החברה לפיתוח 2019'!R59</f>
        <v>0</v>
      </c>
      <c r="S39" s="255">
        <f>'תקציב החברה לפיתוח 2019'!S59</f>
        <v>2000000</v>
      </c>
      <c r="T39" s="255">
        <f>'תקציב החברה לפיתוח 2019'!T59</f>
        <v>0</v>
      </c>
      <c r="U39" s="255">
        <f>'תקציב החברה לפיתוח 2019'!U59</f>
        <v>0</v>
      </c>
      <c r="V39" s="255">
        <f>'תקציב החברה לפיתוח 2019'!V59</f>
        <v>0</v>
      </c>
      <c r="W39" s="255">
        <f>'תקציב החברה לפיתוח 2019'!W59</f>
        <v>0</v>
      </c>
      <c r="X39" s="255">
        <f>'תקציב החברה לפיתוח 2019'!X59</f>
        <v>0</v>
      </c>
      <c r="Y39" s="255">
        <f>'תקציב החברה לפיתוח 2019'!Y59</f>
        <v>0</v>
      </c>
      <c r="Z39" s="255">
        <f>'תקציב החברה לפיתוח 2019'!Z59</f>
        <v>0</v>
      </c>
      <c r="AA39" s="428"/>
      <c r="AB39" s="254">
        <v>742000</v>
      </c>
      <c r="AE39" s="425"/>
      <c r="AF39" s="258"/>
      <c r="AG39" s="266"/>
      <c r="AH39" s="266"/>
      <c r="AI39" s="266"/>
    </row>
    <row r="40" spans="1:43">
      <c r="A40" s="254">
        <f t="shared" si="2"/>
        <v>33</v>
      </c>
      <c r="B40" s="254">
        <v>1954</v>
      </c>
      <c r="C40" s="254" t="s">
        <v>250</v>
      </c>
      <c r="D40" s="255">
        <f>'תקציב החברה לפיתוח 2019'!D60</f>
        <v>2000000</v>
      </c>
      <c r="E40" s="255">
        <f>'תקציב החברה לפיתוח 2019'!E60</f>
        <v>2000000</v>
      </c>
      <c r="F40" s="255">
        <f>'תקציב החברה לפיתוח 2019'!F60</f>
        <v>0</v>
      </c>
      <c r="G40" s="255">
        <f>'תקציב החברה לפיתוח 2019'!G60</f>
        <v>2000000</v>
      </c>
      <c r="H40" s="255">
        <f>'תקציב החברה לפיתוח 2019'!H60</f>
        <v>230565</v>
      </c>
      <c r="I40" s="255">
        <f>'תקציב החברה לפיתוח 2019'!I60</f>
        <v>0</v>
      </c>
      <c r="J40" s="255">
        <f>'תקציב החברה לפיתוח 2019'!J60</f>
        <v>1682275.94</v>
      </c>
      <c r="K40" s="255">
        <f>'תקציב החברה לפיתוח 2019'!K60</f>
        <v>1682275.94</v>
      </c>
      <c r="L40" s="255">
        <f>'תקציב החברה לפיתוח 2019'!L60</f>
        <v>1912840.94</v>
      </c>
      <c r="M40" s="255">
        <f>'תקציב החברה לפיתוח 2019'!M60</f>
        <v>87159.060000000056</v>
      </c>
      <c r="N40" s="255">
        <f>'תקציב החברה לפיתוח 2019'!N60</f>
        <v>0</v>
      </c>
      <c r="O40" s="255">
        <f>'תקציב החברה לפיתוח 2019'!O60</f>
        <v>0</v>
      </c>
      <c r="P40" s="255">
        <f>'תקציב החברה לפיתוח 2019'!P60</f>
        <v>87159.060000000056</v>
      </c>
      <c r="Q40" s="255">
        <f>'תקציב החברה לפיתוח 2019'!Q60</f>
        <v>0</v>
      </c>
      <c r="R40" s="255">
        <f>'תקציב החברה לפיתוח 2019'!R60</f>
        <v>0</v>
      </c>
      <c r="S40" s="255">
        <f>'תקציב החברה לפיתוח 2019'!S60</f>
        <v>0</v>
      </c>
      <c r="T40" s="255">
        <f>'תקציב החברה לפיתוח 2019'!T60</f>
        <v>0</v>
      </c>
      <c r="U40" s="255">
        <f>'תקציב החברה לפיתוח 2019'!U60</f>
        <v>0</v>
      </c>
      <c r="V40" s="255">
        <f>'תקציב החברה לפיתוח 2019'!V60</f>
        <v>0</v>
      </c>
      <c r="W40" s="255">
        <f>'תקציב החברה לפיתוח 2019'!W60</f>
        <v>0</v>
      </c>
      <c r="X40" s="255">
        <f>'תקציב החברה לפיתוח 2019'!X60</f>
        <v>0</v>
      </c>
      <c r="Y40" s="255">
        <f>'תקציב החברה לפיתוח 2019'!Y60</f>
        <v>0</v>
      </c>
      <c r="Z40" s="255">
        <f>'תקציב החברה לפיתוח 2019'!Z60</f>
        <v>0</v>
      </c>
      <c r="AA40" s="428"/>
      <c r="AB40" s="254">
        <v>742000</v>
      </c>
      <c r="AE40" s="425"/>
      <c r="AF40" s="258"/>
      <c r="AG40" s="258"/>
      <c r="AH40" s="258"/>
      <c r="AI40" s="258"/>
      <c r="AM40" s="258"/>
      <c r="AN40" s="258"/>
      <c r="AO40" s="258"/>
      <c r="AP40" s="258"/>
      <c r="AQ40" s="258"/>
    </row>
    <row r="41" spans="1:43">
      <c r="A41" s="254">
        <f t="shared" si="2"/>
        <v>34</v>
      </c>
      <c r="B41" s="427">
        <v>1955</v>
      </c>
      <c r="C41" s="254" t="s">
        <v>251</v>
      </c>
      <c r="D41" s="255">
        <f>'תקציב החברה לפיתוח 2019'!D61</f>
        <v>250000</v>
      </c>
      <c r="E41" s="255">
        <f>'תקציב החברה לפיתוח 2019'!E61</f>
        <v>250000</v>
      </c>
      <c r="F41" s="255">
        <f>'תקציב החברה לפיתוח 2019'!F61</f>
        <v>0</v>
      </c>
      <c r="G41" s="255">
        <f>'תקציב החברה לפיתוח 2019'!G61</f>
        <v>250000</v>
      </c>
      <c r="H41" s="255">
        <f>'תקציב החברה לפיתוח 2019'!H61</f>
        <v>0</v>
      </c>
      <c r="I41" s="255">
        <f>'תקציב החברה לפיתוח 2019'!I61</f>
        <v>0</v>
      </c>
      <c r="J41" s="255">
        <f>'תקציב החברה לפיתוח 2019'!J61</f>
        <v>0</v>
      </c>
      <c r="K41" s="255">
        <f>'תקציב החברה לפיתוח 2019'!K61</f>
        <v>0</v>
      </c>
      <c r="L41" s="255">
        <f>'תקציב החברה לפיתוח 2019'!L61</f>
        <v>0</v>
      </c>
      <c r="M41" s="255">
        <f>'תקציב החברה לפיתוח 2019'!M61</f>
        <v>250000</v>
      </c>
      <c r="N41" s="255">
        <f>'תקציב החברה לפיתוח 2019'!N61</f>
        <v>0</v>
      </c>
      <c r="O41" s="255">
        <f>'תקציב החברה לפיתוח 2019'!O61</f>
        <v>0</v>
      </c>
      <c r="P41" s="255">
        <f>'תקציב החברה לפיתוח 2019'!P61</f>
        <v>250000</v>
      </c>
      <c r="Q41" s="255">
        <f>'תקציב החברה לפיתוח 2019'!Q61</f>
        <v>0</v>
      </c>
      <c r="R41" s="255">
        <f>'תקציב החברה לפיתוח 2019'!R61</f>
        <v>0</v>
      </c>
      <c r="S41" s="255">
        <f>'תקציב החברה לפיתוח 2019'!S61</f>
        <v>0</v>
      </c>
      <c r="T41" s="255">
        <f>'תקציב החברה לפיתוח 2019'!T61</f>
        <v>0</v>
      </c>
      <c r="U41" s="255">
        <f>'תקציב החברה לפיתוח 2019'!U61</f>
        <v>0</v>
      </c>
      <c r="V41" s="255">
        <f>'תקציב החברה לפיתוח 2019'!V61</f>
        <v>0</v>
      </c>
      <c r="W41" s="255">
        <f>'תקציב החברה לפיתוח 2019'!W61</f>
        <v>0</v>
      </c>
      <c r="X41" s="255">
        <f>'תקציב החברה לפיתוח 2019'!X61</f>
        <v>0</v>
      </c>
      <c r="Y41" s="255">
        <f>'תקציב החברה לפיתוח 2019'!Y61</f>
        <v>0</v>
      </c>
      <c r="Z41" s="255">
        <f>'תקציב החברה לפיתוח 2019'!Z61</f>
        <v>0</v>
      </c>
      <c r="AA41" s="254"/>
      <c r="AB41" s="254">
        <v>742000</v>
      </c>
      <c r="AE41" s="425"/>
      <c r="AF41" s="258"/>
      <c r="AG41" s="266"/>
      <c r="AH41" s="266"/>
      <c r="AI41" s="266"/>
    </row>
    <row r="42" spans="1:43" s="258" customFormat="1" ht="42">
      <c r="A42" s="254">
        <f t="shared" si="2"/>
        <v>35</v>
      </c>
      <c r="B42" s="254">
        <v>2002</v>
      </c>
      <c r="C42" s="254" t="s">
        <v>381</v>
      </c>
      <c r="D42" s="255">
        <f>'תקציב החברה לפיתוח 2019'!D65</f>
        <v>1500000</v>
      </c>
      <c r="E42" s="255">
        <f>'תקציב החברה לפיתוח 2019'!E65</f>
        <v>1500000</v>
      </c>
      <c r="F42" s="255">
        <f>'תקציב החברה לפיתוח 2019'!F65</f>
        <v>0</v>
      </c>
      <c r="G42" s="255">
        <f>'תקציב החברה לפיתוח 2019'!G65</f>
        <v>865000</v>
      </c>
      <c r="H42" s="255">
        <f>'תקציב החברה לפיתוח 2019'!H65</f>
        <v>3473</v>
      </c>
      <c r="I42" s="255">
        <f>'תקציב החברה לפיתוח 2019'!I65</f>
        <v>0</v>
      </c>
      <c r="J42" s="255">
        <f>'תקציב החברה לפיתוח 2019'!J65</f>
        <v>568945</v>
      </c>
      <c r="K42" s="255">
        <f>'תקציב החברה לפיתוח 2019'!K65</f>
        <v>568945</v>
      </c>
      <c r="L42" s="255">
        <f>'תקציב החברה לפיתוח 2019'!L65</f>
        <v>572418</v>
      </c>
      <c r="M42" s="255">
        <f>'תקציב החברה לפיתוח 2019'!M65</f>
        <v>292582</v>
      </c>
      <c r="N42" s="255">
        <f>'תקציב החברה לפיתוח 2019'!N65</f>
        <v>635000</v>
      </c>
      <c r="O42" s="255">
        <f>'תקציב החברה לפיתוח 2019'!O65</f>
        <v>0</v>
      </c>
      <c r="P42" s="255">
        <f>'תקציב החברה לפיתוח 2019'!P65</f>
        <v>292582</v>
      </c>
      <c r="Q42" s="255">
        <f>'תקציב החברה לפיתוח 2019'!Q65</f>
        <v>0</v>
      </c>
      <c r="R42" s="255">
        <f>'תקציב החברה לפיתוח 2019'!R65</f>
        <v>0</v>
      </c>
      <c r="S42" s="255">
        <f>'תקציב החברה לפיתוח 2019'!S65</f>
        <v>0</v>
      </c>
      <c r="T42" s="255">
        <f>'תקציב החברה לפיתוח 2019'!T65</f>
        <v>0</v>
      </c>
      <c r="U42" s="255">
        <f>'תקציב החברה לפיתוח 2019'!U65</f>
        <v>635000</v>
      </c>
      <c r="V42" s="255">
        <f>'תקציב החברה לפיתוח 2019'!V65</f>
        <v>635000</v>
      </c>
      <c r="W42" s="255">
        <f>'תקציב החברה לפיתוח 2019'!W65</f>
        <v>0</v>
      </c>
      <c r="X42" s="255">
        <f>'תקציב החברה לפיתוח 2019'!X65</f>
        <v>0</v>
      </c>
      <c r="Y42" s="255">
        <f>'תקציב החברה לפיתוח 2019'!Y65</f>
        <v>0</v>
      </c>
      <c r="Z42" s="255">
        <f>'תקציב החברה לפיתוח 2019'!Z65</f>
        <v>0</v>
      </c>
      <c r="AA42" s="254" t="s">
        <v>1069</v>
      </c>
      <c r="AB42" s="254">
        <v>742000</v>
      </c>
      <c r="AC42" s="420"/>
      <c r="AD42" s="266"/>
      <c r="AE42" s="425"/>
      <c r="AJ42" s="416"/>
      <c r="AK42" s="416"/>
      <c r="AL42" s="416"/>
      <c r="AM42" s="265"/>
      <c r="AN42" s="265"/>
      <c r="AO42" s="265"/>
      <c r="AP42" s="265"/>
      <c r="AQ42" s="265"/>
    </row>
    <row r="43" spans="1:43">
      <c r="A43" s="254">
        <f t="shared" si="2"/>
        <v>36</v>
      </c>
      <c r="B43" s="254">
        <v>2008</v>
      </c>
      <c r="C43" s="254" t="s">
        <v>672</v>
      </c>
      <c r="D43" s="255">
        <f>'תקציב החברה לפיתוח 2019'!D66</f>
        <v>2500000</v>
      </c>
      <c r="E43" s="255">
        <f>'תקציב החברה לפיתוח 2019'!E66</f>
        <v>2500000</v>
      </c>
      <c r="F43" s="255">
        <f>'תקציב החברה לפיתוח 2019'!F66</f>
        <v>0</v>
      </c>
      <c r="G43" s="255">
        <f>'תקציב החברה לפיתוח 2019'!G66</f>
        <v>0</v>
      </c>
      <c r="H43" s="255">
        <f>'תקציב החברה לפיתוח 2019'!H66</f>
        <v>0</v>
      </c>
      <c r="I43" s="255">
        <f>'תקציב החברה לפיתוח 2019'!I66</f>
        <v>0</v>
      </c>
      <c r="J43" s="255">
        <f>'תקציב החברה לפיתוח 2019'!J66</f>
        <v>0</v>
      </c>
      <c r="K43" s="255">
        <f>'תקציב החברה לפיתוח 2019'!K66</f>
        <v>0</v>
      </c>
      <c r="L43" s="255">
        <f>'תקציב החברה לפיתוח 2019'!L66</f>
        <v>0</v>
      </c>
      <c r="M43" s="255">
        <f>'תקציב החברה לפיתוח 2019'!M66</f>
        <v>0</v>
      </c>
      <c r="N43" s="255">
        <f>'תקציב החברה לפיתוח 2019'!N66</f>
        <v>0</v>
      </c>
      <c r="O43" s="255">
        <f>'תקציב החברה לפיתוח 2019'!O66</f>
        <v>2500000</v>
      </c>
      <c r="P43" s="255">
        <f>'תקציב החברה לפיתוח 2019'!P66</f>
        <v>0</v>
      </c>
      <c r="Q43" s="255">
        <f>'תקציב החברה לפיתוח 2019'!Q66</f>
        <v>0</v>
      </c>
      <c r="R43" s="255">
        <f>'תקציב החברה לפיתוח 2019'!R66</f>
        <v>0</v>
      </c>
      <c r="S43" s="255">
        <f>'תקציב החברה לפיתוח 2019'!S66</f>
        <v>0</v>
      </c>
      <c r="T43" s="255">
        <f>'תקציב החברה לפיתוח 2019'!T66</f>
        <v>0</v>
      </c>
      <c r="U43" s="255">
        <f>'תקציב החברה לפיתוח 2019'!U66</f>
        <v>0</v>
      </c>
      <c r="V43" s="255">
        <f>'תקציב החברה לפיתוח 2019'!V66</f>
        <v>0</v>
      </c>
      <c r="W43" s="255">
        <f>'תקציב החברה לפיתוח 2019'!W66</f>
        <v>0</v>
      </c>
      <c r="X43" s="255">
        <f>'תקציב החברה לפיתוח 2019'!X66</f>
        <v>0</v>
      </c>
      <c r="Y43" s="255">
        <f>'תקציב החברה לפיתוח 2019'!Y66</f>
        <v>0</v>
      </c>
      <c r="Z43" s="255">
        <f>'תקציב החברה לפיתוח 2019'!Z66</f>
        <v>0</v>
      </c>
      <c r="AA43" s="428"/>
      <c r="AB43" s="254">
        <v>742000</v>
      </c>
      <c r="AE43" s="425"/>
      <c r="AF43" s="258"/>
      <c r="AG43" s="258"/>
      <c r="AH43" s="258"/>
      <c r="AI43" s="258"/>
      <c r="AM43" s="265"/>
      <c r="AN43" s="265"/>
      <c r="AO43" s="265"/>
      <c r="AP43" s="265"/>
      <c r="AQ43" s="265"/>
    </row>
    <row r="44" spans="1:43" s="258" customFormat="1" ht="42">
      <c r="A44" s="254">
        <f t="shared" si="2"/>
        <v>37</v>
      </c>
      <c r="B44" s="254">
        <v>2018</v>
      </c>
      <c r="C44" s="254" t="s">
        <v>714</v>
      </c>
      <c r="D44" s="255">
        <f>'תקציב החברה לפיתוח 2019'!D70</f>
        <v>10000000</v>
      </c>
      <c r="E44" s="255">
        <f>'תקציב החברה לפיתוח 2019'!E70</f>
        <v>10000000</v>
      </c>
      <c r="F44" s="255">
        <f>'תקציב החברה לפיתוח 2019'!F70</f>
        <v>0</v>
      </c>
      <c r="G44" s="255">
        <f>'תקציב החברה לפיתוח 2019'!G70</f>
        <v>1000000</v>
      </c>
      <c r="H44" s="255">
        <f>'תקציב החברה לפיתוח 2019'!H70</f>
        <v>63471</v>
      </c>
      <c r="I44" s="255">
        <f>'תקציב החברה לפיתוח 2019'!I70</f>
        <v>0</v>
      </c>
      <c r="J44" s="255">
        <f>'תקציב החברה לפיתוח 2019'!J70</f>
        <v>236517.04</v>
      </c>
      <c r="K44" s="255">
        <f>'תקציב החברה לפיתוח 2019'!K70</f>
        <v>236517.04</v>
      </c>
      <c r="L44" s="255">
        <f>'תקציב החברה לפיתוח 2019'!L70</f>
        <v>299988.04000000004</v>
      </c>
      <c r="M44" s="255">
        <f>'תקציב החברה לפיתוח 2019'!M70</f>
        <v>3000011.96</v>
      </c>
      <c r="N44" s="255">
        <f>'תקציב החברה לפיתוח 2019'!N70</f>
        <v>1300000</v>
      </c>
      <c r="O44" s="255">
        <f>'תקציב החברה לפיתוח 2019'!O70</f>
        <v>5400000.0000000009</v>
      </c>
      <c r="P44" s="255">
        <f>'תקציב החברה לפיתוח 2019'!P70</f>
        <v>700011.96</v>
      </c>
      <c r="Q44" s="255">
        <f>'תקציב החברה לפיתוח 2019'!Q70</f>
        <v>2300000</v>
      </c>
      <c r="R44" s="255">
        <f>'תקציב החברה לפיתוח 2019'!R70</f>
        <v>0</v>
      </c>
      <c r="S44" s="255">
        <f>'תקציב החברה לפיתוח 2019'!S70</f>
        <v>2300000</v>
      </c>
      <c r="T44" s="255">
        <f>'תקציב החברה לפיתוח 2019'!T70</f>
        <v>0</v>
      </c>
      <c r="U44" s="255">
        <f>'תקציב החברה לפיתוח 2019'!U70</f>
        <v>1300000</v>
      </c>
      <c r="V44" s="255">
        <f>'תקציב החברה לפיתוח 2019'!V70</f>
        <v>1300000</v>
      </c>
      <c r="W44" s="255">
        <f>'תקציב החברה לפיתוח 2019'!W70</f>
        <v>0</v>
      </c>
      <c r="X44" s="255">
        <f>'תקציב החברה לפיתוח 2019'!X70</f>
        <v>0</v>
      </c>
      <c r="Y44" s="255">
        <f>'תקציב החברה לפיתוח 2019'!Y70</f>
        <v>0</v>
      </c>
      <c r="Z44" s="255">
        <f>'תקציב החברה לפיתוח 2019'!Z70</f>
        <v>0</v>
      </c>
      <c r="AA44" s="254" t="s">
        <v>1070</v>
      </c>
      <c r="AB44" s="254">
        <v>742000</v>
      </c>
      <c r="AC44" s="420"/>
      <c r="AD44" s="266"/>
      <c r="AE44" s="425"/>
      <c r="AG44" s="266"/>
      <c r="AH44" s="266"/>
      <c r="AI44" s="266"/>
      <c r="AJ44" s="416"/>
      <c r="AK44" s="416"/>
      <c r="AL44" s="416"/>
      <c r="AM44" s="247"/>
      <c r="AN44" s="247"/>
      <c r="AO44" s="247"/>
      <c r="AP44" s="247"/>
      <c r="AQ44" s="247"/>
    </row>
    <row r="45" spans="1:43" s="258" customFormat="1" ht="42">
      <c r="A45" s="254">
        <f t="shared" si="2"/>
        <v>38</v>
      </c>
      <c r="B45" s="254">
        <v>2019</v>
      </c>
      <c r="C45" s="254" t="s">
        <v>715</v>
      </c>
      <c r="D45" s="255">
        <f>'תקציב החברה לפיתוח 2019'!D71</f>
        <v>1200000</v>
      </c>
      <c r="E45" s="255">
        <f>'תקציב החברה לפיתוח 2019'!E71</f>
        <v>1200000</v>
      </c>
      <c r="F45" s="255">
        <f>'תקציב החברה לפיתוח 2019'!F71</f>
        <v>0</v>
      </c>
      <c r="G45" s="255">
        <f>'תקציב החברה לפיתוח 2019'!G71</f>
        <v>350000</v>
      </c>
      <c r="H45" s="255">
        <f>'תקציב החברה לפיתוח 2019'!H71</f>
        <v>0</v>
      </c>
      <c r="I45" s="255">
        <f>'תקציב החברה לפיתוח 2019'!I71</f>
        <v>0</v>
      </c>
      <c r="J45" s="255">
        <f>'תקציב החברה לפיתוח 2019'!J71</f>
        <v>0</v>
      </c>
      <c r="K45" s="255">
        <f>'תקציב החברה לפיתוח 2019'!K71</f>
        <v>0</v>
      </c>
      <c r="L45" s="255">
        <f>'תקציב החברה לפיתוח 2019'!L71</f>
        <v>0</v>
      </c>
      <c r="M45" s="255">
        <f>'תקציב החברה לפיתוח 2019'!M71</f>
        <v>1200000</v>
      </c>
      <c r="N45" s="255">
        <f>'תקציב החברה לפיתוח 2019'!N71</f>
        <v>0</v>
      </c>
      <c r="O45" s="255">
        <f>'תקציב החברה לפיתוח 2019'!O71</f>
        <v>0</v>
      </c>
      <c r="P45" s="255">
        <f>'תקציב החברה לפיתוח 2019'!P71</f>
        <v>350000</v>
      </c>
      <c r="Q45" s="255">
        <f>'תקציב החברה לפיתוח 2019'!Q71</f>
        <v>850000</v>
      </c>
      <c r="R45" s="255">
        <f>'תקציב החברה לפיתוח 2019'!R71</f>
        <v>0</v>
      </c>
      <c r="S45" s="255">
        <f>'תקציב החברה לפיתוח 2019'!S71</f>
        <v>850000</v>
      </c>
      <c r="T45" s="255">
        <f>'תקציב החברה לפיתוח 2019'!T71</f>
        <v>0</v>
      </c>
      <c r="U45" s="255">
        <f>'תקציב החברה לפיתוח 2019'!U71</f>
        <v>0</v>
      </c>
      <c r="V45" s="255">
        <f>'תקציב החברה לפיתוח 2019'!V71</f>
        <v>0</v>
      </c>
      <c r="W45" s="255">
        <f>'תקציב החברה לפיתוח 2019'!W71</f>
        <v>0</v>
      </c>
      <c r="X45" s="255">
        <f>'תקציב החברה לפיתוח 2019'!X71</f>
        <v>0</v>
      </c>
      <c r="Y45" s="255">
        <f>'תקציב החברה לפיתוח 2019'!Y71</f>
        <v>0</v>
      </c>
      <c r="Z45" s="255">
        <f>'תקציב החברה לפיתוח 2019'!Z71</f>
        <v>0</v>
      </c>
      <c r="AA45" s="254" t="s">
        <v>1071</v>
      </c>
      <c r="AB45" s="254">
        <v>742000</v>
      </c>
      <c r="AC45" s="420"/>
      <c r="AD45" s="266"/>
      <c r="AE45" s="425"/>
      <c r="AG45" s="266"/>
      <c r="AH45" s="266"/>
      <c r="AI45" s="266"/>
      <c r="AJ45" s="416"/>
      <c r="AK45" s="416"/>
      <c r="AL45" s="416"/>
      <c r="AM45" s="247"/>
      <c r="AN45" s="247"/>
      <c r="AO45" s="247"/>
      <c r="AP45" s="247"/>
      <c r="AQ45" s="247"/>
    </row>
    <row r="46" spans="1:43" s="258" customFormat="1" ht="42">
      <c r="A46" s="254">
        <f>1+A45</f>
        <v>39</v>
      </c>
      <c r="B46" s="254">
        <v>1547</v>
      </c>
      <c r="C46" s="254" t="s">
        <v>1080</v>
      </c>
      <c r="D46" s="255">
        <f>'תקציב החברה לפיתוח 2019'!D96</f>
        <v>144000000</v>
      </c>
      <c r="E46" s="255">
        <f>'תקציב החברה לפיתוח 2019'!E96</f>
        <v>144000000</v>
      </c>
      <c r="F46" s="255">
        <f>'תקציב החברה לפיתוח 2019'!F96</f>
        <v>0</v>
      </c>
      <c r="G46" s="255">
        <f>'תקציב החברה לפיתוח 2019'!G96</f>
        <v>81000000</v>
      </c>
      <c r="H46" s="255">
        <f>'תקציב החברה לפיתוח 2019'!H96</f>
        <v>70046361</v>
      </c>
      <c r="I46" s="255">
        <f>'תקציב החברה לפיתוח 2019'!I96</f>
        <v>1052805.8700000001</v>
      </c>
      <c r="J46" s="255">
        <f>'תקציב החברה לפיתוח 2019'!J96</f>
        <v>3992160</v>
      </c>
      <c r="K46" s="255">
        <f>'תקציב החברה לפיתוח 2019'!K96</f>
        <v>5044965.87</v>
      </c>
      <c r="L46" s="255">
        <f>'תקציב החברה לפיתוח 2019'!L96</f>
        <v>75091326.870000005</v>
      </c>
      <c r="M46" s="255">
        <f>'תקציב החברה לפיתוח 2019'!M96</f>
        <v>14908673.129999995</v>
      </c>
      <c r="N46" s="255">
        <f>'תקציב החברה לפיתוח 2019'!N96</f>
        <v>54000000</v>
      </c>
      <c r="O46" s="255">
        <f>'תקציב החברה לפיתוח 2019'!O96</f>
        <v>0</v>
      </c>
      <c r="P46" s="255">
        <f>'תקציב החברה לפיתוח 2019'!P96</f>
        <v>5908673.1299999952</v>
      </c>
      <c r="Q46" s="255">
        <f>'תקציב החברה לפיתוח 2019'!Q96</f>
        <v>9000000</v>
      </c>
      <c r="R46" s="255">
        <f>'תקציב החברה לפיתוח 2019'!R96</f>
        <v>0</v>
      </c>
      <c r="S46" s="255">
        <f>'תקציב החברה לפיתוח 2019'!S96</f>
        <v>9000000</v>
      </c>
      <c r="T46" s="255">
        <f>'תקציב החברה לפיתוח 2019'!T96</f>
        <v>0</v>
      </c>
      <c r="U46" s="255">
        <f>'תקציב החברה לפיתוח 2019'!U96</f>
        <v>54000000</v>
      </c>
      <c r="V46" s="255">
        <f>'תקציב החברה לפיתוח 2019'!V96</f>
        <v>0</v>
      </c>
      <c r="W46" s="255">
        <f>'תקציב החברה לפיתוח 2019'!W96</f>
        <v>0</v>
      </c>
      <c r="X46" s="255">
        <f>'תקציב החברה לפיתוח 2019'!X96</f>
        <v>0</v>
      </c>
      <c r="Y46" s="255">
        <f>'תקציב החברה לפיתוח 2019'!Y96</f>
        <v>25000000</v>
      </c>
      <c r="Z46" s="255">
        <f>'תקציב החברה לפיתוח 2019'!Z96</f>
        <v>29000000</v>
      </c>
      <c r="AA46" s="255" t="str">
        <f>'תקציב החברה לפיתוח 2019'!AA96</f>
        <v>עבודות פיתוח. מימון רמ"י במסגרת הסכם "הגג".</v>
      </c>
      <c r="AB46" s="254">
        <v>742000</v>
      </c>
      <c r="AC46" s="420"/>
      <c r="AD46" s="266"/>
      <c r="AE46" s="425"/>
      <c r="AJ46" s="416"/>
      <c r="AK46" s="416"/>
      <c r="AL46" s="416"/>
      <c r="AO46" s="261"/>
    </row>
    <row r="47" spans="1:43" ht="42">
      <c r="A47" s="254">
        <f>1+A46</f>
        <v>40</v>
      </c>
      <c r="B47" s="427">
        <v>1919</v>
      </c>
      <c r="C47" s="254" t="s">
        <v>214</v>
      </c>
      <c r="D47" s="255">
        <f>'תקציב החברה לפיתוח 2019'!D108</f>
        <v>135100000</v>
      </c>
      <c r="E47" s="255">
        <f>'תקציב החברה לפיתוח 2019'!E108</f>
        <v>135100000</v>
      </c>
      <c r="F47" s="255">
        <f>'תקציב החברה לפיתוח 2019'!F108</f>
        <v>0</v>
      </c>
      <c r="G47" s="255">
        <f>'תקציב החברה לפיתוח 2019'!G108</f>
        <v>33902858</v>
      </c>
      <c r="H47" s="255">
        <f>'תקציב החברה לפיתוח 2019'!H108</f>
        <v>14793296</v>
      </c>
      <c r="I47" s="255">
        <f>'תקציב החברה לפיתוח 2019'!I108</f>
        <v>0</v>
      </c>
      <c r="J47" s="255">
        <f>'תקציב החברה לפיתוח 2019'!J108</f>
        <v>7517279</v>
      </c>
      <c r="K47" s="255">
        <f>'תקציב החברה לפיתוח 2019'!K108</f>
        <v>7517279</v>
      </c>
      <c r="L47" s="255">
        <f>'תקציב החברה לפיתוח 2019'!L108</f>
        <v>22310575</v>
      </c>
      <c r="M47" s="255">
        <f>'תקציב החברה לפיתוח 2019'!M108</f>
        <v>17787952</v>
      </c>
      <c r="N47" s="255">
        <f>'תקציב החברה לפיתוח 2019'!N108</f>
        <v>506251</v>
      </c>
      <c r="O47" s="255">
        <f>'תקציב החברה לפיתוח 2019'!O108</f>
        <v>94495222</v>
      </c>
      <c r="P47" s="255">
        <f>'תקציב החברה לפיתוח 2019'!P108</f>
        <v>11592283</v>
      </c>
      <c r="Q47" s="255">
        <f>'תקציב החברה לפיתוח 2019'!Q108</f>
        <v>6195669</v>
      </c>
      <c r="R47" s="255">
        <f>'תקציב החברה לפיתוח 2019'!R108</f>
        <v>0</v>
      </c>
      <c r="S47" s="255">
        <f>'תקציב החברה לפיתוח 2019'!S108</f>
        <v>6195669</v>
      </c>
      <c r="T47" s="255">
        <f>'תקציב החברה לפיתוח 2019'!T108</f>
        <v>0</v>
      </c>
      <c r="U47" s="255">
        <f>'תקציב החברה לפיתוח 2019'!U108</f>
        <v>506251</v>
      </c>
      <c r="V47" s="255">
        <f>'תקציב החברה לפיתוח 2019'!V108</f>
        <v>0</v>
      </c>
      <c r="W47" s="255">
        <f>'תקציב החברה לפיתוח 2019'!W108</f>
        <v>0</v>
      </c>
      <c r="X47" s="255">
        <f>'תקציב החברה לפיתוח 2019'!X108</f>
        <v>0</v>
      </c>
      <c r="Y47" s="255">
        <f>'תקציב החברה לפיתוח 2019'!Y108</f>
        <v>0</v>
      </c>
      <c r="Z47" s="255">
        <f>'תקציב החברה לפיתוח 2019'!Z108</f>
        <v>506251</v>
      </c>
      <c r="AA47" s="255" t="str">
        <f>'תקציב החברה לפיתוח 2019'!AA108</f>
        <v>עבודות פיתוח. מימון רמ"י במסגרת הסכם "הגג".</v>
      </c>
      <c r="AB47" s="254">
        <v>742000</v>
      </c>
      <c r="AE47" s="425"/>
      <c r="AF47" s="258"/>
      <c r="AG47" s="266"/>
      <c r="AH47" s="266"/>
      <c r="AI47" s="266"/>
      <c r="AO47" s="248"/>
    </row>
    <row r="48" spans="1:43">
      <c r="A48" s="254">
        <f>1+A47</f>
        <v>41</v>
      </c>
      <c r="B48" s="427">
        <v>1961</v>
      </c>
      <c r="C48" s="254" t="s">
        <v>288</v>
      </c>
      <c r="D48" s="255">
        <f>'תקציב החברה לפיתוח 2019'!D111</f>
        <v>3000000</v>
      </c>
      <c r="E48" s="255">
        <f>'תקציב החברה לפיתוח 2019'!E111</f>
        <v>3000000</v>
      </c>
      <c r="F48" s="255">
        <f>'תקציב החברה לפיתוח 2019'!F111</f>
        <v>0</v>
      </c>
      <c r="G48" s="255">
        <f>'תקציב החברה לפיתוח 2019'!G111</f>
        <v>1500000</v>
      </c>
      <c r="H48" s="255">
        <f>'תקציב החברה לפיתוח 2019'!H111</f>
        <v>0</v>
      </c>
      <c r="I48" s="255">
        <f>'תקציב החברה לפיתוח 2019'!I111</f>
        <v>0</v>
      </c>
      <c r="J48" s="255">
        <f>'תקציב החברה לפיתוח 2019'!J111</f>
        <v>0</v>
      </c>
      <c r="K48" s="255">
        <f>'תקציב החברה לפיתוח 2019'!K111</f>
        <v>0</v>
      </c>
      <c r="L48" s="255">
        <f>'תקציב החברה לפיתוח 2019'!L111</f>
        <v>0</v>
      </c>
      <c r="M48" s="255">
        <f>'תקציב החברה לפיתוח 2019'!M111</f>
        <v>1500000</v>
      </c>
      <c r="N48" s="255">
        <f>'תקציב החברה לפיתוח 2019'!N111</f>
        <v>0</v>
      </c>
      <c r="O48" s="255">
        <f>'תקציב החברה לפיתוח 2019'!O111</f>
        <v>1500000</v>
      </c>
      <c r="P48" s="255">
        <f>'תקציב החברה לפיתוח 2019'!P111</f>
        <v>1500000</v>
      </c>
      <c r="Q48" s="255">
        <f>'תקציב החברה לפיתוח 2019'!Q111</f>
        <v>0</v>
      </c>
      <c r="R48" s="255">
        <f>'תקציב החברה לפיתוח 2019'!R111</f>
        <v>0</v>
      </c>
      <c r="S48" s="255">
        <f>'תקציב החברה לפיתוח 2019'!S111</f>
        <v>0</v>
      </c>
      <c r="T48" s="255">
        <f>'תקציב החברה לפיתוח 2019'!T111</f>
        <v>0</v>
      </c>
      <c r="U48" s="255">
        <f>'תקציב החברה לפיתוח 2019'!U111</f>
        <v>0</v>
      </c>
      <c r="V48" s="255">
        <f>'תקציב החברה לפיתוח 2019'!V111</f>
        <v>0</v>
      </c>
      <c r="W48" s="255">
        <f>'תקציב החברה לפיתוח 2019'!W111</f>
        <v>0</v>
      </c>
      <c r="X48" s="255">
        <f>'תקציב החברה לפיתוח 2019'!X111</f>
        <v>0</v>
      </c>
      <c r="Y48" s="255">
        <f>'תקציב החברה לפיתוח 2019'!Y111</f>
        <v>0</v>
      </c>
      <c r="Z48" s="255">
        <f>'תקציב החברה לפיתוח 2019'!Z111</f>
        <v>0</v>
      </c>
      <c r="AA48" s="255">
        <f>'תקציב החברה לפיתוח 2019'!AA111</f>
        <v>0</v>
      </c>
      <c r="AB48" s="254">
        <v>742000</v>
      </c>
      <c r="AE48" s="425"/>
      <c r="AF48" s="258"/>
      <c r="AG48" s="266"/>
      <c r="AH48" s="266"/>
      <c r="AI48" s="266"/>
      <c r="AO48" s="261"/>
    </row>
    <row r="49" spans="1:43" ht="28">
      <c r="A49" s="254">
        <f>1+A48</f>
        <v>42</v>
      </c>
      <c r="B49" s="427">
        <v>1962</v>
      </c>
      <c r="C49" s="254" t="s">
        <v>289</v>
      </c>
      <c r="D49" s="255">
        <f>'תקציב החברה לפיתוח 2019'!D112</f>
        <v>20000000</v>
      </c>
      <c r="E49" s="255">
        <f>'תקציב החברה לפיתוח 2019'!E112</f>
        <v>20000000</v>
      </c>
      <c r="F49" s="255">
        <f>'תקציב החברה לפיתוח 2019'!F112</f>
        <v>0</v>
      </c>
      <c r="G49" s="255">
        <f>'תקציב החברה לפיתוח 2019'!G112</f>
        <v>1000000</v>
      </c>
      <c r="H49" s="255">
        <f>'תקציב החברה לפיתוח 2019'!H112</f>
        <v>0</v>
      </c>
      <c r="I49" s="255">
        <f>'תקציב החברה לפיתוח 2019'!I112</f>
        <v>0</v>
      </c>
      <c r="J49" s="255">
        <f>'תקציב החברה לפיתוח 2019'!J112</f>
        <v>0</v>
      </c>
      <c r="K49" s="255">
        <f>'תקציב החברה לפיתוח 2019'!K112</f>
        <v>0</v>
      </c>
      <c r="L49" s="255">
        <f>'תקציב החברה לפיתוח 2019'!L112</f>
        <v>0</v>
      </c>
      <c r="M49" s="255">
        <f>'תקציב החברה לפיתוח 2019'!M112</f>
        <v>1000000</v>
      </c>
      <c r="N49" s="255">
        <f>'תקציב החברה לפיתוח 2019'!N112</f>
        <v>0</v>
      </c>
      <c r="O49" s="255">
        <f>'תקציב החברה לפיתוח 2019'!O112</f>
        <v>19000000</v>
      </c>
      <c r="P49" s="255">
        <f>'תקציב החברה לפיתוח 2019'!P112</f>
        <v>1000000</v>
      </c>
      <c r="Q49" s="255">
        <f>'תקציב החברה לפיתוח 2019'!Q112</f>
        <v>0</v>
      </c>
      <c r="R49" s="255">
        <f>'תקציב החברה לפיתוח 2019'!R112</f>
        <v>0</v>
      </c>
      <c r="S49" s="255">
        <f>'תקציב החברה לפיתוח 2019'!S112</f>
        <v>0</v>
      </c>
      <c r="T49" s="255">
        <f>'תקציב החברה לפיתוח 2019'!T112</f>
        <v>0</v>
      </c>
      <c r="U49" s="255">
        <f>'תקציב החברה לפיתוח 2019'!U112</f>
        <v>0</v>
      </c>
      <c r="V49" s="255">
        <f>'תקציב החברה לפיתוח 2019'!V112</f>
        <v>0</v>
      </c>
      <c r="W49" s="255">
        <f>'תקציב החברה לפיתוח 2019'!W112</f>
        <v>0</v>
      </c>
      <c r="X49" s="255">
        <f>'תקציב החברה לפיתוח 2019'!X112</f>
        <v>0</v>
      </c>
      <c r="Y49" s="255">
        <f>'תקציב החברה לפיתוח 2019'!Y112</f>
        <v>0</v>
      </c>
      <c r="Z49" s="255">
        <f>'תקציב החברה לפיתוח 2019'!Z112</f>
        <v>0</v>
      </c>
      <c r="AA49" s="255">
        <f>'תקציב החברה לפיתוח 2019'!AA112</f>
        <v>0</v>
      </c>
      <c r="AB49" s="254">
        <v>742000</v>
      </c>
      <c r="AE49" s="425"/>
      <c r="AF49" s="258"/>
      <c r="AG49" s="266"/>
      <c r="AH49" s="266"/>
      <c r="AI49" s="266"/>
      <c r="AO49" s="248"/>
    </row>
    <row r="50" spans="1:43" ht="42">
      <c r="A50" s="254">
        <f>1+A49</f>
        <v>43</v>
      </c>
      <c r="B50" s="427">
        <v>1963</v>
      </c>
      <c r="C50" s="254" t="s">
        <v>1081</v>
      </c>
      <c r="D50" s="255">
        <f>'תקציב החברה לפיתוח 2019'!D113</f>
        <v>2800000</v>
      </c>
      <c r="E50" s="255">
        <f>'תקציב החברה לפיתוח 2019'!E113</f>
        <v>2800000</v>
      </c>
      <c r="F50" s="255">
        <f>'תקציב החברה לפיתוח 2019'!F113</f>
        <v>0</v>
      </c>
      <c r="G50" s="255">
        <f>'תקציב החברה לפיתוח 2019'!G113</f>
        <v>309655</v>
      </c>
      <c r="H50" s="255">
        <f>'תקציב החברה לפיתוח 2019'!H113</f>
        <v>0</v>
      </c>
      <c r="I50" s="255">
        <f>'תקציב החברה לפיתוח 2019'!I113</f>
        <v>0</v>
      </c>
      <c r="J50" s="255">
        <f>'תקציב החברה לפיתוח 2019'!J113</f>
        <v>0</v>
      </c>
      <c r="K50" s="255">
        <f>'תקציב החברה לפיתוח 2019'!K113</f>
        <v>0</v>
      </c>
      <c r="L50" s="255">
        <f>'תקציב החברה לפיתוח 2019'!L113</f>
        <v>0</v>
      </c>
      <c r="M50" s="255">
        <f>'תקציב החברה לפיתוח 2019'!M113</f>
        <v>0</v>
      </c>
      <c r="N50" s="255">
        <f>'תקציב החברה לפיתוח 2019'!N113</f>
        <v>0</v>
      </c>
      <c r="O50" s="255">
        <f>'תקציב החברה לפיתוח 2019'!O113</f>
        <v>2800000</v>
      </c>
      <c r="P50" s="255">
        <f>'תקציב החברה לפיתוח 2019'!P113</f>
        <v>309655</v>
      </c>
      <c r="Q50" s="255">
        <f>'תקציב החברה לפיתוח 2019'!Q113</f>
        <v>0</v>
      </c>
      <c r="R50" s="255">
        <f>'תקציב החברה לפיתוח 2019'!R113</f>
        <v>0</v>
      </c>
      <c r="S50" s="255">
        <f>'תקציב החברה לפיתוח 2019'!S113</f>
        <v>0</v>
      </c>
      <c r="T50" s="255">
        <f>'תקציב החברה לפיתוח 2019'!T113</f>
        <v>309655</v>
      </c>
      <c r="U50" s="255">
        <f>'תקציב החברה לפיתוח 2019'!U113</f>
        <v>-309655</v>
      </c>
      <c r="V50" s="255">
        <f>'תקציב החברה לפיתוח 2019'!V113</f>
        <v>0</v>
      </c>
      <c r="W50" s="255">
        <f>'תקציב החברה לפיתוח 2019'!W113</f>
        <v>0</v>
      </c>
      <c r="X50" s="255">
        <f>'תקציב החברה לפיתוח 2019'!X113</f>
        <v>0</v>
      </c>
      <c r="Y50" s="255">
        <f>'תקציב החברה לפיתוח 2019'!Y113</f>
        <v>-309655</v>
      </c>
      <c r="Z50" s="255">
        <f>'תקציב החברה לפיתוח 2019'!Z113</f>
        <v>0</v>
      </c>
      <c r="AA50" s="255">
        <f>'תקציב החברה לפיתוח 2019'!AA113</f>
        <v>0</v>
      </c>
      <c r="AB50" s="254">
        <v>742000</v>
      </c>
      <c r="AE50" s="425"/>
      <c r="AF50" s="258"/>
      <c r="AG50" s="266"/>
      <c r="AH50" s="266"/>
      <c r="AI50" s="266"/>
    </row>
    <row r="51" spans="1:43" s="258" customFormat="1">
      <c r="A51" s="254">
        <f>A50+1</f>
        <v>44</v>
      </c>
      <c r="B51" s="427">
        <v>1972</v>
      </c>
      <c r="C51" s="254" t="s">
        <v>709</v>
      </c>
      <c r="D51" s="255">
        <f>'תקציב החברה לפיתוח 2019'!D63</f>
        <v>4470000</v>
      </c>
      <c r="E51" s="255">
        <f>'תקציב החברה לפיתוח 2019'!E63</f>
        <v>4470000</v>
      </c>
      <c r="F51" s="255">
        <f>'תקציב החברה לפיתוח 2019'!F63</f>
        <v>0</v>
      </c>
      <c r="G51" s="255">
        <f>'תקציב החברה לפיתוח 2019'!G63</f>
        <v>900000</v>
      </c>
      <c r="H51" s="255">
        <f>'תקציב החברה לפיתוח 2019'!H63</f>
        <v>116425</v>
      </c>
      <c r="I51" s="255">
        <f>'תקציב החברה לפיתוח 2019'!I63</f>
        <v>0</v>
      </c>
      <c r="J51" s="255">
        <f>'תקציב החברה לפיתוח 2019'!J63</f>
        <v>539423</v>
      </c>
      <c r="K51" s="255">
        <f>'תקציב החברה לפיתוח 2019'!K63</f>
        <v>539423</v>
      </c>
      <c r="L51" s="255">
        <f>'תקציב החברה לפיתוח 2019'!L63</f>
        <v>655848</v>
      </c>
      <c r="M51" s="255">
        <f>'תקציב החברה לפיתוח 2019'!M63</f>
        <v>244152</v>
      </c>
      <c r="N51" s="255">
        <f>'תקציב החברה לפיתוח 2019'!N63</f>
        <v>3570000</v>
      </c>
      <c r="O51" s="255">
        <f>'תקציב החברה לפיתוח 2019'!O63</f>
        <v>0</v>
      </c>
      <c r="P51" s="255">
        <f>'תקציב החברה לפיתוח 2019'!P63</f>
        <v>244152</v>
      </c>
      <c r="Q51" s="255">
        <f>'תקציב החברה לפיתוח 2019'!Q63</f>
        <v>0</v>
      </c>
      <c r="R51" s="255">
        <f>'תקציב החברה לפיתוח 2019'!R63</f>
        <v>0</v>
      </c>
      <c r="S51" s="255">
        <f>'תקציב החברה לפיתוח 2019'!S63</f>
        <v>0</v>
      </c>
      <c r="T51" s="255">
        <f>'תקציב החברה לפיתוח 2019'!T63</f>
        <v>0</v>
      </c>
      <c r="U51" s="255">
        <f>'תקציב החברה לפיתוח 2019'!U63</f>
        <v>3570000</v>
      </c>
      <c r="V51" s="255">
        <f>'תקציב החברה לפיתוח 2019'!V63</f>
        <v>3570000</v>
      </c>
      <c r="W51" s="255">
        <f>'תקציב החברה לפיתוח 2019'!W63</f>
        <v>0</v>
      </c>
      <c r="X51" s="255">
        <f>'תקציב החברה לפיתוח 2019'!X63</f>
        <v>0</v>
      </c>
      <c r="Y51" s="255">
        <f>'תקציב החברה לפיתוח 2019'!Y63</f>
        <v>0</v>
      </c>
      <c r="Z51" s="255">
        <f>'תקציב החברה לפיתוח 2019'!Z63</f>
        <v>0</v>
      </c>
      <c r="AA51" s="254"/>
      <c r="AB51" s="254">
        <v>746000</v>
      </c>
      <c r="AC51" s="420"/>
      <c r="AD51" s="266"/>
      <c r="AE51" s="425"/>
      <c r="AG51" s="266"/>
      <c r="AH51" s="266"/>
      <c r="AI51" s="266"/>
      <c r="AJ51" s="416"/>
      <c r="AK51" s="416"/>
      <c r="AL51" s="416"/>
      <c r="AM51" s="247"/>
      <c r="AN51" s="247"/>
      <c r="AO51" s="261"/>
      <c r="AP51" s="247"/>
      <c r="AQ51" s="247"/>
    </row>
    <row r="52" spans="1:43" s="5" customFormat="1" ht="30" customHeight="1">
      <c r="A52" s="254">
        <f>1+A51</f>
        <v>45</v>
      </c>
      <c r="B52" s="427">
        <v>1827</v>
      </c>
      <c r="C52" s="254" t="s">
        <v>729</v>
      </c>
      <c r="D52" s="255">
        <f>'תקציב החברה לפיתוח 2019'!D97</f>
        <v>100000000</v>
      </c>
      <c r="E52" s="255">
        <f>'תקציב החברה לפיתוח 2019'!E97</f>
        <v>100000000</v>
      </c>
      <c r="F52" s="255">
        <f>'תקציב החברה לפיתוח 2019'!F97</f>
        <v>0</v>
      </c>
      <c r="G52" s="255">
        <f>'תקציב החברה לפיתוח 2019'!G97</f>
        <v>51268638</v>
      </c>
      <c r="H52" s="255">
        <f>'תקציב החברה לפיתוח 2019'!H97</f>
        <v>26567750</v>
      </c>
      <c r="I52" s="255">
        <f>'תקציב החברה לפיתוח 2019'!I97</f>
        <v>0</v>
      </c>
      <c r="J52" s="255">
        <f>'תקציב החברה לפיתוח 2019'!J97</f>
        <v>6688669</v>
      </c>
      <c r="K52" s="255">
        <f>'תקציב החברה לפיתוח 2019'!K97</f>
        <v>6688669</v>
      </c>
      <c r="L52" s="255">
        <f>'תקציב החברה לפיתוח 2019'!L97</f>
        <v>33256419</v>
      </c>
      <c r="M52" s="255">
        <f>'תקציב החברה לפיתוח 2019'!M97</f>
        <v>18012219</v>
      </c>
      <c r="N52" s="255">
        <f>'תקציב החברה לפיתוח 2019'!N97</f>
        <v>48731362</v>
      </c>
      <c r="O52" s="255">
        <f>'תקציב החברה לפיתוח 2019'!O97</f>
        <v>0</v>
      </c>
      <c r="P52" s="255">
        <f>'תקציב החברה לפיתוח 2019'!P97</f>
        <v>18012219</v>
      </c>
      <c r="Q52" s="255">
        <f>'תקציב החברה לפיתוח 2019'!Q97</f>
        <v>0</v>
      </c>
      <c r="R52" s="255">
        <f>'תקציב החברה לפיתוח 2019'!R97</f>
        <v>0</v>
      </c>
      <c r="S52" s="255">
        <f>'תקציב החברה לפיתוח 2019'!S97</f>
        <v>0</v>
      </c>
      <c r="T52" s="255">
        <f>'תקציב החברה לפיתוח 2019'!T97</f>
        <v>0</v>
      </c>
      <c r="U52" s="255">
        <f>'תקציב החברה לפיתוח 2019'!U97</f>
        <v>48731362</v>
      </c>
      <c r="V52" s="255">
        <f>'תקציב החברה לפיתוח 2019'!V97</f>
        <v>0</v>
      </c>
      <c r="W52" s="255">
        <f>'תקציב החברה לפיתוח 2019'!W97</f>
        <v>0</v>
      </c>
      <c r="X52" s="255">
        <f>'תקציב החברה לפיתוח 2019'!X97</f>
        <v>0</v>
      </c>
      <c r="Y52" s="255">
        <f>'תקציב החברה לפיתוח 2019'!Y97</f>
        <v>12000000</v>
      </c>
      <c r="Z52" s="255">
        <f>'תקציב החברה לפיתוח 2019'!Z97</f>
        <v>36731362</v>
      </c>
      <c r="AA52" s="255" t="str">
        <f>'תקציב החברה לפיתוח 2019'!AA97</f>
        <v>עבודות פיתוח. מימון רמ"י במסגרת הסכם "הגג".</v>
      </c>
      <c r="AB52" s="254">
        <v>746000</v>
      </c>
      <c r="AC52" s="420"/>
      <c r="AD52" s="266"/>
      <c r="AE52" s="425"/>
      <c r="AF52" s="258"/>
      <c r="AG52" s="266"/>
      <c r="AH52" s="266"/>
      <c r="AI52" s="266"/>
      <c r="AJ52" s="416"/>
      <c r="AK52" s="416"/>
      <c r="AL52" s="416"/>
      <c r="AM52" s="247"/>
      <c r="AN52" s="247"/>
      <c r="AO52" s="261"/>
      <c r="AP52" s="247"/>
      <c r="AQ52" s="247"/>
    </row>
    <row r="53" spans="1:43" ht="28">
      <c r="A53" s="254">
        <f>1+A52</f>
        <v>46</v>
      </c>
      <c r="B53" s="254">
        <v>1905</v>
      </c>
      <c r="C53" s="254" t="s">
        <v>205</v>
      </c>
      <c r="D53" s="255">
        <f>'תקציב החברה לפיתוח 2019'!D98</f>
        <v>3366000</v>
      </c>
      <c r="E53" s="255">
        <f>'תקציב החברה לפיתוח 2019'!E98</f>
        <v>3366000</v>
      </c>
      <c r="F53" s="255">
        <f>'תקציב החברה לפיתוח 2019'!F98</f>
        <v>0</v>
      </c>
      <c r="G53" s="255">
        <f>'תקציב החברה לפיתוח 2019'!G98</f>
        <v>3366000</v>
      </c>
      <c r="H53" s="255">
        <f>'תקציב החברה לפיתוח 2019'!H98</f>
        <v>0</v>
      </c>
      <c r="I53" s="255">
        <f>'תקציב החברה לפיתוח 2019'!I98</f>
        <v>0</v>
      </c>
      <c r="J53" s="255">
        <f>'תקציב החברה לפיתוח 2019'!J98</f>
        <v>0</v>
      </c>
      <c r="K53" s="255">
        <f>'תקציב החברה לפיתוח 2019'!K98</f>
        <v>0</v>
      </c>
      <c r="L53" s="255">
        <f>'תקציב החברה לפיתוח 2019'!L98</f>
        <v>0</v>
      </c>
      <c r="M53" s="255">
        <f>'תקציב החברה לפיתוח 2019'!M98</f>
        <v>3366000</v>
      </c>
      <c r="N53" s="255">
        <f>'תקציב החברה לפיתוח 2019'!N98</f>
        <v>0</v>
      </c>
      <c r="O53" s="255">
        <f>'תקציב החברה לפיתוח 2019'!O98</f>
        <v>0</v>
      </c>
      <c r="P53" s="255">
        <f>'תקציב החברה לפיתוח 2019'!P98</f>
        <v>3366000</v>
      </c>
      <c r="Q53" s="255">
        <f>'תקציב החברה לפיתוח 2019'!Q98</f>
        <v>0</v>
      </c>
      <c r="R53" s="255">
        <f>'תקציב החברה לפיתוח 2019'!R98</f>
        <v>0</v>
      </c>
      <c r="S53" s="255">
        <f>'תקציב החברה לפיתוח 2019'!S98</f>
        <v>0</v>
      </c>
      <c r="T53" s="255">
        <f>'תקציב החברה לפיתוח 2019'!T98</f>
        <v>0</v>
      </c>
      <c r="U53" s="255">
        <f>'תקציב החברה לפיתוח 2019'!U98</f>
        <v>0</v>
      </c>
      <c r="V53" s="255">
        <f>'תקציב החברה לפיתוח 2019'!V98</f>
        <v>0</v>
      </c>
      <c r="W53" s="255">
        <f>'תקציב החברה לפיתוח 2019'!W98</f>
        <v>0</v>
      </c>
      <c r="X53" s="255">
        <f>'תקציב החברה לפיתוח 2019'!X98</f>
        <v>0</v>
      </c>
      <c r="Y53" s="255">
        <f>'תקציב החברה לפיתוח 2019'!Y98</f>
        <v>0</v>
      </c>
      <c r="Z53" s="255">
        <f>'תקציב החברה לפיתוח 2019'!Z98</f>
        <v>0</v>
      </c>
      <c r="AA53" s="255" t="str">
        <f>'תקציב החברה לפיתוח 2019'!AA98</f>
        <v>מימון רמ"י במסגרת הסכם "הגג".</v>
      </c>
      <c r="AB53" s="254">
        <v>746000</v>
      </c>
      <c r="AE53" s="425"/>
      <c r="AF53" s="258"/>
      <c r="AG53" s="258"/>
      <c r="AH53" s="258"/>
      <c r="AI53" s="258"/>
      <c r="AM53" s="258"/>
      <c r="AN53" s="258"/>
      <c r="AO53" s="258"/>
      <c r="AP53" s="258"/>
      <c r="AQ53" s="258"/>
    </row>
    <row r="54" spans="1:43" ht="56">
      <c r="A54" s="254">
        <f>A53+1</f>
        <v>47</v>
      </c>
      <c r="B54" s="254">
        <v>1375</v>
      </c>
      <c r="C54" s="254" t="s">
        <v>1318</v>
      </c>
      <c r="D54" s="255">
        <f>'תקציב החברה לפיתוח 2019'!D16</f>
        <v>40150000</v>
      </c>
      <c r="E54" s="255">
        <f>'תקציב החברה לפיתוח 2019'!E16</f>
        <v>39800000</v>
      </c>
      <c r="F54" s="255">
        <f>'תקציב החברה לפיתוח 2019'!F16</f>
        <v>350000</v>
      </c>
      <c r="G54" s="255">
        <f>'תקציב החברה לפיתוח 2019'!G16</f>
        <v>29500000</v>
      </c>
      <c r="H54" s="255">
        <f>'תקציב החברה לפיתוח 2019'!H16</f>
        <v>27046641.710000001</v>
      </c>
      <c r="I54" s="255">
        <f>'תקציב החברה לפיתוח 2019'!I16</f>
        <v>0</v>
      </c>
      <c r="J54" s="255">
        <f>'תקציב החברה לפיתוח 2019'!J16</f>
        <v>532778.13</v>
      </c>
      <c r="K54" s="255">
        <f>'תקציב החברה לפיתוח 2019'!K16</f>
        <v>532778.13</v>
      </c>
      <c r="L54" s="255">
        <f>'תקציב החברה לפיתוח 2019'!L16</f>
        <v>27579419.84</v>
      </c>
      <c r="M54" s="255">
        <f>'תקציב החברה לפיתוח 2019'!M16</f>
        <v>1920580.1600000001</v>
      </c>
      <c r="N54" s="255">
        <f>'תקציב החברה לפיתוח 2019'!N16</f>
        <v>650000</v>
      </c>
      <c r="O54" s="255">
        <f>'תקציב החברה לפיתוח 2019'!O16</f>
        <v>10000000</v>
      </c>
      <c r="P54" s="255">
        <f>'תקציב החברה לפיתוח 2019'!P16</f>
        <v>1920580.1600000001</v>
      </c>
      <c r="Q54" s="255">
        <f>'תקציב החברה לפיתוח 2019'!Q16</f>
        <v>0</v>
      </c>
      <c r="R54" s="255">
        <f>'תקציב החברה לפיתוח 2019'!R16</f>
        <v>0</v>
      </c>
      <c r="S54" s="255">
        <f>'תקציב החברה לפיתוח 2019'!S16</f>
        <v>0</v>
      </c>
      <c r="T54" s="255">
        <f>'תקציב החברה לפיתוח 2019'!T16</f>
        <v>0</v>
      </c>
      <c r="U54" s="255">
        <f>'תקציב החברה לפיתוח 2019'!U16</f>
        <v>650000</v>
      </c>
      <c r="V54" s="255">
        <f>'תקציב החברה לפיתוח 2019'!V16</f>
        <v>650000</v>
      </c>
      <c r="W54" s="255">
        <f>'תקציב החברה לפיתוח 2019'!W16</f>
        <v>0</v>
      </c>
      <c r="X54" s="255">
        <f>'תקציב החברה לפיתוח 2019'!X16</f>
        <v>0</v>
      </c>
      <c r="Y54" s="255">
        <f>'תקציב החברה לפיתוח 2019'!Y16</f>
        <v>0</v>
      </c>
      <c r="Z54" s="255">
        <f>'תקציב החברה לפיתוח 2019'!Z16</f>
        <v>0</v>
      </c>
      <c r="AA54" s="254" t="s">
        <v>1121</v>
      </c>
      <c r="AB54" s="254">
        <v>747000</v>
      </c>
      <c r="AE54" s="425"/>
      <c r="AF54" s="258"/>
      <c r="AG54" s="258"/>
      <c r="AH54" s="258"/>
      <c r="AI54" s="258"/>
      <c r="AM54" s="258"/>
      <c r="AN54" s="258"/>
      <c r="AO54" s="258"/>
      <c r="AP54" s="258"/>
      <c r="AQ54" s="258"/>
    </row>
    <row r="55" spans="1:43" ht="28">
      <c r="A55" s="254">
        <f>A54+1</f>
        <v>48</v>
      </c>
      <c r="B55" s="254">
        <v>1739</v>
      </c>
      <c r="C55" s="254" t="s">
        <v>175</v>
      </c>
      <c r="D55" s="255">
        <f>'תקציב החברה לפיתוח 2019'!D32</f>
        <v>6315000</v>
      </c>
      <c r="E55" s="255">
        <f>'תקציב החברה לפיתוח 2019'!E32</f>
        <v>6550000</v>
      </c>
      <c r="F55" s="255">
        <f>'תקציב החברה לפיתוח 2019'!F32</f>
        <v>-235000</v>
      </c>
      <c r="G55" s="255">
        <f>'תקציב החברה לפיתוח 2019'!G32</f>
        <v>6550000</v>
      </c>
      <c r="H55" s="255">
        <f>'תקציב החברה לפיתוח 2019'!H32</f>
        <v>6261075</v>
      </c>
      <c r="I55" s="255">
        <f>'תקציב החברה לפיתוח 2019'!I32</f>
        <v>0</v>
      </c>
      <c r="J55" s="255">
        <f>'תקציב החברה לפיתוח 2019'!J32</f>
        <v>0</v>
      </c>
      <c r="K55" s="255">
        <f>'תקציב החברה לפיתוח 2019'!K32</f>
        <v>0</v>
      </c>
      <c r="L55" s="255">
        <f>'תקציב החברה לפיתוח 2019'!L32</f>
        <v>6261075</v>
      </c>
      <c r="M55" s="255">
        <f>'תקציב החברה לפיתוח 2019'!M32</f>
        <v>53925</v>
      </c>
      <c r="N55" s="255">
        <f>'תקציב החברה לפיתוח 2019'!N32</f>
        <v>0</v>
      </c>
      <c r="O55" s="255">
        <f>'תקציב החברה לפיתוח 2019'!O32</f>
        <v>0</v>
      </c>
      <c r="P55" s="255">
        <f>'תקציב החברה לפיתוח 2019'!P32</f>
        <v>288925</v>
      </c>
      <c r="Q55" s="255">
        <f>'תקציב החברה לפיתוח 2019'!Q32</f>
        <v>0</v>
      </c>
      <c r="R55" s="255">
        <f>'תקציב החברה לפיתוח 2019'!R32</f>
        <v>0</v>
      </c>
      <c r="S55" s="255">
        <f>'תקציב החברה לפיתוח 2019'!S32</f>
        <v>0</v>
      </c>
      <c r="T55" s="255">
        <f>'תקציב החברה לפיתוח 2019'!T32</f>
        <v>235000</v>
      </c>
      <c r="U55" s="255">
        <f>'תקציב החברה לפיתוח 2019'!U32</f>
        <v>-235000</v>
      </c>
      <c r="V55" s="255">
        <f>'תקציב החברה לפיתוח 2019'!V32</f>
        <v>-235000</v>
      </c>
      <c r="W55" s="255">
        <f>'תקציב החברה לפיתוח 2019'!W32</f>
        <v>0</v>
      </c>
      <c r="X55" s="255">
        <f>'תקציב החברה לפיתוח 2019'!X32</f>
        <v>0</v>
      </c>
      <c r="Y55" s="255">
        <f>'תקציב החברה לפיתוח 2019'!Y32</f>
        <v>0</v>
      </c>
      <c r="Z55" s="255">
        <f>'תקציב החברה לפיתוח 2019'!Z32</f>
        <v>0</v>
      </c>
      <c r="AA55" s="254"/>
      <c r="AB55" s="254">
        <v>747000</v>
      </c>
      <c r="AE55" s="425"/>
      <c r="AF55" s="258"/>
      <c r="AG55" s="258"/>
      <c r="AH55" s="258"/>
      <c r="AI55" s="258"/>
      <c r="AM55" s="258"/>
      <c r="AN55" s="258"/>
      <c r="AO55" s="258"/>
      <c r="AP55" s="258"/>
      <c r="AQ55" s="258"/>
    </row>
    <row r="56" spans="1:43" s="642" customFormat="1">
      <c r="A56" s="426"/>
      <c r="B56" s="426"/>
      <c r="C56" s="426" t="s">
        <v>1202</v>
      </c>
      <c r="D56" s="659">
        <f>SUM(D15:D55)</f>
        <v>971227330</v>
      </c>
      <c r="E56" s="659">
        <f t="shared" ref="E56:Z56" si="3">SUM(E15:E55)</f>
        <v>950712930</v>
      </c>
      <c r="F56" s="659">
        <f t="shared" si="3"/>
        <v>20514400</v>
      </c>
      <c r="G56" s="659">
        <f t="shared" si="3"/>
        <v>498578549</v>
      </c>
      <c r="H56" s="659">
        <f t="shared" si="3"/>
        <v>364403232.70999998</v>
      </c>
      <c r="I56" s="659">
        <f t="shared" si="3"/>
        <v>2023721.4800000002</v>
      </c>
      <c r="J56" s="659">
        <f t="shared" si="3"/>
        <v>60053245.349999994</v>
      </c>
      <c r="K56" s="659">
        <f t="shared" si="3"/>
        <v>62076966.830000006</v>
      </c>
      <c r="L56" s="659">
        <f t="shared" si="3"/>
        <v>426480199.53999996</v>
      </c>
      <c r="M56" s="659">
        <f t="shared" si="3"/>
        <v>151109295.46000001</v>
      </c>
      <c r="N56" s="659">
        <f t="shared" si="3"/>
        <v>181852613</v>
      </c>
      <c r="O56" s="659">
        <f t="shared" si="3"/>
        <v>211785222</v>
      </c>
      <c r="P56" s="659">
        <f t="shared" si="3"/>
        <v>72098349.459999979</v>
      </c>
      <c r="Q56" s="659">
        <f t="shared" si="3"/>
        <v>78955601</v>
      </c>
      <c r="R56" s="659">
        <f t="shared" si="3"/>
        <v>4000000</v>
      </c>
      <c r="S56" s="659">
        <f t="shared" si="3"/>
        <v>82955601</v>
      </c>
      <c r="T56" s="659">
        <f t="shared" si="3"/>
        <v>3944655</v>
      </c>
      <c r="U56" s="659">
        <f t="shared" si="3"/>
        <v>177907958</v>
      </c>
      <c r="V56" s="659">
        <f t="shared" si="3"/>
        <v>71845000</v>
      </c>
      <c r="W56" s="659">
        <f t="shared" si="3"/>
        <v>0</v>
      </c>
      <c r="X56" s="659">
        <f t="shared" si="3"/>
        <v>0</v>
      </c>
      <c r="Y56" s="659">
        <f t="shared" si="3"/>
        <v>36690345</v>
      </c>
      <c r="Z56" s="659">
        <f t="shared" si="3"/>
        <v>69372613</v>
      </c>
      <c r="AA56" s="426"/>
      <c r="AB56" s="426"/>
      <c r="AC56" s="660"/>
      <c r="AD56" s="622"/>
      <c r="AE56" s="661"/>
      <c r="AF56" s="621"/>
      <c r="AG56" s="621"/>
      <c r="AH56" s="621"/>
      <c r="AI56" s="621"/>
      <c r="AJ56" s="624"/>
      <c r="AK56" s="624"/>
      <c r="AL56" s="624"/>
      <c r="AM56" s="621"/>
      <c r="AN56" s="621"/>
      <c r="AO56" s="621"/>
      <c r="AP56" s="621"/>
      <c r="AQ56" s="621"/>
    </row>
    <row r="57" spans="1:43" s="258" customFormat="1" ht="42">
      <c r="A57" s="254">
        <f>A55+1</f>
        <v>49</v>
      </c>
      <c r="B57" s="42">
        <v>2080</v>
      </c>
      <c r="C57" s="254" t="s">
        <v>724</v>
      </c>
      <c r="D57" s="255">
        <f>'תקציב החברה לפיתוח 2019'!D86</f>
        <v>2050000</v>
      </c>
      <c r="E57" s="255">
        <f>'תקציב החברה לפיתוח 2019'!E86</f>
        <v>2050000</v>
      </c>
      <c r="F57" s="255">
        <f>'תקציב החברה לפיתוח 2019'!F86</f>
        <v>0</v>
      </c>
      <c r="G57" s="255">
        <f>'תקציב החברה לפיתוח 2019'!G86</f>
        <v>500000</v>
      </c>
      <c r="H57" s="255">
        <f>'תקציב החברה לפיתוח 2019'!H86</f>
        <v>0</v>
      </c>
      <c r="I57" s="255">
        <f>'תקציב החברה לפיתוח 2019'!I86</f>
        <v>0</v>
      </c>
      <c r="J57" s="255">
        <f>'תקציב החברה לפיתוח 2019'!J86</f>
        <v>0</v>
      </c>
      <c r="K57" s="255">
        <f>'תקציב החברה לפיתוח 2019'!K86</f>
        <v>0</v>
      </c>
      <c r="L57" s="255">
        <f>'תקציב החברה לפיתוח 2019'!L86</f>
        <v>0</v>
      </c>
      <c r="M57" s="255">
        <f>'תקציב החברה לפיתוח 2019'!M86</f>
        <v>500000</v>
      </c>
      <c r="N57" s="255">
        <f>'תקציב החברה לפיתוח 2019'!N86</f>
        <v>1550000</v>
      </c>
      <c r="O57" s="255">
        <f>'תקציב החברה לפיתוח 2019'!O86</f>
        <v>0</v>
      </c>
      <c r="P57" s="255">
        <f>'תקציב החברה לפיתוח 2019'!P86</f>
        <v>500000</v>
      </c>
      <c r="Q57" s="255">
        <f>'תקציב החברה לפיתוח 2019'!Q86</f>
        <v>0</v>
      </c>
      <c r="R57" s="255">
        <f>'תקציב החברה לפיתוח 2019'!R86</f>
        <v>0</v>
      </c>
      <c r="S57" s="255">
        <f>'תקציב החברה לפיתוח 2019'!S86</f>
        <v>0</v>
      </c>
      <c r="T57" s="255">
        <f>'תקציב החברה לפיתוח 2019'!T86</f>
        <v>0</v>
      </c>
      <c r="U57" s="255">
        <f>'תקציב החברה לפיתוח 2019'!U86</f>
        <v>1550000</v>
      </c>
      <c r="V57" s="255">
        <f>'תקציב החברה לפיתוח 2019'!V86</f>
        <v>1550000</v>
      </c>
      <c r="W57" s="255">
        <f>'תקציב החברה לפיתוח 2019'!W86</f>
        <v>0</v>
      </c>
      <c r="X57" s="255">
        <f>'תקציב החברה לפיתוח 2019'!X86</f>
        <v>0</v>
      </c>
      <c r="Y57" s="255">
        <f>'תקציב החברה לפיתוח 2019'!Y86</f>
        <v>0</v>
      </c>
      <c r="Z57" s="255">
        <f>'תקציב החברה לפיתוח 2019'!Z86</f>
        <v>0</v>
      </c>
      <c r="AA57" s="254" t="s">
        <v>1079</v>
      </c>
      <c r="AB57" s="254">
        <v>747000</v>
      </c>
      <c r="AC57" s="420"/>
      <c r="AD57" s="266"/>
      <c r="AE57" s="425"/>
      <c r="AG57" s="266"/>
      <c r="AH57" s="266"/>
      <c r="AI57" s="266"/>
      <c r="AJ57" s="416"/>
      <c r="AK57" s="416"/>
      <c r="AL57" s="416"/>
      <c r="AM57" s="247"/>
      <c r="AN57" s="247"/>
      <c r="AO57" s="261"/>
      <c r="AP57" s="247"/>
      <c r="AQ57" s="247"/>
    </row>
    <row r="58" spans="1:43" s="621" customFormat="1">
      <c r="A58" s="426"/>
      <c r="B58" s="44"/>
      <c r="C58" s="426" t="s">
        <v>1217</v>
      </c>
      <c r="D58" s="659">
        <f>SUM(D57)</f>
        <v>2050000</v>
      </c>
      <c r="E58" s="659">
        <f t="shared" ref="E58:Z58" si="4">SUM(E57)</f>
        <v>2050000</v>
      </c>
      <c r="F58" s="659">
        <f t="shared" si="4"/>
        <v>0</v>
      </c>
      <c r="G58" s="659">
        <f t="shared" si="4"/>
        <v>500000</v>
      </c>
      <c r="H58" s="659">
        <f t="shared" si="4"/>
        <v>0</v>
      </c>
      <c r="I58" s="659">
        <f t="shared" si="4"/>
        <v>0</v>
      </c>
      <c r="J58" s="659">
        <f t="shared" si="4"/>
        <v>0</v>
      </c>
      <c r="K58" s="659">
        <f t="shared" si="4"/>
        <v>0</v>
      </c>
      <c r="L58" s="659">
        <f t="shared" si="4"/>
        <v>0</v>
      </c>
      <c r="M58" s="659">
        <f t="shared" si="4"/>
        <v>500000</v>
      </c>
      <c r="N58" s="659">
        <f t="shared" si="4"/>
        <v>1550000</v>
      </c>
      <c r="O58" s="659">
        <f t="shared" si="4"/>
        <v>0</v>
      </c>
      <c r="P58" s="659">
        <f t="shared" si="4"/>
        <v>500000</v>
      </c>
      <c r="Q58" s="659">
        <f t="shared" si="4"/>
        <v>0</v>
      </c>
      <c r="R58" s="659">
        <f t="shared" si="4"/>
        <v>0</v>
      </c>
      <c r="S58" s="659">
        <f t="shared" si="4"/>
        <v>0</v>
      </c>
      <c r="T58" s="659">
        <f t="shared" si="4"/>
        <v>0</v>
      </c>
      <c r="U58" s="659">
        <f t="shared" si="4"/>
        <v>1550000</v>
      </c>
      <c r="V58" s="659">
        <f t="shared" si="4"/>
        <v>1550000</v>
      </c>
      <c r="W58" s="659">
        <f t="shared" si="4"/>
        <v>0</v>
      </c>
      <c r="X58" s="659">
        <f t="shared" si="4"/>
        <v>0</v>
      </c>
      <c r="Y58" s="659">
        <f t="shared" si="4"/>
        <v>0</v>
      </c>
      <c r="Z58" s="659">
        <f t="shared" si="4"/>
        <v>0</v>
      </c>
      <c r="AA58" s="426"/>
      <c r="AB58" s="426"/>
      <c r="AC58" s="660"/>
      <c r="AD58" s="622"/>
      <c r="AE58" s="661"/>
      <c r="AG58" s="622"/>
      <c r="AH58" s="622"/>
      <c r="AI58" s="622"/>
      <c r="AJ58" s="624"/>
      <c r="AK58" s="624"/>
      <c r="AL58" s="624"/>
      <c r="AM58" s="642"/>
      <c r="AN58" s="642"/>
      <c r="AO58" s="663"/>
      <c r="AP58" s="642"/>
      <c r="AQ58" s="642"/>
    </row>
    <row r="59" spans="1:43" ht="96" customHeight="1">
      <c r="A59" s="254">
        <f>A57+1</f>
        <v>50</v>
      </c>
      <c r="B59" s="254">
        <v>1443</v>
      </c>
      <c r="C59" s="254" t="s">
        <v>136</v>
      </c>
      <c r="D59" s="255">
        <f>'תקציב החברה לפיתוח 2019'!D19</f>
        <v>78500000</v>
      </c>
      <c r="E59" s="255">
        <f>'תקציב החברה לפיתוח 2019'!E19</f>
        <v>78500000</v>
      </c>
      <c r="F59" s="255">
        <f>'תקציב החברה לפיתוח 2019'!F19</f>
        <v>0</v>
      </c>
      <c r="G59" s="255">
        <f>'תקציב החברה לפיתוח 2019'!G19</f>
        <v>50840000</v>
      </c>
      <c r="H59" s="255">
        <f>'תקציב החברה לפיתוח 2019'!H19</f>
        <v>50824299</v>
      </c>
      <c r="I59" s="255">
        <f>'תקציב החברה לפיתוח 2019'!I19</f>
        <v>0</v>
      </c>
      <c r="J59" s="255">
        <f>'תקציב החברה לפיתוח 2019'!J19</f>
        <v>0</v>
      </c>
      <c r="K59" s="255">
        <f>'תקציב החברה לפיתוח 2019'!K19</f>
        <v>0</v>
      </c>
      <c r="L59" s="255">
        <f>'תקציב החברה לפיתוח 2019'!L19</f>
        <v>50824299</v>
      </c>
      <c r="M59" s="255">
        <f>'תקציב החברה לפיתוח 2019'!M19</f>
        <v>15701</v>
      </c>
      <c r="N59" s="255">
        <f>'תקציב החברה לפיתוח 2019'!N19</f>
        <v>0</v>
      </c>
      <c r="O59" s="255">
        <f>'תקציב החברה לפיתוח 2019'!O19</f>
        <v>27660000</v>
      </c>
      <c r="P59" s="255">
        <f>'תקציב החברה לפיתוח 2019'!P19</f>
        <v>15701</v>
      </c>
      <c r="Q59" s="255">
        <f>'תקציב החברה לפיתוח 2019'!Q19</f>
        <v>0</v>
      </c>
      <c r="R59" s="255">
        <f>'תקציב החברה לפיתוח 2019'!R19</f>
        <v>0</v>
      </c>
      <c r="S59" s="255">
        <f>'תקציב החברה לפיתוח 2019'!S19</f>
        <v>0</v>
      </c>
      <c r="T59" s="255">
        <f>'תקציב החברה לפיתוח 2019'!T19</f>
        <v>0</v>
      </c>
      <c r="U59" s="255">
        <f>'תקציב החברה לפיתוח 2019'!U19</f>
        <v>0</v>
      </c>
      <c r="V59" s="255">
        <f>'תקציב החברה לפיתוח 2019'!V19</f>
        <v>0</v>
      </c>
      <c r="W59" s="255">
        <f>'תקציב החברה לפיתוח 2019'!W19</f>
        <v>0</v>
      </c>
      <c r="X59" s="255">
        <f>'תקציב החברה לפיתוח 2019'!X19</f>
        <v>0</v>
      </c>
      <c r="Y59" s="255">
        <f>'תקציב החברה לפיתוח 2019'!Y19</f>
        <v>0</v>
      </c>
      <c r="Z59" s="255">
        <f>'תקציב החברה לפיתוח 2019'!Z19</f>
        <v>0</v>
      </c>
      <c r="AA59" s="254"/>
      <c r="AB59" s="254">
        <v>749000</v>
      </c>
      <c r="AE59" s="425"/>
      <c r="AF59" s="258"/>
      <c r="AG59" s="258"/>
      <c r="AH59" s="258"/>
      <c r="AI59" s="258"/>
      <c r="AM59" s="258"/>
      <c r="AN59" s="258"/>
      <c r="AO59" s="258"/>
      <c r="AP59" s="258"/>
      <c r="AQ59" s="258"/>
    </row>
    <row r="60" spans="1:43" s="642" customFormat="1">
      <c r="A60" s="426"/>
      <c r="B60" s="426"/>
      <c r="C60" s="426" t="s">
        <v>1226</v>
      </c>
      <c r="D60" s="659">
        <f>SUM(D59)</f>
        <v>78500000</v>
      </c>
      <c r="E60" s="659">
        <f t="shared" ref="E60:AA60" si="5">SUM(E59)</f>
        <v>78500000</v>
      </c>
      <c r="F60" s="659">
        <f t="shared" si="5"/>
        <v>0</v>
      </c>
      <c r="G60" s="659">
        <f t="shared" si="5"/>
        <v>50840000</v>
      </c>
      <c r="H60" s="659">
        <f t="shared" si="5"/>
        <v>50824299</v>
      </c>
      <c r="I60" s="659">
        <f t="shared" si="5"/>
        <v>0</v>
      </c>
      <c r="J60" s="659">
        <f t="shared" si="5"/>
        <v>0</v>
      </c>
      <c r="K60" s="659">
        <f t="shared" si="5"/>
        <v>0</v>
      </c>
      <c r="L60" s="659">
        <f t="shared" si="5"/>
        <v>50824299</v>
      </c>
      <c r="M60" s="659">
        <f t="shared" si="5"/>
        <v>15701</v>
      </c>
      <c r="N60" s="659">
        <f t="shared" si="5"/>
        <v>0</v>
      </c>
      <c r="O60" s="659">
        <f t="shared" si="5"/>
        <v>27660000</v>
      </c>
      <c r="P60" s="659">
        <f t="shared" si="5"/>
        <v>15701</v>
      </c>
      <c r="Q60" s="659">
        <f t="shared" si="5"/>
        <v>0</v>
      </c>
      <c r="R60" s="659">
        <f t="shared" si="5"/>
        <v>0</v>
      </c>
      <c r="S60" s="659">
        <f t="shared" si="5"/>
        <v>0</v>
      </c>
      <c r="T60" s="659">
        <f t="shared" si="5"/>
        <v>0</v>
      </c>
      <c r="U60" s="659">
        <f t="shared" si="5"/>
        <v>0</v>
      </c>
      <c r="V60" s="659">
        <f t="shared" si="5"/>
        <v>0</v>
      </c>
      <c r="W60" s="659">
        <f t="shared" si="5"/>
        <v>0</v>
      </c>
      <c r="X60" s="659">
        <f t="shared" si="5"/>
        <v>0</v>
      </c>
      <c r="Y60" s="659">
        <f t="shared" si="5"/>
        <v>0</v>
      </c>
      <c r="Z60" s="659">
        <f t="shared" si="5"/>
        <v>0</v>
      </c>
      <c r="AA60" s="659">
        <f t="shared" si="5"/>
        <v>0</v>
      </c>
      <c r="AB60" s="426"/>
      <c r="AC60" s="660"/>
      <c r="AD60" s="622"/>
      <c r="AE60" s="661"/>
      <c r="AF60" s="621"/>
      <c r="AG60" s="621"/>
      <c r="AH60" s="621"/>
      <c r="AI60" s="621"/>
      <c r="AJ60" s="624"/>
      <c r="AK60" s="624"/>
      <c r="AL60" s="624"/>
      <c r="AM60" s="621"/>
      <c r="AN60" s="621"/>
      <c r="AO60" s="621"/>
      <c r="AP60" s="621"/>
      <c r="AQ60" s="621"/>
    </row>
    <row r="61" spans="1:43" ht="56">
      <c r="A61" s="254">
        <f>A59+1</f>
        <v>51</v>
      </c>
      <c r="B61" s="254">
        <v>576</v>
      </c>
      <c r="C61" s="254" t="s">
        <v>129</v>
      </c>
      <c r="D61" s="255">
        <f>'תקציב החברה לפיתוח 2019'!D9</f>
        <v>55113000</v>
      </c>
      <c r="E61" s="255">
        <f>'תקציב החברה לפיתוח 2019'!E9</f>
        <v>55113000</v>
      </c>
      <c r="F61" s="255">
        <f>'תקציב החברה לפיתוח 2019'!F9</f>
        <v>0</v>
      </c>
      <c r="G61" s="255">
        <f>'תקציב החברה לפיתוח 2019'!G9</f>
        <v>43913000</v>
      </c>
      <c r="H61" s="255">
        <f>'תקציב החברה לפיתוח 2019'!H9</f>
        <v>42939526.600000001</v>
      </c>
      <c r="I61" s="255">
        <f>'תקציב החברה לפיתוח 2019'!I9</f>
        <v>0</v>
      </c>
      <c r="J61" s="255">
        <f>'תקציב החברה לפיתוח 2019'!J9</f>
        <v>476421.91</v>
      </c>
      <c r="K61" s="255">
        <f>'תקציב החברה לפיתוח 2019'!K9</f>
        <v>476421.91</v>
      </c>
      <c r="L61" s="255">
        <f>'תקציב החברה לפיתוח 2019'!L9</f>
        <v>43415948.509999998</v>
      </c>
      <c r="M61" s="255">
        <f>'תקציב החברה לפיתוח 2019'!M9</f>
        <v>10497051.490000002</v>
      </c>
      <c r="N61" s="255">
        <f>'תקציב החברה לפיתוח 2019'!N9</f>
        <v>1200000</v>
      </c>
      <c r="O61" s="255">
        <f>'תקציב החברה לפיתוח 2019'!O9</f>
        <v>0</v>
      </c>
      <c r="P61" s="255">
        <f>'תקציב החברה לפיתוח 2019'!P9</f>
        <v>497051.49000000209</v>
      </c>
      <c r="Q61" s="255">
        <f>'תקציב החברה לפיתוח 2019'!Q9</f>
        <v>10000000</v>
      </c>
      <c r="R61" s="255">
        <f>'תקציב החברה לפיתוח 2019'!R9</f>
        <v>0</v>
      </c>
      <c r="S61" s="255">
        <f>'תקציב החברה לפיתוח 2019'!S9</f>
        <v>10000000</v>
      </c>
      <c r="T61" s="255">
        <f>'תקציב החברה לפיתוח 2019'!T9</f>
        <v>0</v>
      </c>
      <c r="U61" s="255">
        <f>'תקציב החברה לפיתוח 2019'!U9</f>
        <v>1200000</v>
      </c>
      <c r="V61" s="255">
        <f>'תקציב החברה לפיתוח 2019'!V9</f>
        <v>600000</v>
      </c>
      <c r="W61" s="255">
        <f>'תקציב החברה לפיתוח 2019'!W9</f>
        <v>0</v>
      </c>
      <c r="X61" s="255">
        <f>'תקציב החברה לפיתוח 2019'!X9</f>
        <v>0</v>
      </c>
      <c r="Y61" s="255">
        <f>'תקציב החברה לפיתוח 2019'!Y9</f>
        <v>0</v>
      </c>
      <c r="Z61" s="255">
        <f>'תקציב החברה לפיתוח 2019'!Z9</f>
        <v>600000</v>
      </c>
      <c r="AA61" s="254" t="s">
        <v>1055</v>
      </c>
      <c r="AB61" s="254">
        <v>760000</v>
      </c>
      <c r="AE61" s="425"/>
      <c r="AF61" s="258"/>
      <c r="AG61" s="259"/>
      <c r="AH61" s="259"/>
      <c r="AI61" s="259"/>
      <c r="AM61" s="259"/>
      <c r="AN61" s="259"/>
      <c r="AO61" s="259"/>
      <c r="AP61" s="259"/>
      <c r="AQ61" s="259"/>
    </row>
    <row r="62" spans="1:43" s="642" customFormat="1">
      <c r="A62" s="426"/>
      <c r="B62" s="426"/>
      <c r="C62" s="426" t="s">
        <v>1203</v>
      </c>
      <c r="D62" s="659">
        <f>SUM(D61)</f>
        <v>55113000</v>
      </c>
      <c r="E62" s="659">
        <f t="shared" ref="E62:Z62" si="6">SUM(E61)</f>
        <v>55113000</v>
      </c>
      <c r="F62" s="659">
        <f t="shared" si="6"/>
        <v>0</v>
      </c>
      <c r="G62" s="659">
        <f t="shared" si="6"/>
        <v>43913000</v>
      </c>
      <c r="H62" s="659">
        <f t="shared" si="6"/>
        <v>42939526.600000001</v>
      </c>
      <c r="I62" s="659">
        <f t="shared" si="6"/>
        <v>0</v>
      </c>
      <c r="J62" s="659">
        <f t="shared" si="6"/>
        <v>476421.91</v>
      </c>
      <c r="K62" s="659">
        <f t="shared" si="6"/>
        <v>476421.91</v>
      </c>
      <c r="L62" s="659">
        <f t="shared" si="6"/>
        <v>43415948.509999998</v>
      </c>
      <c r="M62" s="659">
        <f t="shared" si="6"/>
        <v>10497051.490000002</v>
      </c>
      <c r="N62" s="659">
        <f t="shared" si="6"/>
        <v>1200000</v>
      </c>
      <c r="O62" s="659">
        <f t="shared" si="6"/>
        <v>0</v>
      </c>
      <c r="P62" s="659">
        <f t="shared" si="6"/>
        <v>497051.49000000209</v>
      </c>
      <c r="Q62" s="659">
        <f t="shared" si="6"/>
        <v>10000000</v>
      </c>
      <c r="R62" s="659">
        <f t="shared" si="6"/>
        <v>0</v>
      </c>
      <c r="S62" s="659">
        <f t="shared" si="6"/>
        <v>10000000</v>
      </c>
      <c r="T62" s="659">
        <f t="shared" si="6"/>
        <v>0</v>
      </c>
      <c r="U62" s="659">
        <f t="shared" si="6"/>
        <v>1200000</v>
      </c>
      <c r="V62" s="659">
        <f t="shared" si="6"/>
        <v>600000</v>
      </c>
      <c r="W62" s="659">
        <f t="shared" si="6"/>
        <v>0</v>
      </c>
      <c r="X62" s="659">
        <f t="shared" si="6"/>
        <v>0</v>
      </c>
      <c r="Y62" s="659">
        <f t="shared" si="6"/>
        <v>0</v>
      </c>
      <c r="Z62" s="659">
        <f t="shared" si="6"/>
        <v>600000</v>
      </c>
      <c r="AA62" s="426"/>
      <c r="AB62" s="426"/>
      <c r="AC62" s="660"/>
      <c r="AD62" s="622"/>
      <c r="AE62" s="661"/>
      <c r="AF62" s="621"/>
      <c r="AG62" s="621"/>
      <c r="AH62" s="621"/>
      <c r="AI62" s="621"/>
      <c r="AJ62" s="624"/>
      <c r="AK62" s="624"/>
      <c r="AL62" s="624"/>
      <c r="AM62" s="621"/>
      <c r="AN62" s="621"/>
      <c r="AO62" s="621"/>
      <c r="AP62" s="621"/>
      <c r="AQ62" s="621"/>
    </row>
    <row r="63" spans="1:43" ht="28">
      <c r="A63" s="254">
        <f>A61+1</f>
        <v>52</v>
      </c>
      <c r="B63" s="254">
        <v>1751</v>
      </c>
      <c r="C63" s="254" t="s">
        <v>172</v>
      </c>
      <c r="D63" s="255">
        <f>'תקציב החברה לפיתוח 2019'!D33</f>
        <v>4800000</v>
      </c>
      <c r="E63" s="255">
        <f>'תקציב החברה לפיתוח 2019'!E33</f>
        <v>4800000</v>
      </c>
      <c r="F63" s="255">
        <f>'תקציב החברה לפיתוח 2019'!F33</f>
        <v>0</v>
      </c>
      <c r="G63" s="255">
        <f>'תקציב החברה לפיתוח 2019'!G33</f>
        <v>4000000</v>
      </c>
      <c r="H63" s="255">
        <f>'תקציב החברה לפיתוח 2019'!H33</f>
        <v>2019880</v>
      </c>
      <c r="I63" s="255">
        <f>'תקציב החברה לפיתוח 2019'!I33</f>
        <v>0</v>
      </c>
      <c r="J63" s="255">
        <f>'תקציב החברה לפיתוח 2019'!J33</f>
        <v>972804.37</v>
      </c>
      <c r="K63" s="255">
        <f>'תקציב החברה לפיתוח 2019'!K33</f>
        <v>972804.37</v>
      </c>
      <c r="L63" s="255">
        <f>'תקציב החברה לפיתוח 2019'!L33</f>
        <v>2992684.37</v>
      </c>
      <c r="M63" s="255">
        <f>'תקציב החברה לפיתוח 2019'!M33</f>
        <v>1807315.63</v>
      </c>
      <c r="N63" s="255">
        <f>'תקציב החברה לפיתוח 2019'!N33</f>
        <v>0</v>
      </c>
      <c r="O63" s="255">
        <f>'תקציב החברה לפיתוח 2019'!O33</f>
        <v>0</v>
      </c>
      <c r="P63" s="255">
        <f>'תקציב החברה לפיתוח 2019'!P33</f>
        <v>1007315.6299999999</v>
      </c>
      <c r="Q63" s="255">
        <f>'תקציב החברה לפיתוח 2019'!Q33</f>
        <v>800000</v>
      </c>
      <c r="R63" s="255">
        <f>'תקציב החברה לפיתוח 2019'!R33</f>
        <v>0</v>
      </c>
      <c r="S63" s="255">
        <f>'תקציב החברה לפיתוח 2019'!S33</f>
        <v>800000</v>
      </c>
      <c r="T63" s="255">
        <f>'תקציב החברה לפיתוח 2019'!T33</f>
        <v>0</v>
      </c>
      <c r="U63" s="255">
        <f>'תקציב החברה לפיתוח 2019'!U33</f>
        <v>0</v>
      </c>
      <c r="V63" s="255">
        <f>'תקציב החברה לפיתוח 2019'!V33</f>
        <v>0</v>
      </c>
      <c r="W63" s="255">
        <f>'תקציב החברה לפיתוח 2019'!W33</f>
        <v>0</v>
      </c>
      <c r="X63" s="255">
        <f>'תקציב החברה לפיתוח 2019'!X33</f>
        <v>0</v>
      </c>
      <c r="Y63" s="255">
        <f>'תקציב החברה לפיתוח 2019'!Y33</f>
        <v>0</v>
      </c>
      <c r="Z63" s="255">
        <f>'תקציב החברה לפיתוח 2019'!Z33</f>
        <v>0</v>
      </c>
      <c r="AA63" s="597" t="s">
        <v>1122</v>
      </c>
      <c r="AB63" s="254">
        <v>810000</v>
      </c>
      <c r="AE63" s="425"/>
      <c r="AF63" s="258"/>
      <c r="AG63" s="258"/>
      <c r="AH63" s="258"/>
      <c r="AI63" s="258"/>
      <c r="AM63" s="258"/>
      <c r="AN63" s="258"/>
      <c r="AO63" s="258"/>
      <c r="AP63" s="258"/>
      <c r="AQ63" s="258"/>
    </row>
    <row r="64" spans="1:43" ht="42">
      <c r="A64" s="254">
        <f t="shared" ref="A64:A76" si="7">A63+1</f>
        <v>53</v>
      </c>
      <c r="B64" s="254">
        <v>1825</v>
      </c>
      <c r="C64" s="254" t="s">
        <v>1064</v>
      </c>
      <c r="D64" s="255">
        <f>'תקציב החברה לפיתוח 2019'!D41</f>
        <v>39000000</v>
      </c>
      <c r="E64" s="255">
        <f>'תקציב החברה לפיתוח 2019'!E41</f>
        <v>36500000</v>
      </c>
      <c r="F64" s="255">
        <f>'תקציב החברה לפיתוח 2019'!F41</f>
        <v>2500000</v>
      </c>
      <c r="G64" s="255">
        <f>'תקציב החברה לפיתוח 2019'!G41</f>
        <v>35681330</v>
      </c>
      <c r="H64" s="255">
        <f>'תקציב החברה לפיתוח 2019'!H41</f>
        <v>29050568</v>
      </c>
      <c r="I64" s="255">
        <f>'תקציב החברה לפיתוח 2019'!I41</f>
        <v>0</v>
      </c>
      <c r="J64" s="255">
        <f>'תקציב החברה לפיתוח 2019'!J41</f>
        <v>1133344.95</v>
      </c>
      <c r="K64" s="255">
        <f>'תקציב החברה לפיתוח 2019'!K41</f>
        <v>1133344.95</v>
      </c>
      <c r="L64" s="255">
        <f>'תקציב החברה לפיתוח 2019'!L41</f>
        <v>30183912.949999999</v>
      </c>
      <c r="M64" s="255">
        <f>'תקציב החברה לפיתוח 2019'!M41</f>
        <v>5497417.0500000007</v>
      </c>
      <c r="N64" s="255">
        <f>'תקציב החברה לפיתוח 2019'!N41</f>
        <v>3318670</v>
      </c>
      <c r="O64" s="255">
        <f>'תקציב החברה לפיתוח 2019'!O41</f>
        <v>0</v>
      </c>
      <c r="P64" s="255">
        <f>'תקציב החברה לפיתוח 2019'!P41</f>
        <v>5497417.0500000007</v>
      </c>
      <c r="Q64" s="255">
        <f>'תקציב החברה לפיתוח 2019'!Q41</f>
        <v>0</v>
      </c>
      <c r="R64" s="255">
        <f>'תקציב החברה לפיתוח 2019'!R41</f>
        <v>0</v>
      </c>
      <c r="S64" s="255">
        <f>'תקציב החברה לפיתוח 2019'!S41</f>
        <v>0</v>
      </c>
      <c r="T64" s="255">
        <f>'תקציב החברה לפיתוח 2019'!T41</f>
        <v>0</v>
      </c>
      <c r="U64" s="255">
        <f>'תקציב החברה לפיתוח 2019'!U41</f>
        <v>3318670</v>
      </c>
      <c r="V64" s="255">
        <f>'תקציב החברה לפיתוח 2019'!V41</f>
        <v>3318670</v>
      </c>
      <c r="W64" s="255">
        <f>'תקציב החברה לפיתוח 2019'!W41</f>
        <v>0</v>
      </c>
      <c r="X64" s="255">
        <f>'תקציב החברה לפיתוח 2019'!X41</f>
        <v>0</v>
      </c>
      <c r="Y64" s="255">
        <f>'תקציב החברה לפיתוח 2019'!Y41</f>
        <v>0</v>
      </c>
      <c r="Z64" s="255">
        <f>'תקציב החברה לפיתוח 2019'!Z41</f>
        <v>0</v>
      </c>
      <c r="AA64" s="434" t="s">
        <v>1063</v>
      </c>
      <c r="AB64" s="254">
        <v>810000</v>
      </c>
      <c r="AE64" s="425"/>
      <c r="AF64" s="258"/>
      <c r="AG64" s="258"/>
      <c r="AH64" s="258"/>
      <c r="AI64" s="258"/>
      <c r="AM64" s="258"/>
      <c r="AN64" s="258"/>
      <c r="AO64" s="258"/>
      <c r="AP64" s="258"/>
      <c r="AQ64" s="258"/>
    </row>
    <row r="65" spans="1:43" s="258" customFormat="1" ht="28">
      <c r="A65" s="254">
        <f t="shared" si="7"/>
        <v>54</v>
      </c>
      <c r="B65" s="427">
        <v>1847</v>
      </c>
      <c r="C65" s="254" t="s">
        <v>534</v>
      </c>
      <c r="D65" s="255">
        <f>'תקציב החברה לפיתוח 2019'!D49</f>
        <v>7340000</v>
      </c>
      <c r="E65" s="255">
        <f>'תקציב החברה לפיתוח 2019'!E49</f>
        <v>7340000</v>
      </c>
      <c r="F65" s="255">
        <f>'תקציב החברה לפיתוח 2019'!F49</f>
        <v>0</v>
      </c>
      <c r="G65" s="255">
        <f>'תקציב החברה לפיתוח 2019'!G49</f>
        <v>7340000</v>
      </c>
      <c r="H65" s="255">
        <f>'תקציב החברה לפיתוח 2019'!H49</f>
        <v>6930897</v>
      </c>
      <c r="I65" s="255">
        <f>'תקציב החברה לפיתוח 2019'!I49</f>
        <v>0</v>
      </c>
      <c r="J65" s="255">
        <f>'תקציב החברה לפיתוח 2019'!J49</f>
        <v>381754.9</v>
      </c>
      <c r="K65" s="255">
        <f>'תקציב החברה לפיתוח 2019'!K49</f>
        <v>381754.9</v>
      </c>
      <c r="L65" s="255">
        <f>'תקציב החברה לפיתוח 2019'!L49</f>
        <v>7312651.9000000004</v>
      </c>
      <c r="M65" s="255">
        <f>'תקציב החברה לפיתוח 2019'!M49</f>
        <v>27348.099999999627</v>
      </c>
      <c r="N65" s="255">
        <f>'תקציב החברה לפיתוח 2019'!N49</f>
        <v>0</v>
      </c>
      <c r="O65" s="255">
        <f>'תקציב החברה לפיתוח 2019'!O49</f>
        <v>0</v>
      </c>
      <c r="P65" s="255">
        <f>'תקציב החברה לפיתוח 2019'!P49</f>
        <v>27348.099999999627</v>
      </c>
      <c r="Q65" s="255">
        <f>'תקציב החברה לפיתוח 2019'!Q49</f>
        <v>0</v>
      </c>
      <c r="R65" s="255">
        <f>'תקציב החברה לפיתוח 2019'!R49</f>
        <v>0</v>
      </c>
      <c r="S65" s="255">
        <f>'תקציב החברה לפיתוח 2019'!S49</f>
        <v>0</v>
      </c>
      <c r="T65" s="255">
        <f>'תקציב החברה לפיתוח 2019'!T49</f>
        <v>0</v>
      </c>
      <c r="U65" s="255">
        <f>'תקציב החברה לפיתוח 2019'!U49</f>
        <v>0</v>
      </c>
      <c r="V65" s="255">
        <f>'תקציב החברה לפיתוח 2019'!V49</f>
        <v>0</v>
      </c>
      <c r="W65" s="255">
        <f>'תקציב החברה לפיתוח 2019'!W49</f>
        <v>0</v>
      </c>
      <c r="X65" s="255">
        <f>'תקציב החברה לפיתוח 2019'!X49</f>
        <v>0</v>
      </c>
      <c r="Y65" s="255">
        <f>'תקציב החברה לפיתוח 2019'!Y49</f>
        <v>0</v>
      </c>
      <c r="Z65" s="255">
        <f>'תקציב החברה לפיתוח 2019'!Z49</f>
        <v>0</v>
      </c>
      <c r="AA65" s="254"/>
      <c r="AB65" s="254">
        <v>810000</v>
      </c>
      <c r="AC65" s="420"/>
      <c r="AD65" s="266"/>
      <c r="AE65" s="425"/>
      <c r="AG65" s="266"/>
      <c r="AH65" s="266"/>
      <c r="AI65" s="266"/>
      <c r="AJ65" s="416"/>
      <c r="AK65" s="416"/>
      <c r="AL65" s="416"/>
      <c r="AM65" s="247"/>
      <c r="AN65" s="247"/>
      <c r="AO65" s="247"/>
      <c r="AP65" s="247"/>
      <c r="AQ65" s="247"/>
    </row>
    <row r="66" spans="1:43">
      <c r="A66" s="254">
        <f t="shared" si="7"/>
        <v>55</v>
      </c>
      <c r="B66" s="254">
        <v>1854</v>
      </c>
      <c r="C66" s="254" t="s">
        <v>322</v>
      </c>
      <c r="D66" s="255">
        <f>'תקציב החברה לפיתוח 2019'!D50</f>
        <v>5600000</v>
      </c>
      <c r="E66" s="255">
        <f>'תקציב החברה לפיתוח 2019'!E50</f>
        <v>5600000</v>
      </c>
      <c r="F66" s="255">
        <f>'תקציב החברה לפיתוח 2019'!F50</f>
        <v>0</v>
      </c>
      <c r="G66" s="255">
        <f>'תקציב החברה לפיתוח 2019'!G50</f>
        <v>5600000</v>
      </c>
      <c r="H66" s="255">
        <f>'תקציב החברה לפיתוח 2019'!H50</f>
        <v>5518363</v>
      </c>
      <c r="I66" s="255">
        <f>'תקציב החברה לפיתוח 2019'!I50</f>
        <v>0</v>
      </c>
      <c r="J66" s="255">
        <f>'תקציב החברה לפיתוח 2019'!J50</f>
        <v>80238</v>
      </c>
      <c r="K66" s="255">
        <f>'תקציב החברה לפיתוח 2019'!K50</f>
        <v>80238</v>
      </c>
      <c r="L66" s="255">
        <f>'תקציב החברה לפיתוח 2019'!L50</f>
        <v>5598601</v>
      </c>
      <c r="M66" s="255">
        <f>'תקציב החברה לפיתוח 2019'!M50</f>
        <v>1399</v>
      </c>
      <c r="N66" s="255">
        <f>'תקציב החברה לפיתוח 2019'!N50</f>
        <v>0</v>
      </c>
      <c r="O66" s="255">
        <f>'תקציב החברה לפיתוח 2019'!O50</f>
        <v>0</v>
      </c>
      <c r="P66" s="255">
        <f>'תקציב החברה לפיתוח 2019'!P50</f>
        <v>1399</v>
      </c>
      <c r="Q66" s="255">
        <f>'תקציב החברה לפיתוח 2019'!Q50</f>
        <v>0</v>
      </c>
      <c r="R66" s="255">
        <f>'תקציב החברה לפיתוח 2019'!R50</f>
        <v>0</v>
      </c>
      <c r="S66" s="255">
        <f>'תקציב החברה לפיתוח 2019'!S50</f>
        <v>0</v>
      </c>
      <c r="T66" s="255">
        <f>'תקציב החברה לפיתוח 2019'!T50</f>
        <v>0</v>
      </c>
      <c r="U66" s="255">
        <f>'תקציב החברה לפיתוח 2019'!U50</f>
        <v>0</v>
      </c>
      <c r="V66" s="255">
        <f>'תקציב החברה לפיתוח 2019'!V50</f>
        <v>0</v>
      </c>
      <c r="W66" s="255">
        <f>'תקציב החברה לפיתוח 2019'!W50</f>
        <v>0</v>
      </c>
      <c r="X66" s="255">
        <f>'תקציב החברה לפיתוח 2019'!X50</f>
        <v>0</v>
      </c>
      <c r="Y66" s="255">
        <f>'תקציב החברה לפיתוח 2019'!Y50</f>
        <v>0</v>
      </c>
      <c r="Z66" s="255">
        <f>'תקציב החברה לפיתוח 2019'!Z50</f>
        <v>0</v>
      </c>
      <c r="AA66" s="254"/>
      <c r="AB66" s="254">
        <v>810000</v>
      </c>
      <c r="AE66" s="425"/>
      <c r="AF66" s="258"/>
      <c r="AG66" s="258"/>
      <c r="AH66" s="258"/>
      <c r="AI66" s="258"/>
      <c r="AM66" s="258"/>
      <c r="AN66" s="258"/>
      <c r="AO66" s="258"/>
      <c r="AP66" s="258"/>
      <c r="AQ66" s="258"/>
    </row>
    <row r="67" spans="1:43">
      <c r="A67" s="254">
        <f t="shared" si="7"/>
        <v>56</v>
      </c>
      <c r="B67" s="427">
        <v>1894</v>
      </c>
      <c r="C67" s="254" t="s">
        <v>535</v>
      </c>
      <c r="D67" s="255">
        <f>'תקציב החברה לפיתוח 2019'!D52</f>
        <v>7100000</v>
      </c>
      <c r="E67" s="255">
        <f>'תקציב החברה לפיתוח 2019'!E52</f>
        <v>7100000</v>
      </c>
      <c r="F67" s="255">
        <f>'תקציב החברה לפיתוח 2019'!F52</f>
        <v>0</v>
      </c>
      <c r="G67" s="255">
        <f>'תקציב החברה לפיתוח 2019'!G52</f>
        <v>7100000</v>
      </c>
      <c r="H67" s="255">
        <f>'תקציב החברה לפיתוח 2019'!H52</f>
        <v>6050308</v>
      </c>
      <c r="I67" s="255">
        <f>'תקציב החברה לפיתוח 2019'!I52</f>
        <v>0</v>
      </c>
      <c r="J67" s="255">
        <f>'תקציב החברה לפיתוח 2019'!J52</f>
        <v>1046091.4</v>
      </c>
      <c r="K67" s="255">
        <f>'תקציב החברה לפיתוח 2019'!K52</f>
        <v>1046091.4</v>
      </c>
      <c r="L67" s="255">
        <f>'תקציב החברה לפיתוח 2019'!L52</f>
        <v>7096399.4000000004</v>
      </c>
      <c r="M67" s="255">
        <f>'תקציב החברה לפיתוח 2019'!M52</f>
        <v>3600.5999999996275</v>
      </c>
      <c r="N67" s="255">
        <f>'תקציב החברה לפיתוח 2019'!N52</f>
        <v>0</v>
      </c>
      <c r="O67" s="255">
        <f>'תקציב החברה לפיתוח 2019'!O52</f>
        <v>0</v>
      </c>
      <c r="P67" s="255">
        <f>'תקציב החברה לפיתוח 2019'!P52</f>
        <v>3600.5999999996275</v>
      </c>
      <c r="Q67" s="255">
        <f>'תקציב החברה לפיתוח 2019'!Q52</f>
        <v>0</v>
      </c>
      <c r="R67" s="255">
        <f>'תקציב החברה לפיתוח 2019'!R52</f>
        <v>0</v>
      </c>
      <c r="S67" s="255">
        <f>'תקציב החברה לפיתוח 2019'!S52</f>
        <v>0</v>
      </c>
      <c r="T67" s="255">
        <f>'תקציב החברה לפיתוח 2019'!T52</f>
        <v>0</v>
      </c>
      <c r="U67" s="255">
        <f>'תקציב החברה לפיתוח 2019'!U52</f>
        <v>0</v>
      </c>
      <c r="V67" s="255">
        <f>'תקציב החברה לפיתוח 2019'!V52</f>
        <v>0</v>
      </c>
      <c r="W67" s="255">
        <f>'תקציב החברה לפיתוח 2019'!W52</f>
        <v>0</v>
      </c>
      <c r="X67" s="255">
        <f>'תקציב החברה לפיתוח 2019'!X52</f>
        <v>0</v>
      </c>
      <c r="Y67" s="255">
        <f>'תקציב החברה לפיתוח 2019'!Y52</f>
        <v>0</v>
      </c>
      <c r="Z67" s="255">
        <f>'תקציב החברה לפיתוח 2019'!Z52</f>
        <v>0</v>
      </c>
      <c r="AA67" s="254"/>
      <c r="AB67" s="254">
        <v>810000</v>
      </c>
      <c r="AE67" s="425"/>
      <c r="AF67" s="258"/>
      <c r="AG67" s="266"/>
      <c r="AH67" s="266"/>
      <c r="AI67" s="266"/>
    </row>
    <row r="68" spans="1:43" ht="28">
      <c r="A68" s="254">
        <f t="shared" si="7"/>
        <v>57</v>
      </c>
      <c r="B68" s="427">
        <v>1957</v>
      </c>
      <c r="C68" s="254" t="s">
        <v>708</v>
      </c>
      <c r="D68" s="255">
        <f>'תקציב החברה לפיתוח 2019'!D62</f>
        <v>60000000</v>
      </c>
      <c r="E68" s="255">
        <f>'תקציב החברה לפיתוח 2019'!E62</f>
        <v>60000000</v>
      </c>
      <c r="F68" s="255">
        <f>'תקציב החברה לפיתוח 2019'!F62</f>
        <v>0</v>
      </c>
      <c r="G68" s="255">
        <f>'תקציב החברה לפיתוח 2019'!G62</f>
        <v>2300000</v>
      </c>
      <c r="H68" s="255">
        <f>'תקציב החברה לפיתוח 2019'!H62</f>
        <v>1730549</v>
      </c>
      <c r="I68" s="255">
        <f>'תקציב החברה לפיתוח 2019'!I62</f>
        <v>0</v>
      </c>
      <c r="J68" s="255">
        <f>'תקציב החברה לפיתוח 2019'!J62</f>
        <v>169446</v>
      </c>
      <c r="K68" s="255">
        <f>'תקציב החברה לפיתוח 2019'!K62</f>
        <v>169446</v>
      </c>
      <c r="L68" s="255">
        <f>'תקציב החברה לפיתוח 2019'!L62</f>
        <v>1899995</v>
      </c>
      <c r="M68" s="255">
        <f>'תקציב החברה לפיתוח 2019'!M62</f>
        <v>14600005</v>
      </c>
      <c r="N68" s="255">
        <f>'תקציב החברה לפיתוח 2019'!N62</f>
        <v>14500000</v>
      </c>
      <c r="O68" s="255">
        <f>'תקציב החברה לפיתוח 2019'!O62</f>
        <v>29000000</v>
      </c>
      <c r="P68" s="255">
        <f>'תקציב החברה לפיתוח 2019'!P62</f>
        <v>400005</v>
      </c>
      <c r="Q68" s="255">
        <f>'תקציב החברה לפיתוח 2019'!Q62</f>
        <v>14200000</v>
      </c>
      <c r="R68" s="255">
        <f>'תקציב החברה לפיתוח 2019'!R62</f>
        <v>0</v>
      </c>
      <c r="S68" s="255">
        <f>'תקציב החברה לפיתוח 2019'!S62</f>
        <v>14200000</v>
      </c>
      <c r="T68" s="255">
        <f>'תקציב החברה לפיתוח 2019'!T62</f>
        <v>0</v>
      </c>
      <c r="U68" s="255">
        <f>'תקציב החברה לפיתוח 2019'!U62</f>
        <v>14500000</v>
      </c>
      <c r="V68" s="255">
        <f>'תקציב החברה לפיתוח 2019'!V62</f>
        <v>14500000</v>
      </c>
      <c r="W68" s="255">
        <f>'תקציב החברה לפיתוח 2019'!W62</f>
        <v>0</v>
      </c>
      <c r="X68" s="255">
        <f>'תקציב החברה לפיתוח 2019'!X62</f>
        <v>0</v>
      </c>
      <c r="Y68" s="255">
        <f>'תקציב החברה לפיתוח 2019'!Y62</f>
        <v>0</v>
      </c>
      <c r="Z68" s="255">
        <f>'תקציב החברה לפיתוח 2019'!Z62</f>
        <v>0</v>
      </c>
      <c r="AA68" s="598"/>
      <c r="AB68" s="254">
        <v>810000</v>
      </c>
      <c r="AE68" s="425"/>
      <c r="AF68" s="258"/>
      <c r="AG68" s="266"/>
      <c r="AH68" s="266"/>
      <c r="AI68" s="266"/>
    </row>
    <row r="69" spans="1:43" ht="42">
      <c r="A69" s="254">
        <f t="shared" si="7"/>
        <v>58</v>
      </c>
      <c r="B69" s="254">
        <v>2015</v>
      </c>
      <c r="C69" s="254" t="s">
        <v>711</v>
      </c>
      <c r="D69" s="255">
        <f>'תקציב החברה לפיתוח 2019'!D67</f>
        <v>10500000</v>
      </c>
      <c r="E69" s="255">
        <f>'תקציב החברה לפיתוח 2019'!E67</f>
        <v>10500000</v>
      </c>
      <c r="F69" s="255">
        <f>'תקציב החברה לפיתוח 2019'!F67</f>
        <v>0</v>
      </c>
      <c r="G69" s="255">
        <f>'תקציב החברה לפיתוח 2019'!G67</f>
        <v>250000</v>
      </c>
      <c r="H69" s="255">
        <f>'תקציב החברה לפיתוח 2019'!H67</f>
        <v>0</v>
      </c>
      <c r="I69" s="255">
        <f>'תקציב החברה לפיתוח 2019'!I67</f>
        <v>0</v>
      </c>
      <c r="J69" s="255">
        <f>'תקציב החברה לפיתוח 2019'!J67</f>
        <v>0</v>
      </c>
      <c r="K69" s="255">
        <f>'תקציב החברה לפיתוח 2019'!K67</f>
        <v>0</v>
      </c>
      <c r="L69" s="255">
        <f>'תקציב החברה לפיתוח 2019'!L67</f>
        <v>0</v>
      </c>
      <c r="M69" s="255">
        <f>'תקציב החברה לפיתוח 2019'!M67</f>
        <v>5500000</v>
      </c>
      <c r="N69" s="255">
        <f>'תקציב החברה לפיתוח 2019'!N67</f>
        <v>5000000</v>
      </c>
      <c r="O69" s="255">
        <f>'תקציב החברה לפיתוח 2019'!O67</f>
        <v>0</v>
      </c>
      <c r="P69" s="255">
        <f>'תקציב החברה לפיתוח 2019'!P67</f>
        <v>250000</v>
      </c>
      <c r="Q69" s="255">
        <f>'תקציב החברה לפיתוח 2019'!Q67</f>
        <v>5250000</v>
      </c>
      <c r="R69" s="255">
        <f>'תקציב החברה לפיתוח 2019'!R67</f>
        <v>0</v>
      </c>
      <c r="S69" s="255">
        <f>'תקציב החברה לפיתוח 2019'!S67</f>
        <v>5250000</v>
      </c>
      <c r="T69" s="255">
        <f>'תקציב החברה לפיתוח 2019'!T67</f>
        <v>0</v>
      </c>
      <c r="U69" s="255">
        <f>'תקציב החברה לפיתוח 2019'!U67</f>
        <v>5000000</v>
      </c>
      <c r="V69" s="255">
        <f>'תקציב החברה לפיתוח 2019'!V67</f>
        <v>5000000</v>
      </c>
      <c r="W69" s="255">
        <f>'תקציב החברה לפיתוח 2019'!W67</f>
        <v>0</v>
      </c>
      <c r="X69" s="255">
        <f>'תקציב החברה לפיתוח 2019'!X67</f>
        <v>0</v>
      </c>
      <c r="Y69" s="255">
        <f>'תקציב החברה לפיתוח 2019'!Y67</f>
        <v>0</v>
      </c>
      <c r="Z69" s="255">
        <f>'תקציב החברה לפיתוח 2019'!Z67</f>
        <v>0</v>
      </c>
      <c r="AA69" s="254" t="s">
        <v>1124</v>
      </c>
      <c r="AB69" s="254">
        <v>810000</v>
      </c>
      <c r="AE69" s="425"/>
      <c r="AF69" s="258"/>
      <c r="AG69" s="258"/>
      <c r="AH69" s="258"/>
      <c r="AI69" s="258"/>
      <c r="AM69" s="266"/>
      <c r="AN69" s="266"/>
      <c r="AO69" s="266"/>
      <c r="AP69" s="266"/>
      <c r="AQ69" s="266"/>
    </row>
    <row r="70" spans="1:43" s="266" customFormat="1">
      <c r="A70" s="254">
        <f t="shared" si="7"/>
        <v>59</v>
      </c>
      <c r="B70" s="254">
        <v>2016</v>
      </c>
      <c r="C70" s="254" t="s">
        <v>712</v>
      </c>
      <c r="D70" s="255">
        <f>'תקציב החברה לפיתוח 2019'!D68</f>
        <v>7340000</v>
      </c>
      <c r="E70" s="255">
        <f>'תקציב החברה לפיתוח 2019'!E68</f>
        <v>7340000</v>
      </c>
      <c r="F70" s="255">
        <f>'תקציב החברה לפיתוח 2019'!F68</f>
        <v>0</v>
      </c>
      <c r="G70" s="255">
        <f>'תקציב החברה לפיתוח 2019'!G68</f>
        <v>7340000</v>
      </c>
      <c r="H70" s="255">
        <f>'תקציב החברה לפיתוח 2019'!H68</f>
        <v>5006147</v>
      </c>
      <c r="I70" s="255">
        <f>'תקציב החברה לפיתוח 2019'!I68</f>
        <v>0</v>
      </c>
      <c r="J70" s="255">
        <f>'תקציב החברה לפיתוח 2019'!J68</f>
        <v>2333837</v>
      </c>
      <c r="K70" s="255">
        <f>'תקציב החברה לפיתוח 2019'!K68</f>
        <v>2333837</v>
      </c>
      <c r="L70" s="255">
        <f>'תקציב החברה לפיתוח 2019'!L68</f>
        <v>7339984</v>
      </c>
      <c r="M70" s="255">
        <f>'תקציב החברה לפיתוח 2019'!M68</f>
        <v>16</v>
      </c>
      <c r="N70" s="255">
        <f>'תקציב החברה לפיתוח 2019'!N68</f>
        <v>0</v>
      </c>
      <c r="O70" s="255">
        <f>'תקציב החברה לפיתוח 2019'!O68</f>
        <v>0</v>
      </c>
      <c r="P70" s="255">
        <f>'תקציב החברה לפיתוח 2019'!P68</f>
        <v>16</v>
      </c>
      <c r="Q70" s="255">
        <f>'תקציב החברה לפיתוח 2019'!Q68</f>
        <v>0</v>
      </c>
      <c r="R70" s="255">
        <f>'תקציב החברה לפיתוח 2019'!R68</f>
        <v>0</v>
      </c>
      <c r="S70" s="255">
        <f>'תקציב החברה לפיתוח 2019'!S68</f>
        <v>0</v>
      </c>
      <c r="T70" s="255">
        <f>'תקציב החברה לפיתוח 2019'!T68</f>
        <v>0</v>
      </c>
      <c r="U70" s="255">
        <f>'תקציב החברה לפיתוח 2019'!U68</f>
        <v>0</v>
      </c>
      <c r="V70" s="255">
        <f>'תקציב החברה לפיתוח 2019'!V68</f>
        <v>0</v>
      </c>
      <c r="W70" s="255">
        <f>'תקציב החברה לפיתוח 2019'!W68</f>
        <v>0</v>
      </c>
      <c r="X70" s="255">
        <f>'תקציב החברה לפיתוח 2019'!X68</f>
        <v>0</v>
      </c>
      <c r="Y70" s="255">
        <f>'תקציב החברה לפיתוח 2019'!Y68</f>
        <v>0</v>
      </c>
      <c r="Z70" s="255">
        <f>'תקציב החברה לפיתוח 2019'!Z68</f>
        <v>0</v>
      </c>
      <c r="AA70" s="254"/>
      <c r="AB70" s="430">
        <v>810000</v>
      </c>
      <c r="AC70" s="420"/>
      <c r="AE70" s="425"/>
      <c r="AF70" s="258"/>
      <c r="AG70" s="258"/>
      <c r="AH70" s="259"/>
      <c r="AI70" s="259"/>
      <c r="AJ70" s="416"/>
      <c r="AK70" s="416"/>
      <c r="AL70" s="416"/>
      <c r="AM70" s="259"/>
      <c r="AN70" s="259"/>
      <c r="AO70" s="259"/>
      <c r="AP70" s="259"/>
      <c r="AQ70" s="259"/>
    </row>
    <row r="71" spans="1:43" s="266" customFormat="1">
      <c r="A71" s="254">
        <f t="shared" si="7"/>
        <v>60</v>
      </c>
      <c r="B71" s="254">
        <v>2023</v>
      </c>
      <c r="C71" s="254" t="s">
        <v>716</v>
      </c>
      <c r="D71" s="255">
        <f>'תקציב החברה לפיתוח 2019'!D74</f>
        <v>7340000</v>
      </c>
      <c r="E71" s="255">
        <f>'תקציב החברה לפיתוח 2019'!E74</f>
        <v>7340000</v>
      </c>
      <c r="F71" s="255">
        <f>'תקציב החברה לפיתוח 2019'!F74</f>
        <v>0</v>
      </c>
      <c r="G71" s="255">
        <f>'תקציב החברה לפיתוח 2019'!G74</f>
        <v>250000</v>
      </c>
      <c r="H71" s="255">
        <f>'תקציב החברה לפיתוח 2019'!H74</f>
        <v>4713</v>
      </c>
      <c r="I71" s="255">
        <f>'תקציב החברה לפיתוח 2019'!I74</f>
        <v>0</v>
      </c>
      <c r="J71" s="255">
        <f>'תקציב החברה לפיתוח 2019'!J74</f>
        <v>245286.99</v>
      </c>
      <c r="K71" s="255">
        <f>'תקציב החברה לפיתוח 2019'!K74</f>
        <v>245286.99</v>
      </c>
      <c r="L71" s="255">
        <f>'תקציב החברה לפיתוח 2019'!L74</f>
        <v>249999.99</v>
      </c>
      <c r="M71" s="255">
        <f>'תקציב החברה לפיתוח 2019'!M74</f>
        <v>2750000.01</v>
      </c>
      <c r="N71" s="255">
        <f>'תקציב החברה לפיתוח 2019'!N74</f>
        <v>4340000</v>
      </c>
      <c r="O71" s="255">
        <f>'תקציב החברה לפיתוח 2019'!O74</f>
        <v>0</v>
      </c>
      <c r="P71" s="255">
        <f>'תקציב החברה לפיתוח 2019'!P74</f>
        <v>1.0000000009313226E-2</v>
      </c>
      <c r="Q71" s="255">
        <f>'תקציב החברה לפיתוח 2019'!Q74</f>
        <v>2750000</v>
      </c>
      <c r="R71" s="255">
        <f>'תקציב החברה לפיתוח 2019'!R74</f>
        <v>0</v>
      </c>
      <c r="S71" s="255">
        <f>'תקציב החברה לפיתוח 2019'!S74</f>
        <v>2750000</v>
      </c>
      <c r="T71" s="255">
        <f>'תקציב החברה לפיתוח 2019'!T74</f>
        <v>0</v>
      </c>
      <c r="U71" s="255">
        <f>'תקציב החברה לפיתוח 2019'!U74</f>
        <v>4340000</v>
      </c>
      <c r="V71" s="255">
        <f>'תקציב החברה לפיתוח 2019'!V74</f>
        <v>4340000</v>
      </c>
      <c r="W71" s="255">
        <f>'תקציב החברה לפיתוח 2019'!W74</f>
        <v>0</v>
      </c>
      <c r="X71" s="255">
        <f>'תקציב החברה לפיתוח 2019'!X74</f>
        <v>0</v>
      </c>
      <c r="Y71" s="255">
        <f>'תקציב החברה לפיתוח 2019'!Y74</f>
        <v>0</v>
      </c>
      <c r="Z71" s="255">
        <f>'תקציב החברה לפיתוח 2019'!Z74</f>
        <v>0</v>
      </c>
      <c r="AA71" s="254" t="s">
        <v>1072</v>
      </c>
      <c r="AB71" s="254">
        <v>810000</v>
      </c>
      <c r="AC71" s="420"/>
      <c r="AE71" s="425"/>
      <c r="AF71" s="258"/>
      <c r="AG71" s="258"/>
      <c r="AH71" s="258"/>
      <c r="AI71" s="258"/>
      <c r="AJ71" s="416"/>
      <c r="AK71" s="416"/>
      <c r="AL71" s="416"/>
      <c r="AM71" s="258"/>
      <c r="AN71" s="258"/>
      <c r="AO71" s="258"/>
      <c r="AP71" s="258"/>
      <c r="AQ71" s="258"/>
    </row>
    <row r="72" spans="1:43" s="266" customFormat="1">
      <c r="A72" s="254">
        <f t="shared" si="7"/>
        <v>61</v>
      </c>
      <c r="B72" s="254">
        <v>2024</v>
      </c>
      <c r="C72" s="254" t="s">
        <v>717</v>
      </c>
      <c r="D72" s="255">
        <f>'תקציב החברה לפיתוח 2019'!D75</f>
        <v>7340000</v>
      </c>
      <c r="E72" s="255">
        <f>'תקציב החברה לפיתוח 2019'!E75</f>
        <v>7340000</v>
      </c>
      <c r="F72" s="255">
        <f>'תקציב החברה לפיתוח 2019'!F75</f>
        <v>0</v>
      </c>
      <c r="G72" s="255">
        <f>'תקציב החברה לפיתוח 2019'!G75</f>
        <v>250000</v>
      </c>
      <c r="H72" s="255">
        <f>'תקציב החברה לפיתוח 2019'!H75</f>
        <v>10393</v>
      </c>
      <c r="I72" s="255">
        <f>'תקציב החברה לפיתוח 2019'!I75</f>
        <v>0</v>
      </c>
      <c r="J72" s="255">
        <f>'תקציב החברה לפיתוח 2019'!J75</f>
        <v>239519.55</v>
      </c>
      <c r="K72" s="255">
        <f>'תקציב החברה לפיתוח 2019'!K75</f>
        <v>239519.55</v>
      </c>
      <c r="L72" s="255">
        <f>'תקציב החברה לפיתוח 2019'!L75</f>
        <v>249912.55</v>
      </c>
      <c r="M72" s="255">
        <f>'תקציב החברה לפיתוח 2019'!M75</f>
        <v>450087.45</v>
      </c>
      <c r="N72" s="255">
        <f>'תקציב החברה לפיתוח 2019'!N75</f>
        <v>0</v>
      </c>
      <c r="O72" s="255">
        <f>'תקציב החברה לפיתוח 2019'!O75</f>
        <v>6640000</v>
      </c>
      <c r="P72" s="255">
        <f>'תקציב החברה לפיתוח 2019'!P75</f>
        <v>87.450000000011642</v>
      </c>
      <c r="Q72" s="255">
        <f>'תקציב החברה לפיתוח 2019'!Q75</f>
        <v>450000</v>
      </c>
      <c r="R72" s="255">
        <f>'תקציב החברה לפיתוח 2019'!R75</f>
        <v>0</v>
      </c>
      <c r="S72" s="255">
        <f>'תקציב החברה לפיתוח 2019'!S75</f>
        <v>450000</v>
      </c>
      <c r="T72" s="255">
        <f>'תקציב החברה לפיתוח 2019'!T75</f>
        <v>0</v>
      </c>
      <c r="U72" s="255">
        <f>'תקציב החברה לפיתוח 2019'!U75</f>
        <v>0</v>
      </c>
      <c r="V72" s="255">
        <f>'תקציב החברה לפיתוח 2019'!V75</f>
        <v>0</v>
      </c>
      <c r="W72" s="255">
        <f>'תקציב החברה לפיתוח 2019'!W75</f>
        <v>0</v>
      </c>
      <c r="X72" s="255">
        <f>'תקציב החברה לפיתוח 2019'!X75</f>
        <v>0</v>
      </c>
      <c r="Y72" s="255">
        <f>'תקציב החברה לפיתוח 2019'!Y75</f>
        <v>0</v>
      </c>
      <c r="Z72" s="255">
        <f>'תקציב החברה לפיתוח 2019'!Z75</f>
        <v>0</v>
      </c>
      <c r="AA72" s="254" t="s">
        <v>1073</v>
      </c>
      <c r="AB72" s="254">
        <v>810000</v>
      </c>
      <c r="AC72" s="420"/>
      <c r="AE72" s="425"/>
      <c r="AF72" s="258"/>
      <c r="AG72" s="258"/>
      <c r="AH72" s="258"/>
      <c r="AI72" s="258"/>
      <c r="AJ72" s="416"/>
      <c r="AK72" s="416"/>
      <c r="AL72" s="416"/>
      <c r="AM72" s="258"/>
      <c r="AN72" s="258"/>
      <c r="AO72" s="258"/>
      <c r="AP72" s="258"/>
      <c r="AQ72" s="258"/>
    </row>
    <row r="73" spans="1:43" s="259" customFormat="1" ht="28">
      <c r="A73" s="254">
        <f t="shared" si="7"/>
        <v>62</v>
      </c>
      <c r="B73" s="254">
        <v>2025</v>
      </c>
      <c r="C73" s="254" t="s">
        <v>718</v>
      </c>
      <c r="D73" s="255">
        <f>'תקציב החברה לפיתוח 2019'!D76</f>
        <v>2600000</v>
      </c>
      <c r="E73" s="255">
        <f>'תקציב החברה לפיתוח 2019'!E76</f>
        <v>2600000</v>
      </c>
      <c r="F73" s="255">
        <f>'תקציב החברה לפיתוח 2019'!F76</f>
        <v>0</v>
      </c>
      <c r="G73" s="255">
        <f>'תקציב החברה לפיתוח 2019'!G76</f>
        <v>150000</v>
      </c>
      <c r="H73" s="255">
        <f>'תקציב החברה לפיתוח 2019'!H76</f>
        <v>6201</v>
      </c>
      <c r="I73" s="255">
        <f>'תקציב החברה לפיתוח 2019'!I76</f>
        <v>0</v>
      </c>
      <c r="J73" s="255">
        <f>'תקציב החברה לפיתוח 2019'!J76</f>
        <v>143797</v>
      </c>
      <c r="K73" s="255">
        <f>'תקציב החברה לפיתוח 2019'!K76</f>
        <v>143797</v>
      </c>
      <c r="L73" s="255">
        <f>'תקציב החברה לפיתוח 2019'!L76</f>
        <v>149998</v>
      </c>
      <c r="M73" s="255">
        <f>'תקציב החברה לפיתוח 2019'!M76</f>
        <v>1150002</v>
      </c>
      <c r="N73" s="255">
        <f>'תקציב החברה לפיתוח 2019'!N76</f>
        <v>1300000</v>
      </c>
      <c r="O73" s="255">
        <f>'תקציב החברה לפיתוח 2019'!O76</f>
        <v>0</v>
      </c>
      <c r="P73" s="255">
        <f>'תקציב החברה לפיתוח 2019'!P76</f>
        <v>2</v>
      </c>
      <c r="Q73" s="255">
        <f>'תקציב החברה לפיתוח 2019'!Q76</f>
        <v>1150000</v>
      </c>
      <c r="R73" s="255">
        <f>'תקציב החברה לפיתוח 2019'!R76</f>
        <v>0</v>
      </c>
      <c r="S73" s="255">
        <f>'תקציב החברה לפיתוח 2019'!S76</f>
        <v>1150000</v>
      </c>
      <c r="T73" s="255">
        <f>'תקציב החברה לפיתוח 2019'!T76</f>
        <v>0</v>
      </c>
      <c r="U73" s="255">
        <f>'תקציב החברה לפיתוח 2019'!U76</f>
        <v>1300000</v>
      </c>
      <c r="V73" s="255">
        <f>'תקציב החברה לפיתוח 2019'!V76</f>
        <v>1300000</v>
      </c>
      <c r="W73" s="255">
        <f>'תקציב החברה לפיתוח 2019'!W76</f>
        <v>0</v>
      </c>
      <c r="X73" s="255">
        <f>'תקציב החברה לפיתוח 2019'!X76</f>
        <v>0</v>
      </c>
      <c r="Y73" s="255">
        <f>'תקציב החברה לפיתוח 2019'!Y76</f>
        <v>0</v>
      </c>
      <c r="Z73" s="255">
        <f>'תקציב החברה לפיתוח 2019'!Z76</f>
        <v>0</v>
      </c>
      <c r="AA73" s="254" t="s">
        <v>1074</v>
      </c>
      <c r="AB73" s="254">
        <v>810000</v>
      </c>
      <c r="AC73" s="420"/>
      <c r="AD73" s="266"/>
      <c r="AE73" s="425"/>
      <c r="AF73" s="258"/>
      <c r="AG73" s="258"/>
      <c r="AH73" s="258"/>
      <c r="AI73" s="258"/>
      <c r="AJ73" s="416"/>
      <c r="AK73" s="416"/>
      <c r="AL73" s="416"/>
      <c r="AM73" s="258"/>
      <c r="AN73" s="258"/>
      <c r="AO73" s="258"/>
      <c r="AP73" s="258"/>
      <c r="AQ73" s="258"/>
    </row>
    <row r="74" spans="1:43" ht="28">
      <c r="A74" s="254">
        <f t="shared" si="7"/>
        <v>63</v>
      </c>
      <c r="B74" s="254">
        <v>2026</v>
      </c>
      <c r="C74" s="254" t="s">
        <v>579</v>
      </c>
      <c r="D74" s="255">
        <f>'תקציב החברה לפיתוח 2019'!D77</f>
        <v>8200000</v>
      </c>
      <c r="E74" s="255">
        <f>'תקציב החברה לפיתוח 2019'!E77</f>
        <v>7340000</v>
      </c>
      <c r="F74" s="255">
        <f>'תקציב החברה לפיתוח 2019'!F77</f>
        <v>860000</v>
      </c>
      <c r="G74" s="255">
        <f>'תקציב החברה לפיתוח 2019'!G77</f>
        <v>150000</v>
      </c>
      <c r="H74" s="255">
        <f>'תקציב החברה לפיתוח 2019'!H77</f>
        <v>0</v>
      </c>
      <c r="I74" s="255">
        <f>'תקציב החברה לפיתוח 2019'!I77</f>
        <v>0</v>
      </c>
      <c r="J74" s="255">
        <f>'תקציב החברה לפיתוח 2019'!J77</f>
        <v>147883.44</v>
      </c>
      <c r="K74" s="255">
        <f>'תקציב החברה לפיתוח 2019'!K77</f>
        <v>147883.44</v>
      </c>
      <c r="L74" s="255">
        <f>'תקציב החברה לפיתוח 2019'!L77</f>
        <v>147883.44</v>
      </c>
      <c r="M74" s="255">
        <f>'תקציב החברה לפיתוח 2019'!M77</f>
        <v>2116.5599999999977</v>
      </c>
      <c r="N74" s="255">
        <f>'תקציב החברה לפיתוח 2019'!N77</f>
        <v>8050000</v>
      </c>
      <c r="O74" s="255">
        <f>'תקציב החברה לפיתוח 2019'!O77</f>
        <v>0</v>
      </c>
      <c r="P74" s="255">
        <f>'תקציב החברה לפיתוח 2019'!P77</f>
        <v>2116.5599999999977</v>
      </c>
      <c r="Q74" s="255">
        <f>'תקציב החברה לפיתוח 2019'!Q77</f>
        <v>0</v>
      </c>
      <c r="R74" s="255">
        <f>'תקציב החברה לפיתוח 2019'!R77</f>
        <v>0</v>
      </c>
      <c r="S74" s="255">
        <f>'תקציב החברה לפיתוח 2019'!S77</f>
        <v>0</v>
      </c>
      <c r="T74" s="255">
        <f>'תקציב החברה לפיתוח 2019'!T77</f>
        <v>0</v>
      </c>
      <c r="U74" s="255">
        <f>'תקציב החברה לפיתוח 2019'!U77</f>
        <v>8050000</v>
      </c>
      <c r="V74" s="255">
        <f>'תקציב החברה לפיתוח 2019'!V77</f>
        <v>8050000</v>
      </c>
      <c r="W74" s="255">
        <f>'תקציב החברה לפיתוח 2019'!W77</f>
        <v>0</v>
      </c>
      <c r="X74" s="255">
        <f>'תקציב החברה לפיתוח 2019'!X77</f>
        <v>0</v>
      </c>
      <c r="Y74" s="255">
        <f>'תקציב החברה לפיתוח 2019'!Y77</f>
        <v>0</v>
      </c>
      <c r="Z74" s="255">
        <f>'תקציב החברה לפיתוח 2019'!Z77</f>
        <v>0</v>
      </c>
      <c r="AA74" s="254" t="s">
        <v>1075</v>
      </c>
      <c r="AB74" s="254">
        <v>810000</v>
      </c>
      <c r="AE74" s="425"/>
      <c r="AF74" s="258"/>
      <c r="AG74" s="258"/>
      <c r="AH74" s="258"/>
      <c r="AI74" s="258"/>
      <c r="AM74" s="258"/>
      <c r="AN74" s="258"/>
      <c r="AO74" s="258"/>
      <c r="AP74" s="258"/>
      <c r="AQ74" s="258"/>
    </row>
    <row r="75" spans="1:43" ht="28">
      <c r="A75" s="254">
        <f t="shared" si="7"/>
        <v>64</v>
      </c>
      <c r="B75" s="42">
        <v>2097</v>
      </c>
      <c r="C75" s="254" t="s">
        <v>725</v>
      </c>
      <c r="D75" s="255">
        <f>'תקציב החברה לפיתוח 2019'!D87</f>
        <v>41000000</v>
      </c>
      <c r="E75" s="255">
        <f>'תקציב החברה לפיתוח 2019'!E87</f>
        <v>0</v>
      </c>
      <c r="F75" s="255">
        <f>'תקציב החברה לפיתוח 2019'!F87</f>
        <v>41000000</v>
      </c>
      <c r="G75" s="255">
        <f>'תקציב החברה לפיתוח 2019'!G87</f>
        <v>0</v>
      </c>
      <c r="H75" s="255">
        <f>'תקציב החברה לפיתוח 2019'!H87</f>
        <v>0</v>
      </c>
      <c r="I75" s="255">
        <f>'תקציב החברה לפיתוח 2019'!I87</f>
        <v>0</v>
      </c>
      <c r="J75" s="255">
        <f>'תקציב החברה לפיתוח 2019'!J87</f>
        <v>0</v>
      </c>
      <c r="K75" s="255">
        <f>'תקציב החברה לפיתוח 2019'!K87</f>
        <v>0</v>
      </c>
      <c r="L75" s="255">
        <f>'תקציב החברה לפיתוח 2019'!L87</f>
        <v>0</v>
      </c>
      <c r="M75" s="255">
        <f>'תקציב החברה לפיתוח 2019'!M87</f>
        <v>0</v>
      </c>
      <c r="N75" s="255">
        <f>'תקציב החברה לפיתוח 2019'!N87</f>
        <v>1000000</v>
      </c>
      <c r="O75" s="255">
        <f>'תקציב החברה לפיתוח 2019'!O87</f>
        <v>40000000</v>
      </c>
      <c r="P75" s="255">
        <f>'תקציב החברה לפיתוח 2019'!P87</f>
        <v>0</v>
      </c>
      <c r="Q75" s="255">
        <f>'תקציב החברה לפיתוח 2019'!Q87</f>
        <v>0</v>
      </c>
      <c r="R75" s="255">
        <f>'תקציב החברה לפיתוח 2019'!R87</f>
        <v>0</v>
      </c>
      <c r="S75" s="255">
        <f>'תקציב החברה לפיתוח 2019'!S87</f>
        <v>0</v>
      </c>
      <c r="T75" s="255">
        <f>'תקציב החברה לפיתוח 2019'!T87</f>
        <v>0</v>
      </c>
      <c r="U75" s="255">
        <f>'תקציב החברה לפיתוח 2019'!U87</f>
        <v>1000000</v>
      </c>
      <c r="V75" s="255">
        <f>'תקציב החברה לפיתוח 2019'!V87</f>
        <v>1000000</v>
      </c>
      <c r="W75" s="255">
        <f>'תקציב החברה לפיתוח 2019'!W87</f>
        <v>0</v>
      </c>
      <c r="X75" s="255">
        <f>'תקציב החברה לפיתוח 2019'!X87</f>
        <v>0</v>
      </c>
      <c r="Y75" s="255">
        <f>'תקציב החברה לפיתוח 2019'!Y87</f>
        <v>0</v>
      </c>
      <c r="Z75" s="255">
        <f>'תקציב החברה לפיתוח 2019'!Z87</f>
        <v>0</v>
      </c>
      <c r="AA75" s="434" t="s">
        <v>1129</v>
      </c>
      <c r="AB75" s="254">
        <v>810000</v>
      </c>
      <c r="AF75" s="258"/>
      <c r="AG75" s="266"/>
      <c r="AH75" s="266"/>
      <c r="AI75" s="266"/>
      <c r="AO75" s="261"/>
    </row>
    <row r="76" spans="1:43">
      <c r="A76" s="254">
        <f t="shared" si="7"/>
        <v>65</v>
      </c>
      <c r="B76" s="42">
        <v>2098</v>
      </c>
      <c r="C76" s="254" t="s">
        <v>726</v>
      </c>
      <c r="D76" s="255">
        <f>'תקציב החברה לפיתוח 2019'!D88</f>
        <v>760000</v>
      </c>
      <c r="E76" s="255">
        <f>'תקציב החברה לפיתוח 2019'!E88</f>
        <v>0</v>
      </c>
      <c r="F76" s="255">
        <f>'תקציב החברה לפיתוח 2019'!F88</f>
        <v>760000</v>
      </c>
      <c r="G76" s="255">
        <f>'תקציב החברה לפיתוח 2019'!G88</f>
        <v>0</v>
      </c>
      <c r="H76" s="255">
        <f>'תקציב החברה לפיתוח 2019'!H88</f>
        <v>0</v>
      </c>
      <c r="I76" s="255">
        <f>'תקציב החברה לפיתוח 2019'!I88</f>
        <v>0</v>
      </c>
      <c r="J76" s="255">
        <f>'תקציב החברה לפיתוח 2019'!J88</f>
        <v>0</v>
      </c>
      <c r="K76" s="255">
        <f>'תקציב החברה לפיתוח 2019'!K88</f>
        <v>0</v>
      </c>
      <c r="L76" s="255">
        <f>'תקציב החברה לפיתוח 2019'!L88</f>
        <v>0</v>
      </c>
      <c r="M76" s="255">
        <f>'תקציב החברה לפיתוח 2019'!M88</f>
        <v>0</v>
      </c>
      <c r="N76" s="255">
        <f>'תקציב החברה לפיתוח 2019'!N88</f>
        <v>760000</v>
      </c>
      <c r="O76" s="255">
        <f>'תקציב החברה לפיתוח 2019'!O88</f>
        <v>0</v>
      </c>
      <c r="P76" s="255">
        <f>'תקציב החברה לפיתוח 2019'!P88</f>
        <v>0</v>
      </c>
      <c r="Q76" s="255">
        <f>'תקציב החברה לפיתוח 2019'!Q88</f>
        <v>0</v>
      </c>
      <c r="R76" s="255">
        <f>'תקציב החברה לפיתוח 2019'!R88</f>
        <v>0</v>
      </c>
      <c r="S76" s="255">
        <f>'תקציב החברה לפיתוח 2019'!S88</f>
        <v>0</v>
      </c>
      <c r="T76" s="255">
        <f>'תקציב החברה לפיתוח 2019'!T88</f>
        <v>0</v>
      </c>
      <c r="U76" s="255">
        <f>'תקציב החברה לפיתוח 2019'!U88</f>
        <v>760000</v>
      </c>
      <c r="V76" s="255">
        <f>'תקציב החברה לפיתוח 2019'!V88</f>
        <v>410000</v>
      </c>
      <c r="W76" s="255">
        <f>'תקציב החברה לפיתוח 2019'!W88</f>
        <v>0</v>
      </c>
      <c r="X76" s="255">
        <f>'תקציב החברה לפיתוח 2019'!X88</f>
        <v>0</v>
      </c>
      <c r="Y76" s="255">
        <f>'תקציב החברה לפיתוח 2019'!Y88</f>
        <v>0</v>
      </c>
      <c r="Z76" s="255">
        <f>'תקציב החברה לפיתוח 2019'!Z88</f>
        <v>350000</v>
      </c>
      <c r="AA76" s="254"/>
      <c r="AB76" s="254">
        <v>810000</v>
      </c>
      <c r="AF76" s="258"/>
      <c r="AG76" s="266"/>
      <c r="AH76" s="266"/>
      <c r="AI76" s="266"/>
      <c r="AO76" s="261"/>
    </row>
    <row r="77" spans="1:43" s="258" customFormat="1" ht="28">
      <c r="A77" s="254">
        <f t="shared" ref="A77:A86" si="8">1+A76</f>
        <v>66</v>
      </c>
      <c r="B77" s="254">
        <v>1906</v>
      </c>
      <c r="C77" s="254" t="s">
        <v>500</v>
      </c>
      <c r="D77" s="255">
        <f>'תקציב החברה לפיתוח 2019'!D99</f>
        <v>10000000</v>
      </c>
      <c r="E77" s="255">
        <f>'תקציב החברה לפיתוח 2019'!E99</f>
        <v>10000000</v>
      </c>
      <c r="F77" s="255">
        <f>'תקציב החברה לפיתוח 2019'!F99</f>
        <v>0</v>
      </c>
      <c r="G77" s="255">
        <f>'תקציב החברה לפיתוח 2019'!G99</f>
        <v>9708844</v>
      </c>
      <c r="H77" s="255">
        <f>'תקציב החברה לפיתוח 2019'!H99</f>
        <v>6208337</v>
      </c>
      <c r="I77" s="255">
        <f>'תקציב החברה לפיתוח 2019'!I99</f>
        <v>0</v>
      </c>
      <c r="J77" s="255">
        <f>'תקציב החברה לפיתוח 2019'!J99</f>
        <v>1750480</v>
      </c>
      <c r="K77" s="255">
        <f>'תקציב החברה לפיתוח 2019'!K99</f>
        <v>1750480</v>
      </c>
      <c r="L77" s="255">
        <f>'תקציב החברה לפיתוח 2019'!L99</f>
        <v>7958817</v>
      </c>
      <c r="M77" s="255">
        <f>'תקציב החברה לפיתוח 2019'!M99</f>
        <v>1750027</v>
      </c>
      <c r="N77" s="255">
        <f>'תקציב החברה לפיתוח 2019'!N99</f>
        <v>291156</v>
      </c>
      <c r="O77" s="255">
        <f>'תקציב החברה לפיתוח 2019'!O99</f>
        <v>0</v>
      </c>
      <c r="P77" s="255">
        <f>'תקציב החברה לפיתוח 2019'!P99</f>
        <v>1750027</v>
      </c>
      <c r="Q77" s="255">
        <f>'תקציב החברה לפיתוח 2019'!Q99</f>
        <v>0</v>
      </c>
      <c r="R77" s="255">
        <f>'תקציב החברה לפיתוח 2019'!R99</f>
        <v>0</v>
      </c>
      <c r="S77" s="255">
        <f>'תקציב החברה לפיתוח 2019'!S99</f>
        <v>0</v>
      </c>
      <c r="T77" s="255">
        <f>'תקציב החברה לפיתוח 2019'!T99</f>
        <v>0</v>
      </c>
      <c r="U77" s="255">
        <f>'תקציב החברה לפיתוח 2019'!U99</f>
        <v>291156</v>
      </c>
      <c r="V77" s="255">
        <f>'תקציב החברה לפיתוח 2019'!V99</f>
        <v>0</v>
      </c>
      <c r="W77" s="255">
        <f>'תקציב החברה לפיתוח 2019'!W99</f>
        <v>0</v>
      </c>
      <c r="X77" s="255">
        <f>'תקציב החברה לפיתוח 2019'!X99</f>
        <v>0</v>
      </c>
      <c r="Y77" s="255">
        <f>'תקציב החברה לפיתוח 2019'!Y99</f>
        <v>291156</v>
      </c>
      <c r="Z77" s="255">
        <f>'תקציב החברה לפיתוח 2019'!Z99</f>
        <v>0</v>
      </c>
      <c r="AA77" s="255">
        <f>'תקציב החברה לפיתוח 2019'!AA99</f>
        <v>0</v>
      </c>
      <c r="AB77" s="254">
        <v>810000</v>
      </c>
      <c r="AC77" s="420"/>
      <c r="AD77" s="266"/>
      <c r="AE77" s="425"/>
      <c r="AJ77" s="416"/>
      <c r="AK77" s="416"/>
      <c r="AL77" s="416"/>
    </row>
    <row r="78" spans="1:43" s="258" customFormat="1" ht="28">
      <c r="A78" s="254">
        <f t="shared" si="8"/>
        <v>67</v>
      </c>
      <c r="B78" s="254">
        <v>1907</v>
      </c>
      <c r="C78" s="254" t="s">
        <v>203</v>
      </c>
      <c r="D78" s="255">
        <f>'תקציב החברה לפיתוח 2019'!D100</f>
        <v>10000000</v>
      </c>
      <c r="E78" s="255">
        <f>'תקציב החברה לפיתוח 2019'!E100</f>
        <v>10000000</v>
      </c>
      <c r="F78" s="255">
        <f>'תקציב החברה לפיתוח 2019'!F100</f>
        <v>0</v>
      </c>
      <c r="G78" s="255">
        <f>'תקציב החברה לפיתוח 2019'!G100</f>
        <v>7958844</v>
      </c>
      <c r="H78" s="255">
        <f>'תקציב החברה לפיתוח 2019'!H100</f>
        <v>5917824</v>
      </c>
      <c r="I78" s="255">
        <f>'תקציב החברה לפיתוח 2019'!I100</f>
        <v>0</v>
      </c>
      <c r="J78" s="255">
        <f>'תקציב החברה לפיתוח 2019'!J100</f>
        <v>1253997</v>
      </c>
      <c r="K78" s="255">
        <f>'תקציב החברה לפיתוח 2019'!K100</f>
        <v>1253997</v>
      </c>
      <c r="L78" s="255">
        <f>'תקציב החברה לפיתוח 2019'!L100</f>
        <v>7171821</v>
      </c>
      <c r="M78" s="255">
        <f>'תקציב החברה לפיתוח 2019'!M100</f>
        <v>2537023</v>
      </c>
      <c r="N78" s="255">
        <f>'תקציב החברה לפיתוח 2019'!N100</f>
        <v>291156</v>
      </c>
      <c r="O78" s="255">
        <f>'תקציב החברה לפיתוח 2019'!O100</f>
        <v>0</v>
      </c>
      <c r="P78" s="255">
        <f>'תקציב החברה לפיתוח 2019'!P100</f>
        <v>787023</v>
      </c>
      <c r="Q78" s="255">
        <f>'תקציב החברה לפיתוח 2019'!Q100</f>
        <v>1750000</v>
      </c>
      <c r="R78" s="255">
        <f>'תקציב החברה לפיתוח 2019'!R100</f>
        <v>0</v>
      </c>
      <c r="S78" s="255">
        <f>'תקציב החברה לפיתוח 2019'!S100</f>
        <v>1750000</v>
      </c>
      <c r="T78" s="255">
        <f>'תקציב החברה לפיתוח 2019'!T100</f>
        <v>0</v>
      </c>
      <c r="U78" s="255">
        <f>'תקציב החברה לפיתוח 2019'!U100</f>
        <v>291156</v>
      </c>
      <c r="V78" s="255">
        <f>'תקציב החברה לפיתוח 2019'!V100</f>
        <v>0</v>
      </c>
      <c r="W78" s="255">
        <f>'תקציב החברה לפיתוח 2019'!W100</f>
        <v>0</v>
      </c>
      <c r="X78" s="255">
        <f>'תקציב החברה לפיתוח 2019'!X100</f>
        <v>0</v>
      </c>
      <c r="Y78" s="255">
        <f>'תקציב החברה לפיתוח 2019'!Y100</f>
        <v>291156</v>
      </c>
      <c r="Z78" s="255">
        <f>'תקציב החברה לפיתוח 2019'!Z100</f>
        <v>0</v>
      </c>
      <c r="AA78" s="255">
        <f>'תקציב החברה לפיתוח 2019'!AA100</f>
        <v>0</v>
      </c>
      <c r="AB78" s="254">
        <v>810000</v>
      </c>
      <c r="AC78" s="420"/>
      <c r="AD78" s="266"/>
      <c r="AE78" s="425"/>
      <c r="AJ78" s="416"/>
      <c r="AK78" s="416"/>
      <c r="AL78" s="416"/>
    </row>
    <row r="79" spans="1:43" s="258" customFormat="1" ht="28">
      <c r="A79" s="254">
        <f t="shared" si="8"/>
        <v>68</v>
      </c>
      <c r="B79" s="254">
        <v>1908</v>
      </c>
      <c r="C79" s="254" t="s">
        <v>249</v>
      </c>
      <c r="D79" s="255">
        <f>'תקציב החברה לפיתוח 2019'!D101</f>
        <v>16900000</v>
      </c>
      <c r="E79" s="255">
        <f>'תקציב החברה לפיתוח 2019'!E101</f>
        <v>16900000</v>
      </c>
      <c r="F79" s="255">
        <f>'תקציב החברה לפיתוח 2019'!F101</f>
        <v>0</v>
      </c>
      <c r="G79" s="255">
        <f>'תקציב החברה לפיתוח 2019'!G101</f>
        <v>10943329</v>
      </c>
      <c r="H79" s="255">
        <f>'תקציב החברה לפיתוח 2019'!H101</f>
        <v>250632</v>
      </c>
      <c r="I79" s="255">
        <f>'תקציב החברה לפיתוח 2019'!I101</f>
        <v>0</v>
      </c>
      <c r="J79" s="255">
        <f>'תקציב החברה לפיתוח 2019'!J101</f>
        <v>48831.9</v>
      </c>
      <c r="K79" s="255">
        <f>'תקציב החברה לפיתוח 2019'!K101</f>
        <v>48831.9</v>
      </c>
      <c r="L79" s="255">
        <f>'תקציב החברה לפיתוח 2019'!L101</f>
        <v>299463.90000000002</v>
      </c>
      <c r="M79" s="255">
        <f>'תקציב החברה לפיתוח 2019'!M101</f>
        <v>10643865.1</v>
      </c>
      <c r="N79" s="255">
        <f>'תקציב החברה לפיתוח 2019'!N101</f>
        <v>0</v>
      </c>
      <c r="O79" s="255">
        <f>'תקציב החברה לפיתוח 2019'!O101</f>
        <v>5956671</v>
      </c>
      <c r="P79" s="255">
        <f>'תקציב החברה לפיתוח 2019'!P101</f>
        <v>10643865.1</v>
      </c>
      <c r="Q79" s="255">
        <f>'תקציב החברה לפיתוח 2019'!Q101</f>
        <v>0</v>
      </c>
      <c r="R79" s="255">
        <f>'תקציב החברה לפיתוח 2019'!R101</f>
        <v>0</v>
      </c>
      <c r="S79" s="255">
        <f>'תקציב החברה לפיתוח 2019'!S101</f>
        <v>0</v>
      </c>
      <c r="T79" s="255">
        <f>'תקציב החברה לפיתוח 2019'!T101</f>
        <v>0</v>
      </c>
      <c r="U79" s="255">
        <f>'תקציב החברה לפיתוח 2019'!U101</f>
        <v>0</v>
      </c>
      <c r="V79" s="255">
        <f>'תקציב החברה לפיתוח 2019'!V101</f>
        <v>0</v>
      </c>
      <c r="W79" s="255">
        <f>'תקציב החברה לפיתוח 2019'!W101</f>
        <v>0</v>
      </c>
      <c r="X79" s="255">
        <f>'תקציב החברה לפיתוח 2019'!X101</f>
        <v>0</v>
      </c>
      <c r="Y79" s="255">
        <f>'תקציב החברה לפיתוח 2019'!Y101</f>
        <v>0</v>
      </c>
      <c r="Z79" s="255">
        <f>'תקציב החברה לפיתוח 2019'!Z101</f>
        <v>0</v>
      </c>
      <c r="AA79" s="255">
        <f>'תקציב החברה לפיתוח 2019'!AA101</f>
        <v>0</v>
      </c>
      <c r="AB79" s="254">
        <v>810000</v>
      </c>
      <c r="AC79" s="420"/>
      <c r="AD79" s="266"/>
      <c r="AE79" s="425"/>
      <c r="AJ79" s="416"/>
      <c r="AK79" s="416"/>
      <c r="AL79" s="416"/>
    </row>
    <row r="80" spans="1:43" s="258" customFormat="1" ht="42">
      <c r="A80" s="254">
        <f t="shared" si="8"/>
        <v>69</v>
      </c>
      <c r="B80" s="427">
        <v>1909</v>
      </c>
      <c r="C80" s="434" t="s">
        <v>730</v>
      </c>
      <c r="D80" s="255">
        <f>'תקציב החברה לפיתוח 2019'!D102</f>
        <v>147000000</v>
      </c>
      <c r="E80" s="255">
        <f>'תקציב החברה לפיתוח 2019'!E102</f>
        <v>12500000</v>
      </c>
      <c r="F80" s="255">
        <f>'תקציב החברה לפיתוח 2019'!F102</f>
        <v>134500000</v>
      </c>
      <c r="G80" s="255">
        <f>'תקציב החברה לפיתוח 2019'!G102</f>
        <v>1650000</v>
      </c>
      <c r="H80" s="255">
        <f>'תקציב החברה לפיתוח 2019'!H102</f>
        <v>222505</v>
      </c>
      <c r="I80" s="255">
        <f>'תקציב החברה לפיתוח 2019'!I102</f>
        <v>0</v>
      </c>
      <c r="J80" s="255">
        <f>'תקציב החברה לפיתוח 2019'!J102</f>
        <v>53298.879999999997</v>
      </c>
      <c r="K80" s="255">
        <f>'תקציב החברה לפיתוח 2019'!K102</f>
        <v>53298.879999999997</v>
      </c>
      <c r="L80" s="255">
        <f>'תקציב החברה לפיתוח 2019'!L102</f>
        <v>275803.88</v>
      </c>
      <c r="M80" s="255">
        <f>'תקציב החברה לפיתוח 2019'!M102</f>
        <v>1374196.12</v>
      </c>
      <c r="N80" s="255">
        <f>'תקציב החברה לפיתוח 2019'!N102</f>
        <v>0</v>
      </c>
      <c r="O80" s="255">
        <f>'תקציב החברה לפיתוח 2019'!O102</f>
        <v>145350000</v>
      </c>
      <c r="P80" s="255">
        <f>'תקציב החברה לפיתוח 2019'!P102</f>
        <v>1374196.12</v>
      </c>
      <c r="Q80" s="255">
        <f>'תקציב החברה לפיתוח 2019'!Q102</f>
        <v>0</v>
      </c>
      <c r="R80" s="255">
        <f>'תקציב החברה לפיתוח 2019'!R102</f>
        <v>0</v>
      </c>
      <c r="S80" s="255">
        <f>'תקציב החברה לפיתוח 2019'!S102</f>
        <v>0</v>
      </c>
      <c r="T80" s="255">
        <f>'תקציב החברה לפיתוח 2019'!T102</f>
        <v>0</v>
      </c>
      <c r="U80" s="255">
        <f>'תקציב החברה לפיתוח 2019'!U102</f>
        <v>0</v>
      </c>
      <c r="V80" s="255">
        <f>'תקציב החברה לפיתוח 2019'!V102</f>
        <v>0</v>
      </c>
      <c r="W80" s="255">
        <f>'תקציב החברה לפיתוח 2019'!W102</f>
        <v>0</v>
      </c>
      <c r="X80" s="255">
        <f>'תקציב החברה לפיתוח 2019'!X102</f>
        <v>0</v>
      </c>
      <c r="Y80" s="255">
        <f>'תקציב החברה לפיתוח 2019'!Y102</f>
        <v>0</v>
      </c>
      <c r="Z80" s="255">
        <f>'תקציב החברה לפיתוח 2019'!Z102</f>
        <v>0</v>
      </c>
      <c r="AA80" s="255">
        <f>'תקציב החברה לפיתוח 2019'!AA102</f>
        <v>0</v>
      </c>
      <c r="AB80" s="254">
        <v>810000</v>
      </c>
      <c r="AC80" s="420"/>
      <c r="AD80" s="266"/>
      <c r="AE80" s="425"/>
      <c r="AG80" s="266"/>
      <c r="AH80" s="266"/>
      <c r="AI80" s="266"/>
      <c r="AJ80" s="416"/>
      <c r="AK80" s="416"/>
      <c r="AL80" s="416"/>
      <c r="AM80" s="247"/>
      <c r="AN80" s="247"/>
      <c r="AO80" s="247"/>
      <c r="AP80" s="247"/>
      <c r="AQ80" s="247"/>
    </row>
    <row r="81" spans="1:43" s="258" customFormat="1" ht="28">
      <c r="A81" s="254">
        <f t="shared" si="8"/>
        <v>70</v>
      </c>
      <c r="B81" s="427">
        <v>1911</v>
      </c>
      <c r="C81" s="254" t="s">
        <v>732</v>
      </c>
      <c r="D81" s="255">
        <f>'תקציב החברה לפיתוח 2019'!D104</f>
        <v>27500000</v>
      </c>
      <c r="E81" s="255">
        <f>'תקציב החברה לפיתוח 2019'!E104</f>
        <v>27500000</v>
      </c>
      <c r="F81" s="255">
        <f>'תקציב החברה לפיתוח 2019'!F104</f>
        <v>0</v>
      </c>
      <c r="G81" s="255">
        <f>'תקציב החברה לפיתוח 2019'!G104</f>
        <v>9182067</v>
      </c>
      <c r="H81" s="255">
        <f>'תקציב החברה לפיתוח 2019'!H104</f>
        <v>207473</v>
      </c>
      <c r="I81" s="255">
        <f>'תקציב החברה לפיתוח 2019'!I104</f>
        <v>0</v>
      </c>
      <c r="J81" s="255">
        <f>'תקציב החברה לפיתוח 2019'!J104</f>
        <v>969131.9</v>
      </c>
      <c r="K81" s="255">
        <f>'תקציב החברה לפיתוח 2019'!K104</f>
        <v>969131.9</v>
      </c>
      <c r="L81" s="255">
        <f>'תקציב החברה לפיתוח 2019'!L104</f>
        <v>1176604.8999999999</v>
      </c>
      <c r="M81" s="255">
        <f>'תקציב החברה לפיתוח 2019'!M104</f>
        <v>8005462.0999999996</v>
      </c>
      <c r="N81" s="255">
        <f>'תקציב החברה לפיתוח 2019'!N104</f>
        <v>0</v>
      </c>
      <c r="O81" s="255">
        <f>'תקציב החברה לפיתוח 2019'!O104</f>
        <v>18317933</v>
      </c>
      <c r="P81" s="255">
        <f>'תקציב החברה לפיתוח 2019'!P104</f>
        <v>8005462.0999999996</v>
      </c>
      <c r="Q81" s="255">
        <f>'תקציב החברה לפיתוח 2019'!Q104</f>
        <v>0</v>
      </c>
      <c r="R81" s="255">
        <f>'תקציב החברה לפיתוח 2019'!R104</f>
        <v>0</v>
      </c>
      <c r="S81" s="255">
        <f>'תקציב החברה לפיתוח 2019'!S104</f>
        <v>0</v>
      </c>
      <c r="T81" s="255">
        <f>'תקציב החברה לפיתוח 2019'!T104</f>
        <v>0</v>
      </c>
      <c r="U81" s="255">
        <f>'תקציב החברה לפיתוח 2019'!U104</f>
        <v>0</v>
      </c>
      <c r="V81" s="255">
        <f>'תקציב החברה לפיתוח 2019'!V104</f>
        <v>0</v>
      </c>
      <c r="W81" s="255">
        <f>'תקציב החברה לפיתוח 2019'!W104</f>
        <v>0</v>
      </c>
      <c r="X81" s="255">
        <f>'תקציב החברה לפיתוח 2019'!X104</f>
        <v>0</v>
      </c>
      <c r="Y81" s="255">
        <f>'תקציב החברה לפיתוח 2019'!Y104</f>
        <v>0</v>
      </c>
      <c r="Z81" s="255">
        <f>'תקציב החברה לפיתוח 2019'!Z104</f>
        <v>0</v>
      </c>
      <c r="AA81" s="255">
        <f>'תקציב החברה לפיתוח 2019'!AA104</f>
        <v>0</v>
      </c>
      <c r="AB81" s="254">
        <v>810000</v>
      </c>
      <c r="AC81" s="420"/>
      <c r="AD81" s="266"/>
      <c r="AE81" s="425"/>
      <c r="AG81" s="266"/>
      <c r="AH81" s="266"/>
      <c r="AI81" s="266"/>
      <c r="AJ81" s="416"/>
      <c r="AK81" s="416"/>
      <c r="AL81" s="416"/>
      <c r="AM81" s="247"/>
      <c r="AN81" s="247"/>
      <c r="AO81" s="261"/>
      <c r="AP81" s="247"/>
      <c r="AQ81" s="247"/>
    </row>
    <row r="82" spans="1:43" s="258" customFormat="1" ht="42">
      <c r="A82" s="254">
        <f t="shared" si="8"/>
        <v>71</v>
      </c>
      <c r="B82" s="427">
        <v>1912</v>
      </c>
      <c r="C82" s="254" t="s">
        <v>733</v>
      </c>
      <c r="D82" s="255">
        <f>'תקציב החברה לפיתוח 2019'!D105</f>
        <v>310000000</v>
      </c>
      <c r="E82" s="255">
        <f>'תקציב החברה לפיתוח 2019'!E105</f>
        <v>100000000</v>
      </c>
      <c r="F82" s="255">
        <f>'תקציב החברה לפיתוח 2019'!F105</f>
        <v>210000000</v>
      </c>
      <c r="G82" s="255">
        <f>'תקציב החברה לפיתוח 2019'!G105</f>
        <v>2000000</v>
      </c>
      <c r="H82" s="255">
        <f>'תקציב החברה לפיתוח 2019'!H105</f>
        <v>552753</v>
      </c>
      <c r="I82" s="255">
        <f>'תקציב החברה לפיתוח 2019'!I105</f>
        <v>0</v>
      </c>
      <c r="J82" s="255">
        <f>'תקציב החברה לפיתוח 2019'!J105</f>
        <v>442405.78</v>
      </c>
      <c r="K82" s="255">
        <f>'תקציב החברה לפיתוח 2019'!K105</f>
        <v>442405.78</v>
      </c>
      <c r="L82" s="255">
        <f>'תקציב החברה לפיתוח 2019'!L105</f>
        <v>995158.78</v>
      </c>
      <c r="M82" s="255">
        <f>'תקציב החברה לפיתוח 2019'!M105</f>
        <v>4004841.2199999997</v>
      </c>
      <c r="N82" s="255">
        <f>'תקציב החברה לפיתוח 2019'!N105</f>
        <v>0</v>
      </c>
      <c r="O82" s="255">
        <f>'תקציב החברה לפיתוח 2019'!O105</f>
        <v>305000000</v>
      </c>
      <c r="P82" s="255">
        <f>'תקציב החברה לפיתוח 2019'!P105</f>
        <v>1004841.22</v>
      </c>
      <c r="Q82" s="255">
        <f>'תקציב החברה לפיתוח 2019'!Q105</f>
        <v>3000000</v>
      </c>
      <c r="R82" s="255">
        <f>'תקציב החברה לפיתוח 2019'!R105</f>
        <v>0</v>
      </c>
      <c r="S82" s="255">
        <f>'תקציב החברה לפיתוח 2019'!S105</f>
        <v>3000000</v>
      </c>
      <c r="T82" s="255">
        <f>'תקציב החברה לפיתוח 2019'!T105</f>
        <v>0</v>
      </c>
      <c r="U82" s="255">
        <f>'תקציב החברה לפיתוח 2019'!U105</f>
        <v>0</v>
      </c>
      <c r="V82" s="255">
        <f>'תקציב החברה לפיתוח 2019'!V105</f>
        <v>0</v>
      </c>
      <c r="W82" s="255">
        <f>'תקציב החברה לפיתוח 2019'!W105</f>
        <v>0</v>
      </c>
      <c r="X82" s="255">
        <f>'תקציב החברה לפיתוח 2019'!X105</f>
        <v>0</v>
      </c>
      <c r="Y82" s="255">
        <f>'תקציב החברה לפיתוח 2019'!Y105</f>
        <v>0</v>
      </c>
      <c r="Z82" s="255">
        <f>'תקציב החברה לפיתוח 2019'!Z105</f>
        <v>0</v>
      </c>
      <c r="AA82" s="255">
        <f>'תקציב החברה לפיתוח 2019'!AA105</f>
        <v>0</v>
      </c>
      <c r="AB82" s="254">
        <v>810000</v>
      </c>
      <c r="AC82" s="420"/>
      <c r="AD82" s="266"/>
      <c r="AE82" s="425"/>
      <c r="AG82" s="266"/>
      <c r="AH82" s="266"/>
      <c r="AI82" s="266"/>
      <c r="AJ82" s="416"/>
      <c r="AK82" s="416"/>
      <c r="AL82" s="416"/>
      <c r="AM82" s="247"/>
      <c r="AN82" s="247"/>
      <c r="AO82" s="261"/>
      <c r="AP82" s="247"/>
      <c r="AQ82" s="247"/>
    </row>
    <row r="83" spans="1:43">
      <c r="A83" s="254">
        <f t="shared" si="8"/>
        <v>72</v>
      </c>
      <c r="B83" s="427">
        <v>1914</v>
      </c>
      <c r="C83" s="254" t="s">
        <v>248</v>
      </c>
      <c r="D83" s="255">
        <f>'תקציב החברה לפיתוח 2019'!D107</f>
        <v>7700000</v>
      </c>
      <c r="E83" s="255">
        <f>'תקציב החברה לפיתוח 2019'!E107</f>
        <v>7700000</v>
      </c>
      <c r="F83" s="255">
        <f>'תקציב החברה לפיתוח 2019'!F107</f>
        <v>0</v>
      </c>
      <c r="G83" s="255">
        <f>'תקציב החברה לפיתוח 2019'!G107</f>
        <v>1300000</v>
      </c>
      <c r="H83" s="255">
        <f>'תקציב החברה לפיתוח 2019'!H107</f>
        <v>146399</v>
      </c>
      <c r="I83" s="255">
        <f>'תקציב החברה לפיתוח 2019'!I107</f>
        <v>0</v>
      </c>
      <c r="J83" s="255">
        <f>'תקציב החברה לפיתוח 2019'!J107</f>
        <v>53600.37</v>
      </c>
      <c r="K83" s="255">
        <f>'תקציב החברה לפיתוח 2019'!K107</f>
        <v>53600.37</v>
      </c>
      <c r="L83" s="255">
        <f>'תקציב החברה לפיתוח 2019'!L107</f>
        <v>199999.37</v>
      </c>
      <c r="M83" s="255">
        <f>'תקציב החברה לפיתוח 2019'!M107</f>
        <v>1100000.6299999999</v>
      </c>
      <c r="N83" s="255">
        <f>'תקציב החברה לפיתוח 2019'!N107</f>
        <v>0</v>
      </c>
      <c r="O83" s="255">
        <f>'תקציב החברה לפיתוח 2019'!O107</f>
        <v>6400000</v>
      </c>
      <c r="P83" s="255">
        <f>'תקציב החברה לפיתוח 2019'!P107</f>
        <v>1100000.6299999999</v>
      </c>
      <c r="Q83" s="255">
        <f>'תקציב החברה לפיתוח 2019'!Q107</f>
        <v>0</v>
      </c>
      <c r="R83" s="255">
        <f>'תקציב החברה לפיתוח 2019'!R107</f>
        <v>0</v>
      </c>
      <c r="S83" s="255">
        <f>'תקציב החברה לפיתוח 2019'!S107</f>
        <v>0</v>
      </c>
      <c r="T83" s="255">
        <f>'תקציב החברה לפיתוח 2019'!T107</f>
        <v>0</v>
      </c>
      <c r="U83" s="255">
        <f>'תקציב החברה לפיתוח 2019'!U107</f>
        <v>0</v>
      </c>
      <c r="V83" s="255">
        <f>'תקציב החברה לפיתוח 2019'!V107</f>
        <v>0</v>
      </c>
      <c r="W83" s="255">
        <f>'תקציב החברה לפיתוח 2019'!W107</f>
        <v>0</v>
      </c>
      <c r="X83" s="255">
        <f>'תקציב החברה לפיתוח 2019'!X107</f>
        <v>0</v>
      </c>
      <c r="Y83" s="255">
        <f>'תקציב החברה לפיתוח 2019'!Y107</f>
        <v>0</v>
      </c>
      <c r="Z83" s="255">
        <f>'תקציב החברה לפיתוח 2019'!Z107</f>
        <v>0</v>
      </c>
      <c r="AA83" s="255">
        <f>'תקציב החברה לפיתוח 2019'!AA107</f>
        <v>0</v>
      </c>
      <c r="AB83" s="254">
        <v>810000</v>
      </c>
      <c r="AE83" s="425"/>
      <c r="AF83" s="258"/>
      <c r="AG83" s="266"/>
      <c r="AH83" s="266"/>
      <c r="AI83" s="266"/>
    </row>
    <row r="84" spans="1:43" ht="56">
      <c r="A84" s="254">
        <f t="shared" si="8"/>
        <v>73</v>
      </c>
      <c r="B84" s="427">
        <v>1959</v>
      </c>
      <c r="C84" s="254" t="s">
        <v>735</v>
      </c>
      <c r="D84" s="255">
        <f>'תקציב החברה לפיתוח 2019'!D109</f>
        <v>0</v>
      </c>
      <c r="E84" s="255">
        <f>'תקציב החברה לפיתוח 2019'!E109</f>
        <v>35000000</v>
      </c>
      <c r="F84" s="255">
        <f>'תקציב החברה לפיתוח 2019'!F109</f>
        <v>-35000000</v>
      </c>
      <c r="G84" s="255">
        <f>'תקציב החברה לפיתוח 2019'!G109</f>
        <v>1500000</v>
      </c>
      <c r="H84" s="255">
        <f>'תקציב החברה לפיתוח 2019'!H109</f>
        <v>0</v>
      </c>
      <c r="I84" s="255">
        <f>'תקציב החברה לפיתוח 2019'!I109</f>
        <v>0</v>
      </c>
      <c r="J84" s="255">
        <f>'תקציב החברה לפיתוח 2019'!J109</f>
        <v>0</v>
      </c>
      <c r="K84" s="255">
        <f>'תקציב החברה לפיתוח 2019'!K109</f>
        <v>0</v>
      </c>
      <c r="L84" s="255">
        <f>'תקציב החברה לפיתוח 2019'!L109</f>
        <v>0</v>
      </c>
      <c r="M84" s="255">
        <f>'תקציב החברה לפיתוח 2019'!M109</f>
        <v>0</v>
      </c>
      <c r="N84" s="255">
        <f>'תקציב החברה לפיתוח 2019'!N109</f>
        <v>0</v>
      </c>
      <c r="O84" s="255">
        <f>'תקציב החברה לפיתוח 2019'!O109</f>
        <v>0</v>
      </c>
      <c r="P84" s="255">
        <f>'תקציב החברה לפיתוח 2019'!P109</f>
        <v>1500000</v>
      </c>
      <c r="Q84" s="255">
        <f>'תקציב החברה לפיתוח 2019'!Q109</f>
        <v>0</v>
      </c>
      <c r="R84" s="255">
        <f>'תקציב החברה לפיתוח 2019'!R109</f>
        <v>0</v>
      </c>
      <c r="S84" s="255">
        <f>'תקציב החברה לפיתוח 2019'!S109</f>
        <v>0</v>
      </c>
      <c r="T84" s="255">
        <f>'תקציב החברה לפיתוח 2019'!T109</f>
        <v>1500000</v>
      </c>
      <c r="U84" s="255">
        <f>'תקציב החברה לפיתוח 2019'!U109</f>
        <v>-1500000</v>
      </c>
      <c r="V84" s="255">
        <f>'תקציב החברה לפיתוח 2019'!V109</f>
        <v>0</v>
      </c>
      <c r="W84" s="255">
        <f>'תקציב החברה לפיתוח 2019'!W109</f>
        <v>0</v>
      </c>
      <c r="X84" s="255">
        <f>'תקציב החברה לפיתוח 2019'!X109</f>
        <v>0</v>
      </c>
      <c r="Y84" s="255">
        <f>'תקציב החברה לפיתוח 2019'!Y109</f>
        <v>-1500000</v>
      </c>
      <c r="Z84" s="255">
        <f>'תקציב החברה לפיתוח 2019'!Z109</f>
        <v>0</v>
      </c>
      <c r="AA84" s="255">
        <f>'תקציב החברה לפיתוח 2019'!AA109</f>
        <v>0</v>
      </c>
      <c r="AB84" s="254">
        <v>810000</v>
      </c>
      <c r="AE84" s="425"/>
      <c r="AF84" s="258"/>
      <c r="AG84" s="266"/>
      <c r="AH84" s="266"/>
      <c r="AI84" s="266"/>
    </row>
    <row r="85" spans="1:43" ht="28">
      <c r="A85" s="254">
        <f t="shared" si="8"/>
        <v>74</v>
      </c>
      <c r="B85" s="427">
        <v>1960</v>
      </c>
      <c r="C85" s="254" t="s">
        <v>736</v>
      </c>
      <c r="D85" s="255">
        <f>'תקציב החברה לפיתוח 2019'!D110</f>
        <v>22300000</v>
      </c>
      <c r="E85" s="255">
        <f>'תקציב החברה לפיתוח 2019'!E110</f>
        <v>7700000</v>
      </c>
      <c r="F85" s="255">
        <f>'תקציב החברה לפיתוח 2019'!F110</f>
        <v>14600000</v>
      </c>
      <c r="G85" s="255">
        <f>'תקציב החברה לפיתוח 2019'!G110</f>
        <v>750000</v>
      </c>
      <c r="H85" s="255">
        <f>'תקציב החברה לפיתוח 2019'!H110</f>
        <v>115104</v>
      </c>
      <c r="I85" s="255">
        <f>'תקציב החברה לפיתוח 2019'!I110</f>
        <v>0</v>
      </c>
      <c r="J85" s="255">
        <f>'תקציב החברה לפיתוח 2019'!J110</f>
        <v>84895.88</v>
      </c>
      <c r="K85" s="255">
        <f>'תקציב החברה לפיתוח 2019'!K110</f>
        <v>84895.88</v>
      </c>
      <c r="L85" s="255">
        <f>'תקציב החברה לפיתוח 2019'!L110</f>
        <v>199999.88</v>
      </c>
      <c r="M85" s="255">
        <f>'תקציב החברה לפיתוח 2019'!M110</f>
        <v>550000.12</v>
      </c>
      <c r="N85" s="255">
        <f>'תקציב החברה לפיתוח 2019'!N110</f>
        <v>3400000</v>
      </c>
      <c r="O85" s="255">
        <f>'תקציב החברה לפיתוח 2019'!O110</f>
        <v>18150000</v>
      </c>
      <c r="P85" s="255">
        <f>'תקציב החברה לפיתוח 2019'!P110</f>
        <v>550000.12</v>
      </c>
      <c r="Q85" s="255">
        <f>'תקציב החברה לפיתוח 2019'!Q110</f>
        <v>0</v>
      </c>
      <c r="R85" s="255">
        <f>'תקציב החברה לפיתוח 2019'!R110</f>
        <v>0</v>
      </c>
      <c r="S85" s="255">
        <f>'תקציב החברה לפיתוח 2019'!S110</f>
        <v>0</v>
      </c>
      <c r="T85" s="255">
        <f>'תקציב החברה לפיתוח 2019'!T110</f>
        <v>0</v>
      </c>
      <c r="U85" s="255">
        <f>'תקציב החברה לפיתוח 2019'!U110</f>
        <v>3400000</v>
      </c>
      <c r="V85" s="255">
        <f>'תקציב החברה לפיתוח 2019'!V110</f>
        <v>0</v>
      </c>
      <c r="W85" s="255">
        <f>'תקציב החברה לפיתוח 2019'!W110</f>
        <v>0</v>
      </c>
      <c r="X85" s="255">
        <f>'תקציב החברה לפיתוח 2019'!X110</f>
        <v>0</v>
      </c>
      <c r="Y85" s="255">
        <f>'תקציב החברה לפיתוח 2019'!Y110</f>
        <v>0</v>
      </c>
      <c r="Z85" s="255">
        <f>'תקציב החברה לפיתוח 2019'!Z110</f>
        <v>3400000</v>
      </c>
      <c r="AA85" s="255" t="str">
        <f>'תקציב החברה לפיתוח 2019'!AA110</f>
        <v>בניית החניון במימון  חברת אפריקה ישראל.</v>
      </c>
      <c r="AB85" s="254">
        <v>810000</v>
      </c>
      <c r="AE85" s="425"/>
      <c r="AF85" s="258"/>
      <c r="AG85" s="266"/>
      <c r="AH85" s="266"/>
      <c r="AI85" s="266"/>
      <c r="AO85" s="261"/>
    </row>
    <row r="86" spans="1:43" ht="28">
      <c r="A86" s="254">
        <f t="shared" si="8"/>
        <v>75</v>
      </c>
      <c r="B86" s="254">
        <v>1965</v>
      </c>
      <c r="C86" s="254" t="s">
        <v>737</v>
      </c>
      <c r="D86" s="255">
        <f>'תקציב החברה לפיתוח 2019'!D114</f>
        <v>35000000</v>
      </c>
      <c r="E86" s="255">
        <f>'תקציב החברה לפיתוח 2019'!E114</f>
        <v>35000000</v>
      </c>
      <c r="F86" s="255">
        <f>'תקציב החברה לפיתוח 2019'!F114</f>
        <v>0</v>
      </c>
      <c r="G86" s="255">
        <f>'תקציב החברה לפיתוח 2019'!G114</f>
        <v>100000</v>
      </c>
      <c r="H86" s="255">
        <f>'תקציב החברה לפיתוח 2019'!H114</f>
        <v>0</v>
      </c>
      <c r="I86" s="255">
        <f>'תקציב החברה לפיתוח 2019'!I114</f>
        <v>0</v>
      </c>
      <c r="J86" s="255">
        <f>'תקציב החברה לפיתוח 2019'!J114</f>
        <v>0</v>
      </c>
      <c r="K86" s="255">
        <f>'תקציב החברה לפיתוח 2019'!K114</f>
        <v>0</v>
      </c>
      <c r="L86" s="255">
        <f>'תקציב החברה לפיתוח 2019'!L114</f>
        <v>0</v>
      </c>
      <c r="M86" s="255">
        <f>'תקציב החברה לפיתוח 2019'!M114</f>
        <v>100000</v>
      </c>
      <c r="N86" s="255">
        <f>'תקציב החברה לפיתוח 2019'!N114</f>
        <v>0</v>
      </c>
      <c r="O86" s="255">
        <f>'תקציב החברה לפיתוח 2019'!O114</f>
        <v>34900000</v>
      </c>
      <c r="P86" s="255">
        <f>'תקציב החברה לפיתוח 2019'!P114</f>
        <v>100000</v>
      </c>
      <c r="Q86" s="255">
        <f>'תקציב החברה לפיתוח 2019'!Q114</f>
        <v>0</v>
      </c>
      <c r="R86" s="255">
        <f>'תקציב החברה לפיתוח 2019'!R114</f>
        <v>0</v>
      </c>
      <c r="S86" s="255">
        <f>'תקציב החברה לפיתוח 2019'!S114</f>
        <v>0</v>
      </c>
      <c r="T86" s="255">
        <f>'תקציב החברה לפיתוח 2019'!T114</f>
        <v>0</v>
      </c>
      <c r="U86" s="255">
        <f>'תקציב החברה לפיתוח 2019'!U114</f>
        <v>0</v>
      </c>
      <c r="V86" s="255">
        <f>'תקציב החברה לפיתוח 2019'!V114</f>
        <v>0</v>
      </c>
      <c r="W86" s="255">
        <f>'תקציב החברה לפיתוח 2019'!W114</f>
        <v>0</v>
      </c>
      <c r="X86" s="255">
        <f>'תקציב החברה לפיתוח 2019'!X114</f>
        <v>0</v>
      </c>
      <c r="Y86" s="255">
        <f>'תקציב החברה לפיתוח 2019'!Y114</f>
        <v>0</v>
      </c>
      <c r="Z86" s="255">
        <f>'תקציב החברה לפיתוח 2019'!Z114</f>
        <v>0</v>
      </c>
      <c r="AA86" s="255">
        <f>'תקציב החברה לפיתוח 2019'!AA114</f>
        <v>0</v>
      </c>
      <c r="AB86" s="254">
        <v>810000</v>
      </c>
      <c r="AE86" s="425"/>
      <c r="AF86" s="258"/>
      <c r="AG86" s="266"/>
      <c r="AH86" s="266"/>
      <c r="AI86" s="266"/>
      <c r="AO86" s="248"/>
    </row>
    <row r="87" spans="1:43" s="642" customFormat="1">
      <c r="A87" s="426"/>
      <c r="B87" s="426"/>
      <c r="C87" s="426" t="s">
        <v>1214</v>
      </c>
      <c r="D87" s="659">
        <f>SUM(D63:D86)</f>
        <v>795320000</v>
      </c>
      <c r="E87" s="659">
        <f t="shared" ref="E87:Z87" si="9">SUM(E63:E86)</f>
        <v>426100000</v>
      </c>
      <c r="F87" s="659">
        <f t="shared" si="9"/>
        <v>369220000</v>
      </c>
      <c r="G87" s="659">
        <f t="shared" si="9"/>
        <v>115504414</v>
      </c>
      <c r="H87" s="659">
        <f t="shared" si="9"/>
        <v>69949046</v>
      </c>
      <c r="I87" s="659">
        <f t="shared" si="9"/>
        <v>0</v>
      </c>
      <c r="J87" s="659">
        <f t="shared" si="9"/>
        <v>11550645.310000001</v>
      </c>
      <c r="K87" s="659">
        <f t="shared" si="9"/>
        <v>11550645.310000001</v>
      </c>
      <c r="L87" s="659">
        <f t="shared" si="9"/>
        <v>81499691.310000002</v>
      </c>
      <c r="M87" s="659">
        <f t="shared" si="9"/>
        <v>61854722.689999998</v>
      </c>
      <c r="N87" s="659">
        <f t="shared" si="9"/>
        <v>42250982</v>
      </c>
      <c r="O87" s="659">
        <f t="shared" si="9"/>
        <v>609714604</v>
      </c>
      <c r="P87" s="659">
        <f t="shared" si="9"/>
        <v>34004722.689999998</v>
      </c>
      <c r="Q87" s="659">
        <f t="shared" si="9"/>
        <v>29350000</v>
      </c>
      <c r="R87" s="659">
        <f t="shared" si="9"/>
        <v>0</v>
      </c>
      <c r="S87" s="659">
        <f t="shared" si="9"/>
        <v>29350000</v>
      </c>
      <c r="T87" s="659">
        <f t="shared" si="9"/>
        <v>1500000</v>
      </c>
      <c r="U87" s="659">
        <f t="shared" si="9"/>
        <v>40750982</v>
      </c>
      <c r="V87" s="659">
        <f t="shared" si="9"/>
        <v>37918670</v>
      </c>
      <c r="W87" s="659">
        <f t="shared" si="9"/>
        <v>0</v>
      </c>
      <c r="X87" s="659">
        <f t="shared" si="9"/>
        <v>0</v>
      </c>
      <c r="Y87" s="659">
        <f t="shared" si="9"/>
        <v>-917688</v>
      </c>
      <c r="Z87" s="659">
        <f t="shared" si="9"/>
        <v>3750000</v>
      </c>
      <c r="AA87" s="659"/>
      <c r="AB87" s="426"/>
      <c r="AC87" s="660"/>
      <c r="AD87" s="622"/>
      <c r="AE87" s="661"/>
      <c r="AF87" s="621"/>
      <c r="AG87" s="622"/>
      <c r="AH87" s="622"/>
      <c r="AI87" s="622"/>
      <c r="AJ87" s="624"/>
      <c r="AK87" s="624"/>
      <c r="AL87" s="624"/>
      <c r="AO87" s="665"/>
    </row>
    <row r="88" spans="1:43" s="258" customFormat="1" ht="28">
      <c r="A88" s="254">
        <f>A86+1</f>
        <v>76</v>
      </c>
      <c r="B88" s="42">
        <v>2099</v>
      </c>
      <c r="C88" s="254" t="s">
        <v>727</v>
      </c>
      <c r="D88" s="255">
        <f>'תקציב החברה לפיתוח 2019'!D89</f>
        <v>12000000</v>
      </c>
      <c r="E88" s="255">
        <f>'תקציב החברה לפיתוח 2019'!E89</f>
        <v>0</v>
      </c>
      <c r="F88" s="255">
        <f>'תקציב החברה לפיתוח 2019'!F89</f>
        <v>12000000</v>
      </c>
      <c r="G88" s="255">
        <f>'תקציב החברה לפיתוח 2019'!G89</f>
        <v>0</v>
      </c>
      <c r="H88" s="255">
        <f>'תקציב החברה לפיתוח 2019'!H89</f>
        <v>0</v>
      </c>
      <c r="I88" s="255">
        <f>'תקציב החברה לפיתוח 2019'!I89</f>
        <v>0</v>
      </c>
      <c r="J88" s="255">
        <f>'תקציב החברה לפיתוח 2019'!J89</f>
        <v>0</v>
      </c>
      <c r="K88" s="255">
        <f>'תקציב החברה לפיתוח 2019'!K89</f>
        <v>0</v>
      </c>
      <c r="L88" s="255">
        <f>'תקציב החברה לפיתוח 2019'!L89</f>
        <v>0</v>
      </c>
      <c r="M88" s="255">
        <f>'תקציב החברה לפיתוח 2019'!M89</f>
        <v>0</v>
      </c>
      <c r="N88" s="255">
        <f>'תקציב החברה לפיתוח 2019'!N89</f>
        <v>6000000</v>
      </c>
      <c r="O88" s="255">
        <f>'תקציב החברה לפיתוח 2019'!O89</f>
        <v>6000000</v>
      </c>
      <c r="P88" s="255">
        <f>'תקציב החברה לפיתוח 2019'!P89</f>
        <v>0</v>
      </c>
      <c r="Q88" s="255">
        <f>'תקציב החברה לפיתוח 2019'!Q89</f>
        <v>0</v>
      </c>
      <c r="R88" s="255">
        <f>'תקציב החברה לפיתוח 2019'!R89</f>
        <v>0</v>
      </c>
      <c r="S88" s="255">
        <f>'תקציב החברה לפיתוח 2019'!S89</f>
        <v>0</v>
      </c>
      <c r="T88" s="255">
        <f>'תקציב החברה לפיתוח 2019'!T89</f>
        <v>0</v>
      </c>
      <c r="U88" s="255">
        <f>'תקציב החברה לפיתוח 2019'!U89</f>
        <v>6000000</v>
      </c>
      <c r="V88" s="255">
        <f>'תקציב החברה לפיתוח 2019'!V89</f>
        <v>6000000</v>
      </c>
      <c r="W88" s="255">
        <f>'תקציב החברה לפיתוח 2019'!W89</f>
        <v>0</v>
      </c>
      <c r="X88" s="255">
        <f>'תקציב החברה לפיתוח 2019'!X89</f>
        <v>0</v>
      </c>
      <c r="Y88" s="255">
        <f>'תקציב החברה לפיתוח 2019'!Y89</f>
        <v>0</v>
      </c>
      <c r="Z88" s="255">
        <f>'תקציב החברה לפיתוח 2019'!Z89</f>
        <v>0</v>
      </c>
      <c r="AA88" s="434" t="s">
        <v>1259</v>
      </c>
      <c r="AB88" s="254">
        <v>822000</v>
      </c>
      <c r="AC88" s="420"/>
      <c r="AD88" s="266"/>
      <c r="AE88" s="420"/>
      <c r="AG88" s="266"/>
      <c r="AH88" s="266"/>
      <c r="AI88" s="266"/>
      <c r="AJ88" s="416"/>
      <c r="AK88" s="416"/>
      <c r="AL88" s="416"/>
      <c r="AM88" s="247"/>
      <c r="AN88" s="247"/>
      <c r="AO88" s="261"/>
      <c r="AP88" s="247"/>
      <c r="AQ88" s="247"/>
    </row>
    <row r="89" spans="1:43" ht="28">
      <c r="A89" s="254">
        <f>A88+1</f>
        <v>77</v>
      </c>
      <c r="B89" s="42">
        <v>2102</v>
      </c>
      <c r="C89" s="254" t="s">
        <v>728</v>
      </c>
      <c r="D89" s="255">
        <f>'תקציב החברה לפיתוח 2019'!D91</f>
        <v>1750000</v>
      </c>
      <c r="E89" s="255">
        <f>'תקציב החברה לפיתוח 2019'!E91</f>
        <v>0</v>
      </c>
      <c r="F89" s="255">
        <f>'תקציב החברה לפיתוח 2019'!F91</f>
        <v>1750000</v>
      </c>
      <c r="G89" s="255">
        <f>'תקציב החברה לפיתוח 2019'!G91</f>
        <v>0</v>
      </c>
      <c r="H89" s="255">
        <f>'תקציב החברה לפיתוח 2019'!H91</f>
        <v>0</v>
      </c>
      <c r="I89" s="255">
        <f>'תקציב החברה לפיתוח 2019'!I91</f>
        <v>0</v>
      </c>
      <c r="J89" s="255">
        <f>'תקציב החברה לפיתוח 2019'!J91</f>
        <v>0</v>
      </c>
      <c r="K89" s="255">
        <f>'תקציב החברה לפיתוח 2019'!K91</f>
        <v>0</v>
      </c>
      <c r="L89" s="255">
        <f>'תקציב החברה לפיתוח 2019'!L91</f>
        <v>0</v>
      </c>
      <c r="M89" s="255">
        <f>'תקציב החברה לפיתוח 2019'!M91</f>
        <v>0</v>
      </c>
      <c r="N89" s="255">
        <f>'תקציב החברה לפיתוח 2019'!N91</f>
        <v>1750000</v>
      </c>
      <c r="O89" s="255">
        <f>'תקציב החברה לפיתוח 2019'!O91</f>
        <v>0</v>
      </c>
      <c r="P89" s="255">
        <f>'תקציב החברה לפיתוח 2019'!P91</f>
        <v>0</v>
      </c>
      <c r="Q89" s="255">
        <f>'תקציב החברה לפיתוח 2019'!Q91</f>
        <v>0</v>
      </c>
      <c r="R89" s="255">
        <f>'תקציב החברה לפיתוח 2019'!R91</f>
        <v>0</v>
      </c>
      <c r="S89" s="255">
        <f>'תקציב החברה לפיתוח 2019'!S91</f>
        <v>0</v>
      </c>
      <c r="T89" s="255">
        <f>'תקציב החברה לפיתוח 2019'!T91</f>
        <v>0</v>
      </c>
      <c r="U89" s="255">
        <f>'תקציב החברה לפיתוח 2019'!U91</f>
        <v>1750000</v>
      </c>
      <c r="V89" s="255">
        <f>'תקציב החברה לפיתוח 2019'!V91</f>
        <v>1750000</v>
      </c>
      <c r="W89" s="255">
        <f>'תקציב החברה לפיתוח 2019'!W91</f>
        <v>0</v>
      </c>
      <c r="X89" s="255">
        <f>'תקציב החברה לפיתוח 2019'!X91</f>
        <v>0</v>
      </c>
      <c r="Y89" s="255">
        <f>'תקציב החברה לפיתוח 2019'!Y91</f>
        <v>0</v>
      </c>
      <c r="Z89" s="255">
        <f>'תקציב החברה לפיתוח 2019'!Z91</f>
        <v>0</v>
      </c>
      <c r="AA89" s="434" t="s">
        <v>1130</v>
      </c>
      <c r="AB89" s="254">
        <v>822000</v>
      </c>
      <c r="AF89" s="258"/>
      <c r="AG89" s="266"/>
      <c r="AH89" s="266"/>
      <c r="AI89" s="266"/>
      <c r="AO89" s="261"/>
    </row>
    <row r="90" spans="1:43">
      <c r="A90" s="254">
        <f>A89+1</f>
        <v>78</v>
      </c>
      <c r="B90" s="427">
        <v>1991</v>
      </c>
      <c r="C90" s="254" t="s">
        <v>710</v>
      </c>
      <c r="D90" s="255">
        <f>'תקציב החברה לפיתוח 2019'!D64</f>
        <v>2000000</v>
      </c>
      <c r="E90" s="255">
        <f>'תקציב החברה לפיתוח 2019'!E64</f>
        <v>2000000</v>
      </c>
      <c r="F90" s="255">
        <f>'תקציב החברה לפיתוח 2019'!F64</f>
        <v>0</v>
      </c>
      <c r="G90" s="255">
        <f>'תקציב החברה לפיתוח 2019'!G64</f>
        <v>2000000</v>
      </c>
      <c r="H90" s="255">
        <f>'תקציב החברה לפיתוח 2019'!H64</f>
        <v>65414</v>
      </c>
      <c r="I90" s="255">
        <f>'תקציב החברה לפיתוח 2019'!I64</f>
        <v>0</v>
      </c>
      <c r="J90" s="255">
        <f>'תקציב החברה לפיתוח 2019'!J64</f>
        <v>34387.89</v>
      </c>
      <c r="K90" s="255">
        <f>'תקציב החברה לפיתוח 2019'!K64</f>
        <v>34387.89</v>
      </c>
      <c r="L90" s="255">
        <f>'תקציב החברה לפיתוח 2019'!L64</f>
        <v>99801.89</v>
      </c>
      <c r="M90" s="255">
        <f>'תקציב החברה לפיתוח 2019'!M64</f>
        <v>198.11000000010245</v>
      </c>
      <c r="N90" s="255">
        <f>'תקציב החברה לפיתוח 2019'!N64</f>
        <v>0</v>
      </c>
      <c r="O90" s="255">
        <f>'תקציב החברה לפיתוח 2019'!O64</f>
        <v>1900000</v>
      </c>
      <c r="P90" s="255">
        <f>'תקציב החברה לפיתוח 2019'!P64</f>
        <v>1900198.11</v>
      </c>
      <c r="Q90" s="255">
        <f>'תקציב החברה לפיתוח 2019'!Q64</f>
        <v>0</v>
      </c>
      <c r="R90" s="255">
        <f>'תקציב החברה לפיתוח 2019'!R64</f>
        <v>0</v>
      </c>
      <c r="S90" s="255">
        <f>'תקציב החברה לפיתוח 2019'!S64</f>
        <v>0</v>
      </c>
      <c r="T90" s="255">
        <f>'תקציב החברה לפיתוח 2019'!T64</f>
        <v>1900000</v>
      </c>
      <c r="U90" s="255">
        <f>'תקציב החברה לפיתוח 2019'!U64</f>
        <v>-1900000</v>
      </c>
      <c r="V90" s="255">
        <f>'תקציב החברה לפיתוח 2019'!V64</f>
        <v>-1900000</v>
      </c>
      <c r="W90" s="255">
        <f>'תקציב החברה לפיתוח 2019'!W64</f>
        <v>0</v>
      </c>
      <c r="X90" s="255">
        <f>'תקציב החברה לפיתוח 2019'!X64</f>
        <v>0</v>
      </c>
      <c r="Y90" s="255">
        <f>'תקציב החברה לפיתוח 2019'!Y64</f>
        <v>0</v>
      </c>
      <c r="Z90" s="255">
        <f>'תקציב החברה לפיתוח 2019'!Z64</f>
        <v>0</v>
      </c>
      <c r="AA90" s="254"/>
      <c r="AB90" s="254">
        <v>823000</v>
      </c>
      <c r="AE90" s="425"/>
      <c r="AF90" s="258"/>
      <c r="AG90" s="266"/>
      <c r="AH90" s="266"/>
      <c r="AI90" s="266"/>
      <c r="AO90" s="261"/>
    </row>
    <row r="91" spans="1:43" ht="56">
      <c r="A91" s="254">
        <f>1+A90</f>
        <v>79</v>
      </c>
      <c r="B91" s="427">
        <v>1910</v>
      </c>
      <c r="C91" s="434" t="s">
        <v>731</v>
      </c>
      <c r="D91" s="255">
        <f>'תקציב החברה לפיתוח 2019'!D103</f>
        <v>0</v>
      </c>
      <c r="E91" s="255">
        <f>'תקציב החברה לפיתוח 2019'!E103</f>
        <v>650000</v>
      </c>
      <c r="F91" s="255">
        <f>'תקציב החברה לפיתוח 2019'!F103</f>
        <v>-650000</v>
      </c>
      <c r="G91" s="255">
        <f>'תקציב החברה לפיתוח 2019'!G103</f>
        <v>650000</v>
      </c>
      <c r="H91" s="255">
        <f>'תקציב החברה לפיתוח 2019'!H103</f>
        <v>0</v>
      </c>
      <c r="I91" s="255">
        <f>'תקציב החברה לפיתוח 2019'!I103</f>
        <v>0</v>
      </c>
      <c r="J91" s="255">
        <f>'תקציב החברה לפיתוח 2019'!J103</f>
        <v>0</v>
      </c>
      <c r="K91" s="255">
        <f>'תקציב החברה לפיתוח 2019'!K103</f>
        <v>0</v>
      </c>
      <c r="L91" s="255">
        <f>'תקציב החברה לפיתוח 2019'!L103</f>
        <v>0</v>
      </c>
      <c r="M91" s="255">
        <f>'תקציב החברה לפיתוח 2019'!M103</f>
        <v>0</v>
      </c>
      <c r="N91" s="255">
        <f>'תקציב החברה לפיתוח 2019'!N103</f>
        <v>0</v>
      </c>
      <c r="O91" s="255">
        <f>'תקציב החברה לפיתוח 2019'!O103</f>
        <v>0</v>
      </c>
      <c r="P91" s="255">
        <f>'תקציב החברה לפיתוח 2019'!P103</f>
        <v>650000</v>
      </c>
      <c r="Q91" s="255">
        <f>'תקציב החברה לפיתוח 2019'!Q103</f>
        <v>0</v>
      </c>
      <c r="R91" s="255">
        <f>'תקציב החברה לפיתוח 2019'!R103</f>
        <v>0</v>
      </c>
      <c r="S91" s="255">
        <f>'תקציב החברה לפיתוח 2019'!S103</f>
        <v>0</v>
      </c>
      <c r="T91" s="255">
        <f>'תקציב החברה לפיתוח 2019'!T103</f>
        <v>650000</v>
      </c>
      <c r="U91" s="255">
        <f>'תקציב החברה לפיתוח 2019'!U103</f>
        <v>-650000</v>
      </c>
      <c r="V91" s="255">
        <f>'תקציב החברה לפיתוח 2019'!V103</f>
        <v>0</v>
      </c>
      <c r="W91" s="255">
        <f>'תקציב החברה לפיתוח 2019'!W103</f>
        <v>0</v>
      </c>
      <c r="X91" s="255">
        <f>'תקציב החברה לפיתוח 2019'!X103</f>
        <v>0</v>
      </c>
      <c r="Y91" s="255">
        <f>'תקציב החברה לפיתוח 2019'!Y103</f>
        <v>-650000</v>
      </c>
      <c r="Z91" s="255">
        <f>'תקציב החברה לפיתוח 2019'!Z103</f>
        <v>0</v>
      </c>
      <c r="AA91" s="255">
        <f>'תקציב החברה לפיתוח 2019'!AA103</f>
        <v>0</v>
      </c>
      <c r="AB91" s="254">
        <v>823000</v>
      </c>
      <c r="AE91" s="425"/>
      <c r="AF91" s="258"/>
      <c r="AG91" s="266"/>
      <c r="AH91" s="266"/>
      <c r="AI91" s="266"/>
    </row>
    <row r="92" spans="1:43" ht="42">
      <c r="A92" s="254">
        <f>1+A91</f>
        <v>80</v>
      </c>
      <c r="B92" s="427">
        <v>1913</v>
      </c>
      <c r="C92" s="254" t="s">
        <v>734</v>
      </c>
      <c r="D92" s="255">
        <f>'תקציב החברה לפיתוח 2019'!D106</f>
        <v>0</v>
      </c>
      <c r="E92" s="255">
        <f>'תקציב החברה לפיתוח 2019'!E106</f>
        <v>400000</v>
      </c>
      <c r="F92" s="255">
        <f>'תקציב החברה לפיתוח 2019'!F106</f>
        <v>-400000</v>
      </c>
      <c r="G92" s="255">
        <f>'תקציב החברה לפיתוח 2019'!G106</f>
        <v>400000</v>
      </c>
      <c r="H92" s="255">
        <f>'תקציב החברה לפיתוח 2019'!H106</f>
        <v>0</v>
      </c>
      <c r="I92" s="255">
        <f>'תקציב החברה לפיתוח 2019'!I106</f>
        <v>0</v>
      </c>
      <c r="J92" s="255">
        <f>'תקציב החברה לפיתוח 2019'!J106</f>
        <v>0</v>
      </c>
      <c r="K92" s="255">
        <f>'תקציב החברה לפיתוח 2019'!K106</f>
        <v>0</v>
      </c>
      <c r="L92" s="255">
        <f>'תקציב החברה לפיתוח 2019'!L106</f>
        <v>0</v>
      </c>
      <c r="M92" s="255">
        <f>'תקציב החברה לפיתוח 2019'!M106</f>
        <v>0</v>
      </c>
      <c r="N92" s="255">
        <f>'תקציב החברה לפיתוח 2019'!N106</f>
        <v>0</v>
      </c>
      <c r="O92" s="255">
        <f>'תקציב החברה לפיתוח 2019'!O106</f>
        <v>0</v>
      </c>
      <c r="P92" s="255">
        <f>'תקציב החברה לפיתוח 2019'!P106</f>
        <v>400000</v>
      </c>
      <c r="Q92" s="255">
        <f>'תקציב החברה לפיתוח 2019'!Q106</f>
        <v>0</v>
      </c>
      <c r="R92" s="255">
        <f>'תקציב החברה לפיתוח 2019'!R106</f>
        <v>0</v>
      </c>
      <c r="S92" s="255">
        <f>'תקציב החברה לפיתוח 2019'!S106</f>
        <v>0</v>
      </c>
      <c r="T92" s="255">
        <f>'תקציב החברה לפיתוח 2019'!T106</f>
        <v>400000</v>
      </c>
      <c r="U92" s="255">
        <f>'תקציב החברה לפיתוח 2019'!U106</f>
        <v>-400000</v>
      </c>
      <c r="V92" s="255">
        <f>'תקציב החברה לפיתוח 2019'!V106</f>
        <v>0</v>
      </c>
      <c r="W92" s="255">
        <f>'תקציב החברה לפיתוח 2019'!W106</f>
        <v>0</v>
      </c>
      <c r="X92" s="255">
        <f>'תקציב החברה לפיתוח 2019'!X106</f>
        <v>0</v>
      </c>
      <c r="Y92" s="255">
        <f>'תקציב החברה לפיתוח 2019'!Y106</f>
        <v>-400000</v>
      </c>
      <c r="Z92" s="255">
        <f>'תקציב החברה לפיתוח 2019'!Z106</f>
        <v>0</v>
      </c>
      <c r="AA92" s="255">
        <f>'תקציב החברה לפיתוח 2019'!AA106</f>
        <v>0</v>
      </c>
      <c r="AB92" s="254">
        <v>823000</v>
      </c>
      <c r="AE92" s="425"/>
      <c r="AF92" s="258"/>
      <c r="AG92" s="266"/>
      <c r="AH92" s="266"/>
      <c r="AI92" s="266"/>
      <c r="AO92" s="248"/>
    </row>
    <row r="93" spans="1:43" ht="28">
      <c r="A93" s="254">
        <f t="shared" ref="A93:A107" si="10">A92+1</f>
        <v>81</v>
      </c>
      <c r="B93" s="254">
        <v>1834</v>
      </c>
      <c r="C93" s="254" t="s">
        <v>192</v>
      </c>
      <c r="D93" s="255">
        <f>'תקציב החברה לפיתוח 2019'!D43</f>
        <v>60000000</v>
      </c>
      <c r="E93" s="255">
        <f>'תקציב החברה לפיתוח 2019'!E43</f>
        <v>60000000</v>
      </c>
      <c r="F93" s="255">
        <f>'תקציב החברה לפיתוח 2019'!F43</f>
        <v>0</v>
      </c>
      <c r="G93" s="255">
        <f>'תקציב החברה לפיתוח 2019'!G43</f>
        <v>2100000</v>
      </c>
      <c r="H93" s="255">
        <f>'תקציב החברה לפיתוח 2019'!H43</f>
        <v>373623</v>
      </c>
      <c r="I93" s="255">
        <f>'תקציב החברה לפיתוח 2019'!I43</f>
        <v>0</v>
      </c>
      <c r="J93" s="255">
        <f>'תקציב החברה לפיתוח 2019'!J43</f>
        <v>1654455.23</v>
      </c>
      <c r="K93" s="255">
        <f>'תקציב החברה לפיתוח 2019'!K43</f>
        <v>1654455.23</v>
      </c>
      <c r="L93" s="255">
        <f>'תקציב החברה לפיתוח 2019'!L43</f>
        <v>2028078.23</v>
      </c>
      <c r="M93" s="255">
        <f>'תקציב החברה לפיתוח 2019'!M43</f>
        <v>3071921.77</v>
      </c>
      <c r="N93" s="255">
        <f>'תקציב החברה לפיתוח 2019'!N43</f>
        <v>28500000</v>
      </c>
      <c r="O93" s="255">
        <f>'תקציב החברה לפיתוח 2019'!O43</f>
        <v>26400000</v>
      </c>
      <c r="P93" s="255">
        <f>'תקציב החברה לפיתוח 2019'!P43</f>
        <v>71921.770000000019</v>
      </c>
      <c r="Q93" s="255">
        <f>'תקציב החברה לפיתוח 2019'!Q43</f>
        <v>3000000</v>
      </c>
      <c r="R93" s="255">
        <f>'תקציב החברה לפיתוח 2019'!R43</f>
        <v>0</v>
      </c>
      <c r="S93" s="255">
        <f>'תקציב החברה לפיתוח 2019'!S43</f>
        <v>3000000</v>
      </c>
      <c r="T93" s="255">
        <f>'תקציב החברה לפיתוח 2019'!T43</f>
        <v>0</v>
      </c>
      <c r="U93" s="255">
        <f>'תקציב החברה לפיתוח 2019'!U43</f>
        <v>28500000</v>
      </c>
      <c r="V93" s="255">
        <f>'תקציב החברה לפיתוח 2019'!V43</f>
        <v>28500000</v>
      </c>
      <c r="W93" s="255">
        <f>'תקציב החברה לפיתוח 2019'!W43</f>
        <v>0</v>
      </c>
      <c r="X93" s="255">
        <f>'תקציב החברה לפיתוח 2019'!X43</f>
        <v>0</v>
      </c>
      <c r="Y93" s="255">
        <f>'תקציב החברה לפיתוח 2019'!Y43</f>
        <v>0</v>
      </c>
      <c r="Z93" s="255">
        <f>'תקציב החברה לפיתוח 2019'!Z43</f>
        <v>0</v>
      </c>
      <c r="AA93" s="254" t="s">
        <v>1258</v>
      </c>
      <c r="AB93" s="254">
        <v>824000</v>
      </c>
      <c r="AE93" s="425"/>
      <c r="AF93" s="258"/>
      <c r="AG93" s="258"/>
      <c r="AH93" s="258"/>
      <c r="AI93" s="258"/>
      <c r="AM93" s="258"/>
      <c r="AN93" s="258"/>
      <c r="AO93" s="258"/>
      <c r="AP93" s="258"/>
      <c r="AQ93" s="258"/>
    </row>
    <row r="94" spans="1:43" ht="56">
      <c r="A94" s="254">
        <f t="shared" si="10"/>
        <v>82</v>
      </c>
      <c r="B94" s="254">
        <v>1835</v>
      </c>
      <c r="C94" s="254" t="s">
        <v>1319</v>
      </c>
      <c r="D94" s="255">
        <f>'תקציב החברה לפיתוח 2019'!D44</f>
        <v>58000000</v>
      </c>
      <c r="E94" s="255">
        <f>'תקציב החברה לפיתוח 2019'!E44</f>
        <v>58000000</v>
      </c>
      <c r="F94" s="255">
        <f>'תקציב החברה לפיתוח 2019'!F44</f>
        <v>0</v>
      </c>
      <c r="G94" s="255">
        <f>'תקציב החברה לפיתוח 2019'!G44</f>
        <v>3400000</v>
      </c>
      <c r="H94" s="255">
        <f>'תקציב החברה לפיתוח 2019'!H44</f>
        <v>383268</v>
      </c>
      <c r="I94" s="255">
        <f>'תקציב החברה לפיתוח 2019'!I44</f>
        <v>0</v>
      </c>
      <c r="J94" s="255">
        <f>'תקציב החברה לפיתוח 2019'!J44</f>
        <v>2926209.49</v>
      </c>
      <c r="K94" s="255">
        <f>'תקציב החברה לפיתוח 2019'!K44</f>
        <v>2926209.49</v>
      </c>
      <c r="L94" s="255">
        <f>'תקציב החברה לפיתוח 2019'!L44</f>
        <v>3309477.49</v>
      </c>
      <c r="M94" s="255">
        <f>'תקציב החברה לפיתוח 2019'!M44</f>
        <v>8590522.5099999998</v>
      </c>
      <c r="N94" s="255">
        <f>'תקציב החברה לפיתוח 2019'!N44</f>
        <v>0</v>
      </c>
      <c r="O94" s="255">
        <f>'תקציב החברה לפיתוח 2019'!O44</f>
        <v>46100000</v>
      </c>
      <c r="P94" s="255">
        <f>'תקציב החברה לפיתוח 2019'!P44</f>
        <v>90522.509999999776</v>
      </c>
      <c r="Q94" s="255">
        <f>'תקציב החברה לפיתוח 2019'!Q44</f>
        <v>8500000</v>
      </c>
      <c r="R94" s="255">
        <f>'תקציב החברה לפיתוח 2019'!R44</f>
        <v>0</v>
      </c>
      <c r="S94" s="255">
        <f>'תקציב החברה לפיתוח 2019'!S44</f>
        <v>8500000</v>
      </c>
      <c r="T94" s="255">
        <f>'תקציב החברה לפיתוח 2019'!T44</f>
        <v>0</v>
      </c>
      <c r="U94" s="255">
        <f>'תקציב החברה לפיתוח 2019'!U44</f>
        <v>0</v>
      </c>
      <c r="V94" s="255">
        <f>'תקציב החברה לפיתוח 2019'!V44</f>
        <v>0</v>
      </c>
      <c r="W94" s="255">
        <f>'תקציב החברה לפיתוח 2019'!W44</f>
        <v>0</v>
      </c>
      <c r="X94" s="255">
        <f>'תקציב החברה לפיתוח 2019'!X44</f>
        <v>0</v>
      </c>
      <c r="Y94" s="255">
        <f>'תקציב החברה לפיתוח 2019'!Y44</f>
        <v>0</v>
      </c>
      <c r="Z94" s="255">
        <f>'תקציב החברה לפיתוח 2019'!Z44</f>
        <v>0</v>
      </c>
      <c r="AA94" s="254" t="s">
        <v>1065</v>
      </c>
      <c r="AB94" s="254">
        <v>824000</v>
      </c>
      <c r="AE94" s="425"/>
      <c r="AF94" s="258"/>
      <c r="AG94" s="258"/>
      <c r="AH94" s="258"/>
      <c r="AI94" s="258"/>
      <c r="AM94" s="258"/>
      <c r="AN94" s="258"/>
      <c r="AO94" s="258"/>
      <c r="AP94" s="258"/>
      <c r="AQ94" s="258"/>
    </row>
    <row r="95" spans="1:43" ht="28">
      <c r="A95" s="254">
        <f t="shared" si="10"/>
        <v>83</v>
      </c>
      <c r="B95" s="254">
        <v>2017</v>
      </c>
      <c r="C95" s="254" t="s">
        <v>713</v>
      </c>
      <c r="D95" s="255">
        <f>'תקציב החברה לפיתוח 2019'!D69</f>
        <v>2000000</v>
      </c>
      <c r="E95" s="255">
        <f>'תקציב החברה לפיתוח 2019'!E69</f>
        <v>2000000</v>
      </c>
      <c r="F95" s="255">
        <f>'תקציב החברה לפיתוח 2019'!F69</f>
        <v>0</v>
      </c>
      <c r="G95" s="255">
        <f>'תקציב החברה לפיתוח 2019'!G69</f>
        <v>500000</v>
      </c>
      <c r="H95" s="255">
        <f>'תקציב החברה לפיתוח 2019'!H69</f>
        <v>42787</v>
      </c>
      <c r="I95" s="255">
        <f>'תקציב החברה לפיתוח 2019'!I69</f>
        <v>0</v>
      </c>
      <c r="J95" s="255">
        <f>'תקציב החברה לפיתוח 2019'!J69</f>
        <v>442950.3</v>
      </c>
      <c r="K95" s="255">
        <f>'תקציב החברה לפיתוח 2019'!K69</f>
        <v>442950.3</v>
      </c>
      <c r="L95" s="255">
        <f>'תקציב החברה לפיתוח 2019'!L69</f>
        <v>485737.3</v>
      </c>
      <c r="M95" s="255">
        <f>'תקציב החברה לפיתוח 2019'!M69</f>
        <v>514262.7</v>
      </c>
      <c r="N95" s="255">
        <f>'תקציב החברה לפיתוח 2019'!N69</f>
        <v>1000000</v>
      </c>
      <c r="O95" s="255">
        <f>'תקציב החברה לפיתוח 2019'!O69</f>
        <v>0</v>
      </c>
      <c r="P95" s="255">
        <f>'תקציב החברה לפיתוח 2019'!P69</f>
        <v>14262.700000000012</v>
      </c>
      <c r="Q95" s="255">
        <f>'תקציב החברה לפיתוח 2019'!Q69</f>
        <v>500000</v>
      </c>
      <c r="R95" s="255">
        <f>'תקציב החברה לפיתוח 2019'!R69</f>
        <v>0</v>
      </c>
      <c r="S95" s="255">
        <f>'תקציב החברה לפיתוח 2019'!S69</f>
        <v>500000</v>
      </c>
      <c r="T95" s="255">
        <f>'תקציב החברה לפיתוח 2019'!T69</f>
        <v>0</v>
      </c>
      <c r="U95" s="255">
        <f>'תקציב החברה לפיתוח 2019'!U69</f>
        <v>1000000</v>
      </c>
      <c r="V95" s="255">
        <f>'תקציב החברה לפיתוח 2019'!V69</f>
        <v>1000000</v>
      </c>
      <c r="W95" s="255">
        <f>'תקציב החברה לפיתוח 2019'!W69</f>
        <v>0</v>
      </c>
      <c r="X95" s="255">
        <f>'תקציב החברה לפיתוח 2019'!X69</f>
        <v>0</v>
      </c>
      <c r="Y95" s="255">
        <f>'תקציב החברה לפיתוח 2019'!Y69</f>
        <v>0</v>
      </c>
      <c r="Z95" s="255">
        <f>'תקציב החברה לפיתוח 2019'!Z69</f>
        <v>0</v>
      </c>
      <c r="AA95" s="254" t="s">
        <v>1125</v>
      </c>
      <c r="AB95" s="254">
        <v>824000</v>
      </c>
      <c r="AE95" s="425"/>
      <c r="AF95" s="258"/>
      <c r="AG95" s="266"/>
      <c r="AH95" s="266"/>
      <c r="AI95" s="266"/>
      <c r="AM95" s="266"/>
      <c r="AN95" s="266"/>
      <c r="AO95" s="266"/>
      <c r="AP95" s="266"/>
      <c r="AQ95" s="266"/>
    </row>
    <row r="96" spans="1:43" ht="70">
      <c r="A96" s="254">
        <f t="shared" si="10"/>
        <v>84</v>
      </c>
      <c r="B96" s="254">
        <v>1403</v>
      </c>
      <c r="C96" s="254" t="s">
        <v>704</v>
      </c>
      <c r="D96" s="255">
        <f>'תקציב החברה לפיתוח 2019'!D18</f>
        <v>31750000</v>
      </c>
      <c r="E96" s="255">
        <f>'תקציב החברה לפיתוח 2019'!E18</f>
        <v>31750000</v>
      </c>
      <c r="F96" s="255">
        <f>'תקציב החברה לפיתוח 2019'!F18</f>
        <v>0</v>
      </c>
      <c r="G96" s="255">
        <f>'תקציב החברה לפיתוח 2019'!G18</f>
        <v>27849800</v>
      </c>
      <c r="H96" s="255">
        <f>'תקציב החברה לפיתוח 2019'!H18</f>
        <v>19438206</v>
      </c>
      <c r="I96" s="255">
        <f>'תקציב החברה לפיתוח 2019'!I18</f>
        <v>0</v>
      </c>
      <c r="J96" s="255">
        <f>'תקציב החברה לפיתוח 2019'!J18</f>
        <v>6913157</v>
      </c>
      <c r="K96" s="255">
        <f>'תקציב החברה לפיתוח 2019'!K18</f>
        <v>6913157</v>
      </c>
      <c r="L96" s="255">
        <f>'תקציב החברה לפיתוח 2019'!L18</f>
        <v>26351363</v>
      </c>
      <c r="M96" s="255">
        <f>'תקציב החברה לפיתוח 2019'!M18</f>
        <v>4148437</v>
      </c>
      <c r="N96" s="255">
        <f>'תקציב החברה לפיתוח 2019'!N18</f>
        <v>1250200</v>
      </c>
      <c r="O96" s="255">
        <f>'תקציב החברה לפיתוח 2019'!O18</f>
        <v>0</v>
      </c>
      <c r="P96" s="255">
        <f>'תקציב החברה לפיתוח 2019'!P18</f>
        <v>1498437</v>
      </c>
      <c r="Q96" s="255">
        <f>'תקציב החברה לפיתוח 2019'!Q18</f>
        <v>650000</v>
      </c>
      <c r="R96" s="255">
        <f>'תקציב החברה לפיתוח 2019'!R18</f>
        <v>2000000</v>
      </c>
      <c r="S96" s="255">
        <f>'תקציב החברה לפיתוח 2019'!S18</f>
        <v>2650000</v>
      </c>
      <c r="T96" s="255">
        <f>'תקציב החברה לפיתוח 2019'!T18</f>
        <v>0</v>
      </c>
      <c r="U96" s="255">
        <f>'תקציב החברה לפיתוח 2019'!U18</f>
        <v>1250200</v>
      </c>
      <c r="V96" s="255">
        <f>'תקציב החברה לפיתוח 2019'!V18</f>
        <v>1250200</v>
      </c>
      <c r="W96" s="255">
        <f>'תקציב החברה לפיתוח 2019'!W18</f>
        <v>0</v>
      </c>
      <c r="X96" s="255">
        <f>'תקציב החברה לפיתוח 2019'!X18</f>
        <v>0</v>
      </c>
      <c r="Y96" s="255">
        <f>'תקציב החברה לפיתוח 2019'!Y18</f>
        <v>0</v>
      </c>
      <c r="Z96" s="255">
        <f>'תקציב החברה לפיתוח 2019'!Z18</f>
        <v>0</v>
      </c>
      <c r="AA96" s="254" t="s">
        <v>1057</v>
      </c>
      <c r="AB96" s="254">
        <v>826000</v>
      </c>
      <c r="AE96" s="425"/>
      <c r="AF96" s="258"/>
      <c r="AG96" s="258"/>
      <c r="AH96" s="258"/>
      <c r="AI96" s="258"/>
      <c r="AM96" s="258"/>
      <c r="AN96" s="258"/>
      <c r="AO96" s="258"/>
      <c r="AP96" s="258"/>
      <c r="AQ96" s="258"/>
    </row>
    <row r="97" spans="1:43" ht="28">
      <c r="A97" s="254">
        <f t="shared" si="10"/>
        <v>85</v>
      </c>
      <c r="B97" s="427">
        <v>2058</v>
      </c>
      <c r="C97" s="254" t="s">
        <v>719</v>
      </c>
      <c r="D97" s="255">
        <f>'תקציב החברה לפיתוח 2019'!D78</f>
        <v>2330000</v>
      </c>
      <c r="E97" s="255">
        <f>'תקציב החברה לפיתוח 2019'!E78</f>
        <v>2330000</v>
      </c>
      <c r="F97" s="255">
        <f>'תקציב החברה לפיתוח 2019'!F78</f>
        <v>0</v>
      </c>
      <c r="G97" s="255">
        <f>'תקציב החברה לפיתוח 2019'!G78</f>
        <v>630000</v>
      </c>
      <c r="H97" s="255">
        <f>'תקציב החברה לפיתוח 2019'!H78</f>
        <v>0</v>
      </c>
      <c r="I97" s="255">
        <f>'תקציב החברה לפיתוח 2019'!I78</f>
        <v>0</v>
      </c>
      <c r="J97" s="255">
        <f>'תקציב החברה לפיתוח 2019'!J78</f>
        <v>0</v>
      </c>
      <c r="K97" s="255">
        <f>'תקציב החברה לפיתוח 2019'!K78</f>
        <v>0</v>
      </c>
      <c r="L97" s="255">
        <f>'תקציב החברה לפיתוח 2019'!L78</f>
        <v>0</v>
      </c>
      <c r="M97" s="255">
        <f>'תקציב החברה לפיתוח 2019'!M78</f>
        <v>130000</v>
      </c>
      <c r="N97" s="255">
        <f>'תקציב החברה לפיתוח 2019'!N78</f>
        <v>0</v>
      </c>
      <c r="O97" s="255">
        <f>'תקציב החברה לפיתוח 2019'!O78</f>
        <v>2200000</v>
      </c>
      <c r="P97" s="255">
        <f>'תקציב החברה לפיתוח 2019'!P78</f>
        <v>630000</v>
      </c>
      <c r="Q97" s="255">
        <f>'תקציב החברה לפיתוח 2019'!Q78</f>
        <v>0</v>
      </c>
      <c r="R97" s="255">
        <f>'תקציב החברה לפיתוח 2019'!R78</f>
        <v>0</v>
      </c>
      <c r="S97" s="255">
        <f>'תקציב החברה לפיתוח 2019'!S78</f>
        <v>0</v>
      </c>
      <c r="T97" s="255">
        <f>'תקציב החברה לפיתוח 2019'!T78</f>
        <v>500000</v>
      </c>
      <c r="U97" s="255">
        <f>'תקציב החברה לפיתוח 2019'!U78</f>
        <v>-500000</v>
      </c>
      <c r="V97" s="255">
        <f>'תקציב החברה לפיתוח 2019'!V78</f>
        <v>-500000</v>
      </c>
      <c r="W97" s="255">
        <f>'תקציב החברה לפיתוח 2019'!W78</f>
        <v>0</v>
      </c>
      <c r="X97" s="255">
        <f>'תקציב החברה לפיתוח 2019'!X78</f>
        <v>0</v>
      </c>
      <c r="Y97" s="255">
        <f>'תקציב החברה לפיתוח 2019'!Y78</f>
        <v>0</v>
      </c>
      <c r="Z97" s="255">
        <f>'תקציב החברה לפיתוח 2019'!Z78</f>
        <v>0</v>
      </c>
      <c r="AA97" s="254"/>
      <c r="AB97" s="254">
        <v>826000</v>
      </c>
      <c r="AE97" s="425"/>
      <c r="AF97" s="258"/>
      <c r="AG97" s="266"/>
      <c r="AH97" s="266"/>
      <c r="AI97" s="266"/>
    </row>
    <row r="98" spans="1:43" ht="28">
      <c r="A98" s="254">
        <f t="shared" si="10"/>
        <v>86</v>
      </c>
      <c r="B98" s="427">
        <v>2059</v>
      </c>
      <c r="C98" s="254" t="s">
        <v>678</v>
      </c>
      <c r="D98" s="255">
        <f>'תקציב החברה לפיתוח 2019'!D79</f>
        <v>2610000</v>
      </c>
      <c r="E98" s="255">
        <f>'תקציב החברה לפיתוח 2019'!E79</f>
        <v>2610000</v>
      </c>
      <c r="F98" s="255">
        <f>'תקציב החברה לפיתוח 2019'!F79</f>
        <v>0</v>
      </c>
      <c r="G98" s="255">
        <f>'תקציב החברה לפיתוח 2019'!G79</f>
        <v>350000</v>
      </c>
      <c r="H98" s="255">
        <f>'תקציב החברה לפיתוח 2019'!H79</f>
        <v>0</v>
      </c>
      <c r="I98" s="255">
        <f>'תקציב החברה לפיתוח 2019'!I79</f>
        <v>0</v>
      </c>
      <c r="J98" s="255">
        <f>'תקציב החברה לפיתוח 2019'!J79</f>
        <v>24570</v>
      </c>
      <c r="K98" s="255">
        <f>'תקציב החברה לפיתוח 2019'!K79</f>
        <v>24570</v>
      </c>
      <c r="L98" s="255">
        <f>'תקציב החברה לפיתוח 2019'!L79</f>
        <v>24570</v>
      </c>
      <c r="M98" s="255">
        <f>'תקציב החברה לפיתוח 2019'!M79</f>
        <v>325430</v>
      </c>
      <c r="N98" s="255">
        <f>'תקציב החברה לפיתוח 2019'!N79</f>
        <v>500000</v>
      </c>
      <c r="O98" s="255">
        <f>'תקציב החברה לפיתוח 2019'!O79</f>
        <v>1760000</v>
      </c>
      <c r="P98" s="255">
        <f>'תקציב החברה לפיתוח 2019'!P79</f>
        <v>325430</v>
      </c>
      <c r="Q98" s="255">
        <f>'תקציב החברה לפיתוח 2019'!Q79</f>
        <v>0</v>
      </c>
      <c r="R98" s="255">
        <f>'תקציב החברה לפיתוח 2019'!R79</f>
        <v>0</v>
      </c>
      <c r="S98" s="255">
        <f>'תקציב החברה לפיתוח 2019'!S79</f>
        <v>0</v>
      </c>
      <c r="T98" s="255">
        <f>'תקציב החברה לפיתוח 2019'!T79</f>
        <v>0</v>
      </c>
      <c r="U98" s="255">
        <f>'תקציב החברה לפיתוח 2019'!U79</f>
        <v>500000</v>
      </c>
      <c r="V98" s="255">
        <f>'תקציב החברה לפיתוח 2019'!V79</f>
        <v>500000</v>
      </c>
      <c r="W98" s="255">
        <f>'תקציב החברה לפיתוח 2019'!W79</f>
        <v>0</v>
      </c>
      <c r="X98" s="255">
        <f>'תקציב החברה לפיתוח 2019'!X79</f>
        <v>0</v>
      </c>
      <c r="Y98" s="255">
        <f>'תקציב החברה לפיתוח 2019'!Y79</f>
        <v>0</v>
      </c>
      <c r="Z98" s="255">
        <f>'תקציב החברה לפיתוח 2019'!Z79</f>
        <v>0</v>
      </c>
      <c r="AA98" s="254" t="s">
        <v>1076</v>
      </c>
      <c r="AB98" s="254">
        <v>826000</v>
      </c>
      <c r="AE98" s="425"/>
      <c r="AF98" s="258"/>
      <c r="AG98" s="266"/>
      <c r="AH98" s="266"/>
      <c r="AI98" s="266"/>
    </row>
    <row r="99" spans="1:43" s="433" customFormat="1" ht="28">
      <c r="A99" s="254">
        <f t="shared" si="10"/>
        <v>87</v>
      </c>
      <c r="B99" s="254">
        <v>1625</v>
      </c>
      <c r="C99" s="254" t="s">
        <v>206</v>
      </c>
      <c r="D99" s="255">
        <f>'תקציב החברה לפיתוח 2019'!D27</f>
        <v>100000000</v>
      </c>
      <c r="E99" s="255">
        <f>'תקציב החברה לפיתוח 2019'!E27</f>
        <v>100000000</v>
      </c>
      <c r="F99" s="255">
        <f>'תקציב החברה לפיתוח 2019'!F27</f>
        <v>0</v>
      </c>
      <c r="G99" s="255">
        <f>'תקציב החברה לפיתוח 2019'!G27</f>
        <v>5125000</v>
      </c>
      <c r="H99" s="255">
        <f>'תקציב החברה לפיתוח 2019'!H27</f>
        <v>4996356.58</v>
      </c>
      <c r="I99" s="255">
        <f>'תקציב החברה לפיתוח 2019'!I27</f>
        <v>0</v>
      </c>
      <c r="J99" s="255">
        <f>'תקציב החברה לפיתוח 2019'!J27</f>
        <v>118788.1</v>
      </c>
      <c r="K99" s="255">
        <f>'תקציב החברה לפיתוח 2019'!K27</f>
        <v>118788.1</v>
      </c>
      <c r="L99" s="255">
        <f>'תקציב החברה לפיתוח 2019'!L27</f>
        <v>5115144.68</v>
      </c>
      <c r="M99" s="255">
        <f>'תקציב החברה לפיתוח 2019'!M27</f>
        <v>9855.320000000298</v>
      </c>
      <c r="N99" s="255">
        <f>'תקציב החברה לפיתוח 2019'!N27</f>
        <v>0</v>
      </c>
      <c r="O99" s="255">
        <f>'תקציב החברה לפיתוח 2019'!O27</f>
        <v>94875000</v>
      </c>
      <c r="P99" s="255">
        <f>'תקציב החברה לפיתוח 2019'!P27</f>
        <v>9855.320000000298</v>
      </c>
      <c r="Q99" s="255">
        <f>'תקציב החברה לפיתוח 2019'!Q27</f>
        <v>0</v>
      </c>
      <c r="R99" s="255">
        <f>'תקציב החברה לפיתוח 2019'!R27</f>
        <v>0</v>
      </c>
      <c r="S99" s="255">
        <f>'תקציב החברה לפיתוח 2019'!S27</f>
        <v>0</v>
      </c>
      <c r="T99" s="255">
        <f>'תקציב החברה לפיתוח 2019'!T27</f>
        <v>0</v>
      </c>
      <c r="U99" s="255">
        <f>'תקציב החברה לפיתוח 2019'!U27</f>
        <v>0</v>
      </c>
      <c r="V99" s="255">
        <f>'תקציב החברה לפיתוח 2019'!V27</f>
        <v>0</v>
      </c>
      <c r="W99" s="255">
        <f>'תקציב החברה לפיתוח 2019'!W27</f>
        <v>0</v>
      </c>
      <c r="X99" s="255">
        <f>'תקציב החברה לפיתוח 2019'!X27</f>
        <v>0</v>
      </c>
      <c r="Y99" s="255">
        <f>'תקציב החברה לפיתוח 2019'!Y27</f>
        <v>0</v>
      </c>
      <c r="Z99" s="255">
        <f>'תקציב החברה לפיתוח 2019'!Z27</f>
        <v>0</v>
      </c>
      <c r="AA99" s="254"/>
      <c r="AB99" s="254">
        <v>829000</v>
      </c>
      <c r="AC99" s="420"/>
      <c r="AD99" s="266"/>
      <c r="AE99" s="425"/>
      <c r="AF99" s="258"/>
      <c r="AG99" s="258"/>
      <c r="AH99" s="258"/>
      <c r="AI99" s="258"/>
      <c r="AJ99" s="416"/>
      <c r="AK99" s="416"/>
      <c r="AL99" s="416"/>
      <c r="AM99" s="258"/>
      <c r="AN99" s="258"/>
      <c r="AO99" s="258"/>
      <c r="AP99" s="258"/>
      <c r="AQ99" s="258"/>
    </row>
    <row r="100" spans="1:43" s="433" customFormat="1">
      <c r="A100" s="254">
        <f t="shared" si="10"/>
        <v>88</v>
      </c>
      <c r="B100" s="254">
        <v>1798</v>
      </c>
      <c r="C100" s="254" t="s">
        <v>180</v>
      </c>
      <c r="D100" s="255">
        <f>'תקציב החברה לפיתוח 2019'!D36</f>
        <v>1600000</v>
      </c>
      <c r="E100" s="255">
        <f>'תקציב החברה לפיתוח 2019'!E36</f>
        <v>1600000</v>
      </c>
      <c r="F100" s="255">
        <f>'תקציב החברה לפיתוח 2019'!F36</f>
        <v>0</v>
      </c>
      <c r="G100" s="255">
        <f>'תקציב החברה לפיתוח 2019'!G36</f>
        <v>1600000</v>
      </c>
      <c r="H100" s="255">
        <f>'תקציב החברה לפיתוח 2019'!H36</f>
        <v>1450765</v>
      </c>
      <c r="I100" s="255">
        <f>'תקציב החברה לפיתוח 2019'!I36</f>
        <v>0</v>
      </c>
      <c r="J100" s="255">
        <f>'תקציב החברה לפיתוח 2019'!J36</f>
        <v>149231.26999999999</v>
      </c>
      <c r="K100" s="255">
        <f>'תקציב החברה לפיתוח 2019'!K36</f>
        <v>149231.26999999999</v>
      </c>
      <c r="L100" s="255">
        <f>'תקציב החברה לפיתוח 2019'!L36</f>
        <v>1599996.27</v>
      </c>
      <c r="M100" s="255">
        <f>'תקציב החברה לפיתוח 2019'!M36</f>
        <v>3.7299999999813735</v>
      </c>
      <c r="N100" s="255">
        <f>'תקציב החברה לפיתוח 2019'!N36</f>
        <v>0</v>
      </c>
      <c r="O100" s="255">
        <f>'תקציב החברה לפיתוח 2019'!O36</f>
        <v>0</v>
      </c>
      <c r="P100" s="255">
        <f>'תקציב החברה לפיתוח 2019'!P36</f>
        <v>3.7299999999813735</v>
      </c>
      <c r="Q100" s="255">
        <f>'תקציב החברה לפיתוח 2019'!Q36</f>
        <v>0</v>
      </c>
      <c r="R100" s="255">
        <f>'תקציב החברה לפיתוח 2019'!R36</f>
        <v>0</v>
      </c>
      <c r="S100" s="255">
        <f>'תקציב החברה לפיתוח 2019'!S36</f>
        <v>0</v>
      </c>
      <c r="T100" s="255">
        <f>'תקציב החברה לפיתוח 2019'!T36</f>
        <v>0</v>
      </c>
      <c r="U100" s="255">
        <f>'תקציב החברה לפיתוח 2019'!U36</f>
        <v>0</v>
      </c>
      <c r="V100" s="255">
        <f>'תקציב החברה לפיתוח 2019'!V36</f>
        <v>0</v>
      </c>
      <c r="W100" s="255">
        <f>'תקציב החברה לפיתוח 2019'!W36</f>
        <v>0</v>
      </c>
      <c r="X100" s="255">
        <f>'תקציב החברה לפיתוח 2019'!X36</f>
        <v>0</v>
      </c>
      <c r="Y100" s="255">
        <f>'תקציב החברה לפיתוח 2019'!Y36</f>
        <v>0</v>
      </c>
      <c r="Z100" s="255">
        <f>'תקציב החברה לפיתוח 2019'!Z36</f>
        <v>0</v>
      </c>
      <c r="AA100" s="254"/>
      <c r="AB100" s="254">
        <v>829000</v>
      </c>
      <c r="AC100" s="420"/>
      <c r="AD100" s="266"/>
      <c r="AE100" s="425"/>
      <c r="AF100" s="258"/>
      <c r="AG100" s="258"/>
      <c r="AH100" s="259"/>
      <c r="AI100" s="259"/>
      <c r="AJ100" s="416"/>
      <c r="AK100" s="416"/>
      <c r="AL100" s="416"/>
      <c r="AM100" s="259"/>
      <c r="AN100" s="259"/>
      <c r="AO100" s="259"/>
      <c r="AP100" s="259"/>
      <c r="AQ100" s="259"/>
    </row>
    <row r="101" spans="1:43" s="433" customFormat="1" ht="28">
      <c r="A101" s="254">
        <f t="shared" si="10"/>
        <v>89</v>
      </c>
      <c r="B101" s="427">
        <v>1833</v>
      </c>
      <c r="C101" s="254" t="s">
        <v>208</v>
      </c>
      <c r="D101" s="255">
        <f>'תקציב החברה לפיתוח 2019'!D42</f>
        <v>29000000</v>
      </c>
      <c r="E101" s="255">
        <f>'תקציב החברה לפיתוח 2019'!E42</f>
        <v>24000000</v>
      </c>
      <c r="F101" s="255">
        <f>'תקציב החברה לפיתוח 2019'!F42</f>
        <v>5000000</v>
      </c>
      <c r="G101" s="255">
        <f>'תקציב החברה לפיתוח 2019'!G42</f>
        <v>1000000</v>
      </c>
      <c r="H101" s="255">
        <f>'תקציב החברה לפיתוח 2019'!H42</f>
        <v>107269</v>
      </c>
      <c r="I101" s="255">
        <f>'תקציב החברה לפיתוח 2019'!I42</f>
        <v>0</v>
      </c>
      <c r="J101" s="255">
        <f>'תקציב החברה לפיתוח 2019'!J42</f>
        <v>361413.42</v>
      </c>
      <c r="K101" s="255">
        <f>'תקציב החברה לפיתוח 2019'!K42</f>
        <v>361413.42</v>
      </c>
      <c r="L101" s="255">
        <f>'תקציב החברה לפיתוח 2019'!L42</f>
        <v>468682.42</v>
      </c>
      <c r="M101" s="255">
        <f>'תקציב החברה לפיתוח 2019'!M42</f>
        <v>531317.58000000007</v>
      </c>
      <c r="N101" s="255">
        <f>'תקציב החברה לפיתוח 2019'!N42</f>
        <v>14000000</v>
      </c>
      <c r="O101" s="255">
        <f>'תקציב החברה לפיתוח 2019'!O42</f>
        <v>14000000</v>
      </c>
      <c r="P101" s="255">
        <f>'תקציב החברה לפיתוח 2019'!P42</f>
        <v>531317.58000000007</v>
      </c>
      <c r="Q101" s="255">
        <f>'תקציב החברה לפיתוח 2019'!Q42</f>
        <v>0</v>
      </c>
      <c r="R101" s="255">
        <f>'תקציב החברה לפיתוח 2019'!R42</f>
        <v>0</v>
      </c>
      <c r="S101" s="255">
        <f>'תקציב החברה לפיתוח 2019'!S42</f>
        <v>0</v>
      </c>
      <c r="T101" s="255">
        <f>'תקציב החברה לפיתוח 2019'!T42</f>
        <v>0</v>
      </c>
      <c r="U101" s="255">
        <f>'תקציב החברה לפיתוח 2019'!U42</f>
        <v>14000000</v>
      </c>
      <c r="V101" s="255">
        <f>'תקציב החברה לפיתוח 2019'!V42</f>
        <v>14000000</v>
      </c>
      <c r="W101" s="255">
        <f>'תקציב החברה לפיתוח 2019'!W42</f>
        <v>0</v>
      </c>
      <c r="X101" s="255">
        <f>'תקציב החברה לפיתוח 2019'!X42</f>
        <v>0</v>
      </c>
      <c r="Y101" s="255">
        <f>'תקציב החברה לפיתוח 2019'!Y42</f>
        <v>0</v>
      </c>
      <c r="Z101" s="255">
        <f>'תקציב החברה לפיתוח 2019'!Z42</f>
        <v>0</v>
      </c>
      <c r="AA101" s="254" t="s">
        <v>1257</v>
      </c>
      <c r="AB101" s="254">
        <v>829000</v>
      </c>
      <c r="AC101" s="420"/>
      <c r="AD101" s="266"/>
      <c r="AE101" s="425"/>
      <c r="AF101" s="258"/>
      <c r="AG101" s="266"/>
      <c r="AH101" s="266"/>
      <c r="AI101" s="266"/>
      <c r="AJ101" s="416"/>
      <c r="AK101" s="416"/>
      <c r="AL101" s="416"/>
      <c r="AM101" s="247"/>
      <c r="AN101" s="247"/>
      <c r="AO101" s="247"/>
      <c r="AP101" s="247"/>
      <c r="AQ101" s="247"/>
    </row>
    <row r="102" spans="1:43" s="258" customFormat="1" ht="56">
      <c r="A102" s="254">
        <f t="shared" si="10"/>
        <v>90</v>
      </c>
      <c r="B102" s="427">
        <v>1896</v>
      </c>
      <c r="C102" s="254" t="s">
        <v>1321</v>
      </c>
      <c r="D102" s="255">
        <f>'תקציב החברה לפיתוח 2019'!D53</f>
        <v>18560000</v>
      </c>
      <c r="E102" s="255">
        <f>'תקציב החברה לפיתוח 2019'!E53</f>
        <v>18560000</v>
      </c>
      <c r="F102" s="255">
        <f>'תקציב החברה לפיתוח 2019'!F53</f>
        <v>0</v>
      </c>
      <c r="G102" s="255">
        <f>'תקציב החברה לפיתוח 2019'!G53</f>
        <v>1000000</v>
      </c>
      <c r="H102" s="255">
        <f>'תקציב החברה לפיתוח 2019'!H53</f>
        <v>3622</v>
      </c>
      <c r="I102" s="255">
        <f>'תקציב החברה לפיתוח 2019'!I53</f>
        <v>0</v>
      </c>
      <c r="J102" s="255">
        <f>'תקציב החברה לפיתוח 2019'!J53</f>
        <v>2228.0500000000002</v>
      </c>
      <c r="K102" s="255">
        <f>'תקציב החברה לפיתוח 2019'!K53</f>
        <v>2228.0500000000002</v>
      </c>
      <c r="L102" s="255">
        <f>'תקציב החברה לפיתוח 2019'!L53</f>
        <v>5850.05</v>
      </c>
      <c r="M102" s="255">
        <f>'תקציב החברה לפיתוח 2019'!M53</f>
        <v>3994149.95</v>
      </c>
      <c r="N102" s="255">
        <f>'תקציב החברה לפיתוח 2019'!N53</f>
        <v>7600000</v>
      </c>
      <c r="O102" s="255">
        <f>'תקציב החברה לפיתוח 2019'!O53</f>
        <v>6960000</v>
      </c>
      <c r="P102" s="255">
        <f>'תקציב החברה לפיתוח 2019'!P53</f>
        <v>994149.95</v>
      </c>
      <c r="Q102" s="255">
        <f>'תקציב החברה לפיתוח 2019'!Q53</f>
        <v>3000000</v>
      </c>
      <c r="R102" s="255">
        <f>'תקציב החברה לפיתוח 2019'!R53</f>
        <v>0</v>
      </c>
      <c r="S102" s="255">
        <f>'תקציב החברה לפיתוח 2019'!S53</f>
        <v>3000000</v>
      </c>
      <c r="T102" s="255">
        <f>'תקציב החברה לפיתוח 2019'!T53</f>
        <v>0</v>
      </c>
      <c r="U102" s="255">
        <f>'תקציב החברה לפיתוח 2019'!U53</f>
        <v>7600000</v>
      </c>
      <c r="V102" s="255">
        <f>'תקציב החברה לפיתוח 2019'!V53</f>
        <v>7600000</v>
      </c>
      <c r="W102" s="255">
        <f>'תקציב החברה לפיתוח 2019'!W53</f>
        <v>0</v>
      </c>
      <c r="X102" s="255">
        <f>'תקציב החברה לפיתוח 2019'!X53</f>
        <v>0</v>
      </c>
      <c r="Y102" s="255">
        <f>'תקציב החברה לפיתוח 2019'!Y53</f>
        <v>0</v>
      </c>
      <c r="Z102" s="255">
        <f>'תקציב החברה לפיתוח 2019'!Z53</f>
        <v>0</v>
      </c>
      <c r="AA102" s="254" t="s">
        <v>1087</v>
      </c>
      <c r="AB102" s="254">
        <v>829000</v>
      </c>
      <c r="AC102" s="420"/>
      <c r="AD102" s="266"/>
      <c r="AE102" s="425"/>
      <c r="AG102" s="266"/>
      <c r="AH102" s="266"/>
      <c r="AI102" s="266"/>
      <c r="AJ102" s="416"/>
      <c r="AK102" s="416"/>
      <c r="AL102" s="416"/>
      <c r="AM102" s="247"/>
      <c r="AN102" s="247"/>
      <c r="AO102" s="247"/>
      <c r="AP102" s="247"/>
      <c r="AQ102" s="247"/>
    </row>
    <row r="103" spans="1:43" ht="70">
      <c r="A103" s="254">
        <f t="shared" si="10"/>
        <v>91</v>
      </c>
      <c r="B103" s="427">
        <v>1921</v>
      </c>
      <c r="C103" s="254" t="s">
        <v>215</v>
      </c>
      <c r="D103" s="255">
        <f>'תקציב החברה לפיתוח 2019'!D56</f>
        <v>9276000</v>
      </c>
      <c r="E103" s="255">
        <f>'תקציב החברה לפיתוח 2019'!E56</f>
        <v>9320000</v>
      </c>
      <c r="F103" s="255">
        <f>'תקציב החברה לפיתוח 2019'!F56</f>
        <v>-44000</v>
      </c>
      <c r="G103" s="255">
        <f>'תקציב החברה לפיתוח 2019'!G56</f>
        <v>4500000</v>
      </c>
      <c r="H103" s="255">
        <f>'תקציב החברה לפיתוח 2019'!H56</f>
        <v>2848946</v>
      </c>
      <c r="I103" s="255">
        <f>'תקציב החברה לפיתוח 2019'!I56</f>
        <v>0</v>
      </c>
      <c r="J103" s="255">
        <f>'תקציב החברה לפיתוח 2019'!J56</f>
        <v>1002363.11</v>
      </c>
      <c r="K103" s="255">
        <f>'תקציב החברה לפיתוח 2019'!K56</f>
        <v>1002363.11</v>
      </c>
      <c r="L103" s="255">
        <f>'תקציב החברה לפיתוח 2019'!L56</f>
        <v>3851309.11</v>
      </c>
      <c r="M103" s="255">
        <f>'תקציב החברה לפיתוח 2019'!M56</f>
        <v>2968690.89</v>
      </c>
      <c r="N103" s="255">
        <f>'תקציב החברה לפיתוח 2019'!N56</f>
        <v>2456000</v>
      </c>
      <c r="O103" s="255">
        <f>'תקציב החברה לפיתוח 2019'!O56</f>
        <v>0</v>
      </c>
      <c r="P103" s="255">
        <f>'תקציב החברה לפיתוח 2019'!P56</f>
        <v>648690.89000000013</v>
      </c>
      <c r="Q103" s="255">
        <f>'תקציב החברה לפיתוח 2019'!Q56</f>
        <v>2320000</v>
      </c>
      <c r="R103" s="255">
        <f>'תקציב החברה לפיתוח 2019'!R56</f>
        <v>0</v>
      </c>
      <c r="S103" s="255">
        <f>'תקציב החברה לפיתוח 2019'!S56</f>
        <v>2320000</v>
      </c>
      <c r="T103" s="255">
        <f>'תקציב החברה לפיתוח 2019'!T56</f>
        <v>0</v>
      </c>
      <c r="U103" s="255">
        <f>'תקציב החברה לפיתוח 2019'!U56</f>
        <v>2456000</v>
      </c>
      <c r="V103" s="255">
        <f>'תקציב החברה לפיתוח 2019'!V56</f>
        <v>2456000</v>
      </c>
      <c r="W103" s="255">
        <f>'תקציב החברה לפיתוח 2019'!W56</f>
        <v>0</v>
      </c>
      <c r="X103" s="255">
        <f>'תקציב החברה לפיתוח 2019'!X56</f>
        <v>0</v>
      </c>
      <c r="Y103" s="255">
        <f>'תקציב החברה לפיתוח 2019'!Y56</f>
        <v>0</v>
      </c>
      <c r="Z103" s="255">
        <f>'תקציב החברה לפיתוח 2019'!Z56</f>
        <v>0</v>
      </c>
      <c r="AA103" s="254" t="s">
        <v>1101</v>
      </c>
      <c r="AB103" s="254">
        <v>829000</v>
      </c>
      <c r="AE103" s="425"/>
      <c r="AF103" s="258"/>
      <c r="AG103" s="266"/>
      <c r="AH103" s="266"/>
      <c r="AI103" s="266"/>
    </row>
    <row r="104" spans="1:43" s="258" customFormat="1" ht="70">
      <c r="A104" s="254">
        <f t="shared" si="10"/>
        <v>92</v>
      </c>
      <c r="B104" s="254">
        <v>2022</v>
      </c>
      <c r="C104" s="254" t="s">
        <v>1323</v>
      </c>
      <c r="D104" s="255">
        <f>'תקציב החברה לפיתוח 2019'!D73</f>
        <v>20000000</v>
      </c>
      <c r="E104" s="255">
        <f>'תקציב החברה לפיתוח 2019'!E73</f>
        <v>20000000</v>
      </c>
      <c r="F104" s="255">
        <f>'תקציב החברה לפיתוח 2019'!F73</f>
        <v>0</v>
      </c>
      <c r="G104" s="255">
        <f>'תקציב החברה לפיתוח 2019'!G73</f>
        <v>200000</v>
      </c>
      <c r="H104" s="255">
        <f>'תקציב החברה לפיתוח 2019'!H73</f>
        <v>0</v>
      </c>
      <c r="I104" s="255">
        <f>'תקציב החברה לפיתוח 2019'!I73</f>
        <v>0</v>
      </c>
      <c r="J104" s="255">
        <f>'תקציב החברה לפיתוח 2019'!J73</f>
        <v>0</v>
      </c>
      <c r="K104" s="255">
        <f>'תקציב החברה לפיתוח 2019'!K73</f>
        <v>0</v>
      </c>
      <c r="L104" s="255">
        <f>'תקציב החברה לפיתוח 2019'!L73</f>
        <v>0</v>
      </c>
      <c r="M104" s="255">
        <f>'תקציב החברה לפיתוח 2019'!M73</f>
        <v>2000000</v>
      </c>
      <c r="N104" s="255">
        <f>'תקציב החברה לפיתוח 2019'!N73</f>
        <v>18000000</v>
      </c>
      <c r="O104" s="255">
        <f>'תקציב החברה לפיתוח 2019'!O73</f>
        <v>0</v>
      </c>
      <c r="P104" s="255">
        <f>'תקציב החברה לפיתוח 2019'!P73</f>
        <v>200000</v>
      </c>
      <c r="Q104" s="255">
        <f>'תקציב החברה לפיתוח 2019'!Q73</f>
        <v>1800000</v>
      </c>
      <c r="R104" s="255">
        <f>'תקציב החברה לפיתוח 2019'!R73</f>
        <v>0</v>
      </c>
      <c r="S104" s="255">
        <f>'תקציב החברה לפיתוח 2019'!S73</f>
        <v>1800000</v>
      </c>
      <c r="T104" s="255">
        <f>'תקציב החברה לפיתוח 2019'!T73</f>
        <v>0</v>
      </c>
      <c r="U104" s="255">
        <f>'תקציב החברה לפיתוח 2019'!U73</f>
        <v>18000000</v>
      </c>
      <c r="V104" s="255">
        <f>'תקציב החברה לפיתוח 2019'!V73</f>
        <v>18000000</v>
      </c>
      <c r="W104" s="255">
        <f>'תקציב החברה לפיתוח 2019'!W73</f>
        <v>0</v>
      </c>
      <c r="X104" s="255">
        <f>'תקציב החברה לפיתוח 2019'!X73</f>
        <v>0</v>
      </c>
      <c r="Y104" s="255">
        <f>'תקציב החברה לפיתוח 2019'!Y73</f>
        <v>0</v>
      </c>
      <c r="Z104" s="255">
        <f>'תקציב החברה לפיתוח 2019'!Z73</f>
        <v>0</v>
      </c>
      <c r="AA104" s="254" t="s">
        <v>1126</v>
      </c>
      <c r="AB104" s="254">
        <v>829000</v>
      </c>
      <c r="AC104" s="420"/>
      <c r="AD104" s="266"/>
      <c r="AE104" s="425"/>
      <c r="AJ104" s="416"/>
      <c r="AK104" s="416"/>
      <c r="AL104" s="416"/>
    </row>
    <row r="105" spans="1:43" s="258" customFormat="1" ht="56">
      <c r="A105" s="254">
        <f t="shared" si="10"/>
        <v>93</v>
      </c>
      <c r="B105" s="427">
        <v>2064</v>
      </c>
      <c r="C105" s="254" t="s">
        <v>522</v>
      </c>
      <c r="D105" s="255">
        <f>'תקציב החברה לפיתוח 2019'!D81</f>
        <v>6417000</v>
      </c>
      <c r="E105" s="255">
        <f>'תקציב החברה לפיתוח 2019'!E81</f>
        <v>6417000</v>
      </c>
      <c r="F105" s="255">
        <f>'תקציב החברה לפיתוח 2019'!F81</f>
        <v>0</v>
      </c>
      <c r="G105" s="255">
        <f>'תקציב החברה לפיתוח 2019'!G81</f>
        <v>200000</v>
      </c>
      <c r="H105" s="255">
        <f>'תקציב החברה לפיתוח 2019'!H81</f>
        <v>7441</v>
      </c>
      <c r="I105" s="255">
        <f>'תקציב החברה לפיתוח 2019'!I81</f>
        <v>0</v>
      </c>
      <c r="J105" s="255">
        <f>'תקציב החברה לפיתוח 2019'!J81</f>
        <v>92556.36</v>
      </c>
      <c r="K105" s="255">
        <f>'תקציב החברה לפיתוח 2019'!K81</f>
        <v>92556.36</v>
      </c>
      <c r="L105" s="255">
        <f>'תקציב החברה לפיתוח 2019'!L81</f>
        <v>99997.36</v>
      </c>
      <c r="M105" s="255">
        <f>'תקציב החברה לפיתוח 2019'!M81</f>
        <v>900002.64</v>
      </c>
      <c r="N105" s="255">
        <f>'תקציב החברה לפיתוח 2019'!N81</f>
        <v>0</v>
      </c>
      <c r="O105" s="255">
        <f>'תקציב החברה לפיתוח 2019'!O81</f>
        <v>5417000</v>
      </c>
      <c r="P105" s="255">
        <f>'תקציב החברה לפיתוח 2019'!P81</f>
        <v>100002.64</v>
      </c>
      <c r="Q105" s="255">
        <f>'תקציב החברה לפיתוח 2019'!Q81</f>
        <v>0</v>
      </c>
      <c r="R105" s="255">
        <f>'תקציב החברה לפיתוח 2019'!R81</f>
        <v>800000</v>
      </c>
      <c r="S105" s="255">
        <f>'תקציב החברה לפיתוח 2019'!S81</f>
        <v>800000</v>
      </c>
      <c r="T105" s="255">
        <f>'תקציב החברה לפיתוח 2019'!T81</f>
        <v>0</v>
      </c>
      <c r="U105" s="255">
        <f>'תקציב החברה לפיתוח 2019'!U81</f>
        <v>0</v>
      </c>
      <c r="V105" s="255">
        <f>'תקציב החברה לפיתוח 2019'!V81</f>
        <v>0</v>
      </c>
      <c r="W105" s="255">
        <f>'תקציב החברה לפיתוח 2019'!W81</f>
        <v>0</v>
      </c>
      <c r="X105" s="255">
        <f>'תקציב החברה לפיתוח 2019'!X81</f>
        <v>0</v>
      </c>
      <c r="Y105" s="255">
        <f>'תקציב החברה לפיתוח 2019'!Y81</f>
        <v>0</v>
      </c>
      <c r="Z105" s="255">
        <f>'תקציב החברה לפיתוח 2019'!Z81</f>
        <v>0</v>
      </c>
      <c r="AA105" s="254" t="s">
        <v>1127</v>
      </c>
      <c r="AB105" s="254">
        <v>829000</v>
      </c>
      <c r="AC105" s="420"/>
      <c r="AD105" s="266"/>
      <c r="AE105" s="425"/>
      <c r="AG105" s="266"/>
      <c r="AH105" s="266"/>
      <c r="AI105" s="266"/>
      <c r="AJ105" s="416"/>
      <c r="AK105" s="416"/>
      <c r="AL105" s="416"/>
      <c r="AM105" s="247"/>
      <c r="AN105" s="247"/>
      <c r="AO105" s="247"/>
      <c r="AP105" s="247"/>
      <c r="AQ105" s="247"/>
    </row>
    <row r="106" spans="1:43" s="258" customFormat="1" ht="28">
      <c r="A106" s="254">
        <f t="shared" si="10"/>
        <v>94</v>
      </c>
      <c r="B106" s="254">
        <v>2067</v>
      </c>
      <c r="C106" s="254" t="s">
        <v>1324</v>
      </c>
      <c r="D106" s="255">
        <f>'תקציב החברה לפיתוח 2019'!D82</f>
        <v>800000</v>
      </c>
      <c r="E106" s="255">
        <f>'תקציב החברה לפיתוח 2019'!E82</f>
        <v>800000</v>
      </c>
      <c r="F106" s="255">
        <f>'תקציב החברה לפיתוח 2019'!F82</f>
        <v>0</v>
      </c>
      <c r="G106" s="255">
        <f>'תקציב החברה לפיתוח 2019'!G82</f>
        <v>800000</v>
      </c>
      <c r="H106" s="255">
        <f>'תקציב החברה לפיתוח 2019'!H82</f>
        <v>0</v>
      </c>
      <c r="I106" s="255">
        <f>'תקציב החברה לפיתוח 2019'!I82</f>
        <v>0</v>
      </c>
      <c r="J106" s="255">
        <f>'תקציב החברה לפיתוח 2019'!J82</f>
        <v>180876</v>
      </c>
      <c r="K106" s="255">
        <f>'תקציב החברה לפיתוח 2019'!K82</f>
        <v>180876</v>
      </c>
      <c r="L106" s="255">
        <f>'תקציב החברה לפיתוח 2019'!L82</f>
        <v>180876</v>
      </c>
      <c r="M106" s="255">
        <f>'תקציב החברה לפיתוח 2019'!M82</f>
        <v>619124</v>
      </c>
      <c r="N106" s="255">
        <f>'תקציב החברה לפיתוח 2019'!N82</f>
        <v>0</v>
      </c>
      <c r="O106" s="255">
        <f>'תקציב החברה לפיתוח 2019'!O82</f>
        <v>0</v>
      </c>
      <c r="P106" s="255">
        <f>'תקציב החברה לפיתוח 2019'!P82</f>
        <v>619124</v>
      </c>
      <c r="Q106" s="255">
        <f>'תקציב החברה לפיתוח 2019'!Q82</f>
        <v>0</v>
      </c>
      <c r="R106" s="255">
        <f>'תקציב החברה לפיתוח 2019'!R82</f>
        <v>0</v>
      </c>
      <c r="S106" s="255">
        <f>'תקציב החברה לפיתוח 2019'!S82</f>
        <v>0</v>
      </c>
      <c r="T106" s="255">
        <f>'תקציב החברה לפיתוח 2019'!T82</f>
        <v>0</v>
      </c>
      <c r="U106" s="255">
        <f>'תקציב החברה לפיתוח 2019'!U82</f>
        <v>0</v>
      </c>
      <c r="V106" s="255">
        <f>'תקציב החברה לפיתוח 2019'!V82</f>
        <v>0</v>
      </c>
      <c r="W106" s="255">
        <f>'תקציב החברה לפיתוח 2019'!W82</f>
        <v>0</v>
      </c>
      <c r="X106" s="255">
        <f>'תקציב החברה לפיתוח 2019'!X82</f>
        <v>0</v>
      </c>
      <c r="Y106" s="255">
        <f>'תקציב החברה לפיתוח 2019'!Y82</f>
        <v>0</v>
      </c>
      <c r="Z106" s="255">
        <f>'תקציב החברה לפיתוח 2019'!Z82</f>
        <v>0</v>
      </c>
      <c r="AA106" s="254"/>
      <c r="AB106" s="254">
        <v>829000</v>
      </c>
      <c r="AC106" s="420"/>
      <c r="AD106" s="266"/>
      <c r="AE106" s="425"/>
      <c r="AJ106" s="416"/>
      <c r="AK106" s="416"/>
      <c r="AL106" s="416"/>
    </row>
    <row r="107" spans="1:43" s="258" customFormat="1" ht="42">
      <c r="A107" s="254">
        <f t="shared" si="10"/>
        <v>95</v>
      </c>
      <c r="B107" s="427">
        <v>2073</v>
      </c>
      <c r="C107" s="254" t="s">
        <v>721</v>
      </c>
      <c r="D107" s="255">
        <f>'תקציב החברה לפיתוח 2019'!D83</f>
        <v>11350000</v>
      </c>
      <c r="E107" s="255">
        <f>'תקציב החברה לפיתוח 2019'!E83</f>
        <v>350000</v>
      </c>
      <c r="F107" s="255">
        <f>'תקציב החברה לפיתוח 2019'!F83</f>
        <v>11000000</v>
      </c>
      <c r="G107" s="255">
        <f>'תקציב החברה לפיתוח 2019'!G83</f>
        <v>350000</v>
      </c>
      <c r="H107" s="255">
        <f>'תקציב החברה לפיתוח 2019'!H83</f>
        <v>0</v>
      </c>
      <c r="I107" s="255">
        <f>'תקציב החברה לפיתוח 2019'!I83</f>
        <v>0</v>
      </c>
      <c r="J107" s="255">
        <f>'תקציב החברה לפיתוח 2019'!J83</f>
        <v>0</v>
      </c>
      <c r="K107" s="255">
        <f>'תקציב החברה לפיתוח 2019'!K83</f>
        <v>0</v>
      </c>
      <c r="L107" s="255">
        <f>'תקציב החברה לפיתוח 2019'!L83</f>
        <v>0</v>
      </c>
      <c r="M107" s="255">
        <f>'תקציב החברה לפיתוח 2019'!M83</f>
        <v>350000</v>
      </c>
      <c r="N107" s="255">
        <f>'תקציב החברה לפיתוח 2019'!N83</f>
        <v>500000</v>
      </c>
      <c r="O107" s="255">
        <f>'תקציב החברה לפיתוח 2019'!O83</f>
        <v>10500000</v>
      </c>
      <c r="P107" s="255">
        <f>'תקציב החברה לפיתוח 2019'!P83</f>
        <v>350000</v>
      </c>
      <c r="Q107" s="255">
        <f>'תקציב החברה לפיתוח 2019'!Q83</f>
        <v>0</v>
      </c>
      <c r="R107" s="255">
        <f>'תקציב החברה לפיתוח 2019'!R83</f>
        <v>0</v>
      </c>
      <c r="S107" s="255">
        <f>'תקציב החברה לפיתוח 2019'!S83</f>
        <v>0</v>
      </c>
      <c r="T107" s="255">
        <f>'תקציב החברה לפיתוח 2019'!T83</f>
        <v>0</v>
      </c>
      <c r="U107" s="255">
        <f>'תקציב החברה לפיתוח 2019'!U83</f>
        <v>500000</v>
      </c>
      <c r="V107" s="255">
        <f>'תקציב החברה לפיתוח 2019'!V83</f>
        <v>500000</v>
      </c>
      <c r="W107" s="255">
        <f>'תקציב החברה לפיתוח 2019'!W83</f>
        <v>0</v>
      </c>
      <c r="X107" s="255">
        <f>'תקציב החברה לפיתוח 2019'!X83</f>
        <v>0</v>
      </c>
      <c r="Y107" s="255">
        <f>'תקציב החברה לפיתוח 2019'!Y83</f>
        <v>0</v>
      </c>
      <c r="Z107" s="255">
        <f>'תקציב החברה לפיתוח 2019'!Z83</f>
        <v>0</v>
      </c>
      <c r="AA107" s="254" t="s">
        <v>1128</v>
      </c>
      <c r="AB107" s="254">
        <v>829000</v>
      </c>
      <c r="AC107" s="420"/>
      <c r="AD107" s="266"/>
      <c r="AE107" s="425"/>
      <c r="AG107" s="266"/>
      <c r="AH107" s="266"/>
      <c r="AI107" s="266"/>
      <c r="AJ107" s="416"/>
      <c r="AK107" s="416"/>
      <c r="AL107" s="416"/>
      <c r="AM107" s="247"/>
      <c r="AN107" s="247"/>
      <c r="AO107" s="247"/>
      <c r="AP107" s="247"/>
      <c r="AQ107" s="247"/>
    </row>
    <row r="108" spans="1:43" s="621" customFormat="1">
      <c r="A108" s="426"/>
      <c r="B108" s="662"/>
      <c r="C108" s="426" t="s">
        <v>1209</v>
      </c>
      <c r="D108" s="659">
        <f>SUM(D88:D107)</f>
        <v>369443000</v>
      </c>
      <c r="E108" s="659">
        <f t="shared" ref="E108:Z108" si="11">SUM(E88:E107)</f>
        <v>340787000</v>
      </c>
      <c r="F108" s="659">
        <f t="shared" si="11"/>
        <v>28656000</v>
      </c>
      <c r="G108" s="659">
        <f t="shared" si="11"/>
        <v>52654800</v>
      </c>
      <c r="H108" s="659">
        <f t="shared" si="11"/>
        <v>29717697.579999998</v>
      </c>
      <c r="I108" s="659">
        <f t="shared" si="11"/>
        <v>0</v>
      </c>
      <c r="J108" s="659">
        <f t="shared" si="11"/>
        <v>13903186.219999999</v>
      </c>
      <c r="K108" s="659">
        <f t="shared" si="11"/>
        <v>13903186.219999999</v>
      </c>
      <c r="L108" s="659">
        <f t="shared" si="11"/>
        <v>43620883.800000004</v>
      </c>
      <c r="M108" s="659">
        <f t="shared" si="11"/>
        <v>28153916.199999999</v>
      </c>
      <c r="N108" s="659">
        <f t="shared" si="11"/>
        <v>81556200</v>
      </c>
      <c r="O108" s="659">
        <f t="shared" si="11"/>
        <v>216112000</v>
      </c>
      <c r="P108" s="659">
        <f t="shared" si="11"/>
        <v>9033916.1999999993</v>
      </c>
      <c r="Q108" s="659">
        <f t="shared" si="11"/>
        <v>19770000</v>
      </c>
      <c r="R108" s="659">
        <f t="shared" si="11"/>
        <v>2800000</v>
      </c>
      <c r="S108" s="659">
        <f t="shared" si="11"/>
        <v>22570000</v>
      </c>
      <c r="T108" s="659">
        <f t="shared" si="11"/>
        <v>3450000</v>
      </c>
      <c r="U108" s="659">
        <f t="shared" si="11"/>
        <v>78106200</v>
      </c>
      <c r="V108" s="659">
        <f t="shared" si="11"/>
        <v>79156200</v>
      </c>
      <c r="W108" s="659">
        <f t="shared" si="11"/>
        <v>0</v>
      </c>
      <c r="X108" s="659">
        <f t="shared" si="11"/>
        <v>0</v>
      </c>
      <c r="Y108" s="659">
        <f t="shared" si="11"/>
        <v>-1050000</v>
      </c>
      <c r="Z108" s="659">
        <f t="shared" si="11"/>
        <v>0</v>
      </c>
      <c r="AA108" s="426"/>
      <c r="AB108" s="426"/>
      <c r="AC108" s="660"/>
      <c r="AD108" s="622"/>
      <c r="AE108" s="661"/>
      <c r="AG108" s="622"/>
      <c r="AH108" s="622"/>
      <c r="AI108" s="622"/>
      <c r="AJ108" s="624"/>
      <c r="AK108" s="624"/>
      <c r="AL108" s="624"/>
      <c r="AM108" s="642"/>
      <c r="AN108" s="642"/>
      <c r="AO108" s="642"/>
      <c r="AP108" s="642"/>
      <c r="AQ108" s="642"/>
    </row>
    <row r="109" spans="1:43" ht="42">
      <c r="A109" s="254">
        <f>A107+1</f>
        <v>96</v>
      </c>
      <c r="B109" s="42">
        <v>2079</v>
      </c>
      <c r="C109" s="254" t="s">
        <v>723</v>
      </c>
      <c r="D109" s="255">
        <f>'תקציב החברה לפיתוח 2019'!D85</f>
        <v>500000</v>
      </c>
      <c r="E109" s="255">
        <f>'תקציב החברה לפיתוח 2019'!E85</f>
        <v>500000</v>
      </c>
      <c r="F109" s="255">
        <f>'תקציב החברה לפיתוח 2019'!F85</f>
        <v>0</v>
      </c>
      <c r="G109" s="255">
        <f>'תקציב החברה לפיתוח 2019'!G85</f>
        <v>500000</v>
      </c>
      <c r="H109" s="255">
        <f>'תקציב החברה לפיתוח 2019'!H85</f>
        <v>0</v>
      </c>
      <c r="I109" s="255">
        <f>'תקציב החברה לפיתוח 2019'!I85</f>
        <v>0</v>
      </c>
      <c r="J109" s="255">
        <f>'תקציב החברה לפיתוח 2019'!J85</f>
        <v>0</v>
      </c>
      <c r="K109" s="255">
        <f>'תקציב החברה לפיתוח 2019'!K85</f>
        <v>0</v>
      </c>
      <c r="L109" s="255">
        <f>'תקציב החברה לפיתוח 2019'!L85</f>
        <v>0</v>
      </c>
      <c r="M109" s="255">
        <f>'תקציב החברה לפיתוח 2019'!M85</f>
        <v>500000</v>
      </c>
      <c r="N109" s="255">
        <f>'תקציב החברה לפיתוח 2019'!N85</f>
        <v>0</v>
      </c>
      <c r="O109" s="255">
        <f>'תקציב החברה לפיתוח 2019'!O85</f>
        <v>0</v>
      </c>
      <c r="P109" s="255">
        <f>'תקציב החברה לפיתוח 2019'!P85</f>
        <v>500000</v>
      </c>
      <c r="Q109" s="255">
        <f>'תקציב החברה לפיתוח 2019'!Q85</f>
        <v>0</v>
      </c>
      <c r="R109" s="255">
        <f>'תקציב החברה לפיתוח 2019'!R85</f>
        <v>0</v>
      </c>
      <c r="S109" s="255">
        <f>'תקציב החברה לפיתוח 2019'!S85</f>
        <v>0</v>
      </c>
      <c r="T109" s="255">
        <f>'תקציב החברה לפיתוח 2019'!T85</f>
        <v>0</v>
      </c>
      <c r="U109" s="255">
        <f>'תקציב החברה לפיתוח 2019'!U85</f>
        <v>0</v>
      </c>
      <c r="V109" s="255">
        <f>'תקציב החברה לפיתוח 2019'!V85</f>
        <v>0</v>
      </c>
      <c r="W109" s="255">
        <f>'תקציב החברה לפיתוח 2019'!W85</f>
        <v>0</v>
      </c>
      <c r="X109" s="255">
        <f>'תקציב החברה לפיתוח 2019'!X85</f>
        <v>0</v>
      </c>
      <c r="Y109" s="255">
        <f>'תקציב החברה לפיתוח 2019'!Y85</f>
        <v>0</v>
      </c>
      <c r="Z109" s="255">
        <f>'תקציב החברה לפיתוח 2019'!Z85</f>
        <v>0</v>
      </c>
      <c r="AA109" s="428" t="s">
        <v>1078</v>
      </c>
      <c r="AB109" s="254">
        <v>840000</v>
      </c>
      <c r="AE109" s="425"/>
      <c r="AF109" s="258"/>
      <c r="AG109" s="266"/>
      <c r="AH109" s="266"/>
      <c r="AI109" s="266"/>
      <c r="AO109" s="261"/>
    </row>
    <row r="110" spans="1:43" ht="28">
      <c r="A110" s="254">
        <f>A109+1</f>
        <v>97</v>
      </c>
      <c r="B110" s="42">
        <v>2101</v>
      </c>
      <c r="C110" s="254" t="s">
        <v>696</v>
      </c>
      <c r="D110" s="255">
        <f>'תקציב החברה לפיתוח 2019'!D90</f>
        <v>9850000</v>
      </c>
      <c r="E110" s="255">
        <f>'תקציב החברה לפיתוח 2019'!E90</f>
        <v>0</v>
      </c>
      <c r="F110" s="255">
        <f>'תקציב החברה לפיתוח 2019'!F90</f>
        <v>9850000</v>
      </c>
      <c r="G110" s="255">
        <f>'תקציב החברה לפיתוח 2019'!G90</f>
        <v>0</v>
      </c>
      <c r="H110" s="255">
        <f>'תקציב החברה לפיתוח 2019'!H90</f>
        <v>0</v>
      </c>
      <c r="I110" s="255">
        <f>'תקציב החברה לפיתוח 2019'!I90</f>
        <v>0</v>
      </c>
      <c r="J110" s="255">
        <f>'תקציב החברה לפיתוח 2019'!J90</f>
        <v>0</v>
      </c>
      <c r="K110" s="255">
        <f>'תקציב החברה לפיתוח 2019'!K90</f>
        <v>0</v>
      </c>
      <c r="L110" s="255">
        <f>'תקציב החברה לפיתוח 2019'!L90</f>
        <v>0</v>
      </c>
      <c r="M110" s="255">
        <f>'תקציב החברה לפיתוח 2019'!M90</f>
        <v>0</v>
      </c>
      <c r="N110" s="255">
        <f>'תקציב החברה לפיתוח 2019'!N90</f>
        <v>0</v>
      </c>
      <c r="O110" s="255">
        <f>'תקציב החברה לפיתוח 2019'!O90</f>
        <v>9850000</v>
      </c>
      <c r="P110" s="255">
        <f>'תקציב החברה לפיתוח 2019'!P90</f>
        <v>0</v>
      </c>
      <c r="Q110" s="255">
        <f>'תקציב החברה לפיתוח 2019'!Q90</f>
        <v>0</v>
      </c>
      <c r="R110" s="255">
        <f>'תקציב החברה לפיתוח 2019'!R90</f>
        <v>0</v>
      </c>
      <c r="S110" s="255">
        <f>'תקציב החברה לפיתוח 2019'!S90</f>
        <v>0</v>
      </c>
      <c r="T110" s="255">
        <f>'תקציב החברה לפיתוח 2019'!T90</f>
        <v>0</v>
      </c>
      <c r="U110" s="255">
        <f>'תקציב החברה לפיתוח 2019'!U90</f>
        <v>0</v>
      </c>
      <c r="V110" s="255">
        <f>'תקציב החברה לפיתוח 2019'!V90</f>
        <v>0</v>
      </c>
      <c r="W110" s="255">
        <f>'תקציב החברה לפיתוח 2019'!W90</f>
        <v>0</v>
      </c>
      <c r="X110" s="255">
        <f>'תקציב החברה לפיתוח 2019'!X90</f>
        <v>0</v>
      </c>
      <c r="Y110" s="255">
        <f>'תקציב החברה לפיתוח 2019'!Y90</f>
        <v>0</v>
      </c>
      <c r="Z110" s="255">
        <f>'תקציב החברה לפיתוח 2019'!Z90</f>
        <v>0</v>
      </c>
      <c r="AA110" s="428"/>
      <c r="AB110" s="254">
        <v>840000</v>
      </c>
      <c r="AF110" s="258"/>
      <c r="AG110" s="266"/>
      <c r="AH110" s="266"/>
      <c r="AI110" s="266"/>
      <c r="AO110" s="261"/>
    </row>
    <row r="111" spans="1:43" s="642" customFormat="1">
      <c r="A111" s="426"/>
      <c r="B111" s="44"/>
      <c r="C111" s="426" t="s">
        <v>1218</v>
      </c>
      <c r="D111" s="659">
        <f>SUM(D109:D110)</f>
        <v>10350000</v>
      </c>
      <c r="E111" s="659">
        <f t="shared" ref="E111:Z111" si="12">SUM(E109:E110)</f>
        <v>500000</v>
      </c>
      <c r="F111" s="659">
        <f t="shared" si="12"/>
        <v>9850000</v>
      </c>
      <c r="G111" s="659">
        <f t="shared" si="12"/>
        <v>500000</v>
      </c>
      <c r="H111" s="659">
        <f t="shared" si="12"/>
        <v>0</v>
      </c>
      <c r="I111" s="659">
        <f t="shared" si="12"/>
        <v>0</v>
      </c>
      <c r="J111" s="659">
        <f t="shared" si="12"/>
        <v>0</v>
      </c>
      <c r="K111" s="659">
        <f t="shared" si="12"/>
        <v>0</v>
      </c>
      <c r="L111" s="659">
        <f t="shared" si="12"/>
        <v>0</v>
      </c>
      <c r="M111" s="659">
        <f t="shared" si="12"/>
        <v>500000</v>
      </c>
      <c r="N111" s="659">
        <f t="shared" si="12"/>
        <v>0</v>
      </c>
      <c r="O111" s="659">
        <f t="shared" si="12"/>
        <v>9850000</v>
      </c>
      <c r="P111" s="659">
        <f t="shared" si="12"/>
        <v>500000</v>
      </c>
      <c r="Q111" s="659">
        <f t="shared" si="12"/>
        <v>0</v>
      </c>
      <c r="R111" s="659">
        <f t="shared" si="12"/>
        <v>0</v>
      </c>
      <c r="S111" s="659">
        <f t="shared" si="12"/>
        <v>0</v>
      </c>
      <c r="T111" s="659">
        <f t="shared" si="12"/>
        <v>0</v>
      </c>
      <c r="U111" s="659">
        <f t="shared" si="12"/>
        <v>0</v>
      </c>
      <c r="V111" s="659">
        <f t="shared" si="12"/>
        <v>0</v>
      </c>
      <c r="W111" s="659">
        <f t="shared" si="12"/>
        <v>0</v>
      </c>
      <c r="X111" s="659">
        <f t="shared" si="12"/>
        <v>0</v>
      </c>
      <c r="Y111" s="659">
        <f t="shared" si="12"/>
        <v>0</v>
      </c>
      <c r="Z111" s="659">
        <f t="shared" si="12"/>
        <v>0</v>
      </c>
      <c r="AA111" s="664"/>
      <c r="AB111" s="426"/>
      <c r="AC111" s="660"/>
      <c r="AD111" s="622"/>
      <c r="AE111" s="660"/>
      <c r="AF111" s="621"/>
      <c r="AG111" s="622"/>
      <c r="AH111" s="622"/>
      <c r="AI111" s="622"/>
      <c r="AJ111" s="624"/>
      <c r="AK111" s="624"/>
      <c r="AL111" s="624"/>
      <c r="AO111" s="663"/>
    </row>
    <row r="112" spans="1:43" ht="28">
      <c r="A112" s="254">
        <f>A110+1</f>
        <v>98</v>
      </c>
      <c r="B112" s="42">
        <v>2103</v>
      </c>
      <c r="C112" s="254" t="s">
        <v>1053</v>
      </c>
      <c r="D112" s="255">
        <f>'תקציב החברה לפיתוח 2019'!D92</f>
        <v>2500000</v>
      </c>
      <c r="E112" s="255">
        <f>'תקציב החברה לפיתוח 2019'!E92</f>
        <v>0</v>
      </c>
      <c r="F112" s="255">
        <f>'תקציב החברה לפיתוח 2019'!F92</f>
        <v>2500000</v>
      </c>
      <c r="G112" s="255">
        <f>'תקציב החברה לפיתוח 2019'!G92</f>
        <v>0</v>
      </c>
      <c r="H112" s="255">
        <f>'תקציב החברה לפיתוח 2019'!H92</f>
        <v>0</v>
      </c>
      <c r="I112" s="255">
        <f>'תקציב החברה לפיתוח 2019'!I92</f>
        <v>0</v>
      </c>
      <c r="J112" s="255">
        <f>'תקציב החברה לפיתוח 2019'!J92</f>
        <v>0</v>
      </c>
      <c r="K112" s="255">
        <f>'תקציב החברה לפיתוח 2019'!K92</f>
        <v>0</v>
      </c>
      <c r="L112" s="255">
        <f>'תקציב החברה לפיתוח 2019'!L92</f>
        <v>0</v>
      </c>
      <c r="M112" s="255">
        <f>'תקציב החברה לפיתוח 2019'!M92</f>
        <v>0</v>
      </c>
      <c r="N112" s="255">
        <f>'תקציב החברה לפיתוח 2019'!N92</f>
        <v>2500000</v>
      </c>
      <c r="O112" s="255">
        <f>'תקציב החברה לפיתוח 2019'!O92</f>
        <v>0</v>
      </c>
      <c r="P112" s="255">
        <f>'תקציב החברה לפיתוח 2019'!P92</f>
        <v>0</v>
      </c>
      <c r="Q112" s="255">
        <f>'תקציב החברה לפיתוח 2019'!Q92</f>
        <v>0</v>
      </c>
      <c r="R112" s="255">
        <f>'תקציב החברה לפיתוח 2019'!R92</f>
        <v>0</v>
      </c>
      <c r="S112" s="255">
        <f>'תקציב החברה לפיתוח 2019'!S92</f>
        <v>0</v>
      </c>
      <c r="T112" s="255">
        <f>'תקציב החברה לפיתוח 2019'!T92</f>
        <v>0</v>
      </c>
      <c r="U112" s="255">
        <f>'תקציב החברה לפיתוח 2019'!U92</f>
        <v>2500000</v>
      </c>
      <c r="V112" s="255">
        <f>'תקציב החברה לפיתוח 2019'!V92</f>
        <v>0</v>
      </c>
      <c r="W112" s="255">
        <f>'תקציב החברה לפיתוח 2019'!W92</f>
        <v>2500000</v>
      </c>
      <c r="X112" s="255">
        <f>'תקציב החברה לפיתוח 2019'!X92</f>
        <v>0</v>
      </c>
      <c r="Y112" s="255">
        <f>'תקציב החברה לפיתוח 2019'!Y92</f>
        <v>0</v>
      </c>
      <c r="Z112" s="255">
        <f>'תקציב החברה לפיתוח 2019'!Z92</f>
        <v>0</v>
      </c>
      <c r="AA112" s="428"/>
      <c r="AB112" s="254">
        <v>848000</v>
      </c>
      <c r="AF112" s="258"/>
      <c r="AG112" s="266"/>
      <c r="AH112" s="266"/>
      <c r="AI112" s="266"/>
      <c r="AO112" s="261"/>
    </row>
    <row r="113" spans="1:43" s="642" customFormat="1">
      <c r="A113" s="426"/>
      <c r="B113" s="44"/>
      <c r="C113" s="426" t="s">
        <v>1278</v>
      </c>
      <c r="D113" s="659">
        <f>SUM(D112)</f>
        <v>2500000</v>
      </c>
      <c r="E113" s="659">
        <f t="shared" ref="E113:Z113" si="13">SUM(E112)</f>
        <v>0</v>
      </c>
      <c r="F113" s="659">
        <f t="shared" si="13"/>
        <v>2500000</v>
      </c>
      <c r="G113" s="659">
        <f t="shared" si="13"/>
        <v>0</v>
      </c>
      <c r="H113" s="659">
        <f t="shared" si="13"/>
        <v>0</v>
      </c>
      <c r="I113" s="659">
        <f t="shared" si="13"/>
        <v>0</v>
      </c>
      <c r="J113" s="659">
        <f t="shared" si="13"/>
        <v>0</v>
      </c>
      <c r="K113" s="659">
        <f t="shared" si="13"/>
        <v>0</v>
      </c>
      <c r="L113" s="659">
        <f t="shared" si="13"/>
        <v>0</v>
      </c>
      <c r="M113" s="659">
        <f t="shared" si="13"/>
        <v>0</v>
      </c>
      <c r="N113" s="659">
        <f t="shared" si="13"/>
        <v>2500000</v>
      </c>
      <c r="O113" s="659">
        <f t="shared" si="13"/>
        <v>0</v>
      </c>
      <c r="P113" s="659">
        <f t="shared" si="13"/>
        <v>0</v>
      </c>
      <c r="Q113" s="659">
        <f t="shared" si="13"/>
        <v>0</v>
      </c>
      <c r="R113" s="659">
        <f t="shared" si="13"/>
        <v>0</v>
      </c>
      <c r="S113" s="659">
        <f t="shared" si="13"/>
        <v>0</v>
      </c>
      <c r="T113" s="659">
        <f t="shared" si="13"/>
        <v>0</v>
      </c>
      <c r="U113" s="659">
        <f t="shared" si="13"/>
        <v>2500000</v>
      </c>
      <c r="V113" s="659">
        <f t="shared" si="13"/>
        <v>0</v>
      </c>
      <c r="W113" s="659">
        <f t="shared" si="13"/>
        <v>2500000</v>
      </c>
      <c r="X113" s="659">
        <f t="shared" si="13"/>
        <v>0</v>
      </c>
      <c r="Y113" s="659">
        <f t="shared" si="13"/>
        <v>0</v>
      </c>
      <c r="Z113" s="659">
        <f t="shared" si="13"/>
        <v>0</v>
      </c>
      <c r="AA113" s="664"/>
      <c r="AB113" s="426"/>
      <c r="AC113" s="660"/>
      <c r="AD113" s="622"/>
      <c r="AE113" s="660"/>
      <c r="AF113" s="621"/>
      <c r="AG113" s="622"/>
      <c r="AH113" s="622"/>
      <c r="AI113" s="622"/>
      <c r="AJ113" s="624"/>
      <c r="AK113" s="624"/>
      <c r="AL113" s="624"/>
      <c r="AO113" s="663"/>
    </row>
    <row r="114" spans="1:43" ht="28">
      <c r="A114" s="254">
        <f>A112+1</f>
        <v>99</v>
      </c>
      <c r="B114" s="427">
        <v>1837</v>
      </c>
      <c r="C114" s="254" t="s">
        <v>209</v>
      </c>
      <c r="D114" s="255">
        <f>'תקציב החברה לפיתוח 2019'!D46</f>
        <v>3200000</v>
      </c>
      <c r="E114" s="255">
        <f>'תקציב החברה לפיתוח 2019'!E46</f>
        <v>3200000</v>
      </c>
      <c r="F114" s="255">
        <f>'תקציב החברה לפיתוח 2019'!F46</f>
        <v>0</v>
      </c>
      <c r="G114" s="255">
        <f>'תקציב החברה לפיתוח 2019'!G46</f>
        <v>3200000</v>
      </c>
      <c r="H114" s="255">
        <f>'תקציב החברה לפיתוח 2019'!H46</f>
        <v>787498</v>
      </c>
      <c r="I114" s="255">
        <f>'תקציב החברה לפיתוח 2019'!I46</f>
        <v>0</v>
      </c>
      <c r="J114" s="255">
        <f>'תקציב החברה לפיתוח 2019'!J46</f>
        <v>1227495</v>
      </c>
      <c r="K114" s="255">
        <f>'תקציב החברה לפיתוח 2019'!K46</f>
        <v>1227495</v>
      </c>
      <c r="L114" s="255">
        <f>'תקציב החברה לפיתוח 2019'!L46</f>
        <v>2014993</v>
      </c>
      <c r="M114" s="255">
        <f>'תקציב החברה לפיתוח 2019'!M46</f>
        <v>1185007</v>
      </c>
      <c r="N114" s="255">
        <f>'תקציב החברה לפיתוח 2019'!N46</f>
        <v>0</v>
      </c>
      <c r="O114" s="255">
        <f>'תקציב החברה לפיתוח 2019'!O46</f>
        <v>0</v>
      </c>
      <c r="P114" s="255">
        <f>'תקציב החברה לפיתוח 2019'!P46</f>
        <v>1185007</v>
      </c>
      <c r="Q114" s="255">
        <f>'תקציב החברה לפיתוח 2019'!Q46</f>
        <v>0</v>
      </c>
      <c r="R114" s="255">
        <f>'תקציב החברה לפיתוח 2019'!R46</f>
        <v>0</v>
      </c>
      <c r="S114" s="255">
        <f>'תקציב החברה לפיתוח 2019'!S46</f>
        <v>0</v>
      </c>
      <c r="T114" s="255">
        <f>'תקציב החברה לפיתוח 2019'!T46</f>
        <v>0</v>
      </c>
      <c r="U114" s="255">
        <f>'תקציב החברה לפיתוח 2019'!U46</f>
        <v>0</v>
      </c>
      <c r="V114" s="255">
        <f>'תקציב החברה לפיתוח 2019'!V46</f>
        <v>0</v>
      </c>
      <c r="W114" s="255">
        <f>'תקציב החברה לפיתוח 2019'!W46</f>
        <v>0</v>
      </c>
      <c r="X114" s="255">
        <f>'תקציב החברה לפיתוח 2019'!X46</f>
        <v>0</v>
      </c>
      <c r="Y114" s="255">
        <f>'תקציב החברה לפיתוח 2019'!Y46</f>
        <v>0</v>
      </c>
      <c r="Z114" s="255">
        <f>'תקציב החברה לפיתוח 2019'!Z46</f>
        <v>0</v>
      </c>
      <c r="AA114" s="254"/>
      <c r="AB114" s="254">
        <v>850000</v>
      </c>
      <c r="AE114" s="425"/>
      <c r="AF114" s="258"/>
      <c r="AG114" s="266"/>
      <c r="AH114" s="266"/>
      <c r="AI114" s="266"/>
    </row>
    <row r="115" spans="1:43">
      <c r="A115" s="254">
        <f>A114+1</f>
        <v>100</v>
      </c>
      <c r="B115" s="254">
        <v>2021</v>
      </c>
      <c r="C115" s="254" t="s">
        <v>537</v>
      </c>
      <c r="D115" s="255">
        <f>'תקציב החברה לפיתוח 2019'!D72</f>
        <v>8200000</v>
      </c>
      <c r="E115" s="255">
        <f>'תקציב החברה לפיתוח 2019'!E72</f>
        <v>500000</v>
      </c>
      <c r="F115" s="255">
        <f>'תקציב החברה לפיתוח 2019'!F72</f>
        <v>7700000</v>
      </c>
      <c r="G115" s="255">
        <f>'תקציב החברה לפיתוח 2019'!G72</f>
        <v>150000</v>
      </c>
      <c r="H115" s="255">
        <f>'תקציב החברה לפיתוח 2019'!H72</f>
        <v>34106</v>
      </c>
      <c r="I115" s="255">
        <f>'תקציב החברה לפיתוח 2019'!I72</f>
        <v>0</v>
      </c>
      <c r="J115" s="255">
        <f>'תקציב החברה לפיתוח 2019'!J72</f>
        <v>115890</v>
      </c>
      <c r="K115" s="255">
        <f>'תקציב החברה לפיתוח 2019'!K72</f>
        <v>115890</v>
      </c>
      <c r="L115" s="255">
        <f>'תקציב החברה לפיתוח 2019'!L72</f>
        <v>149996</v>
      </c>
      <c r="M115" s="255">
        <f>'תקציב החברה לפיתוח 2019'!M72</f>
        <v>350004</v>
      </c>
      <c r="N115" s="255">
        <f>'תקציב החברה לפיתוח 2019'!N72</f>
        <v>2500000</v>
      </c>
      <c r="O115" s="255">
        <f>'תקציב החברה לפיתוח 2019'!O72</f>
        <v>5200000</v>
      </c>
      <c r="P115" s="255">
        <f>'תקציב החברה לפיתוח 2019'!P72</f>
        <v>4</v>
      </c>
      <c r="Q115" s="255">
        <f>'תקציב החברה לפיתוח 2019'!Q72</f>
        <v>350000</v>
      </c>
      <c r="R115" s="255">
        <f>'תקציב החברה לפיתוח 2019'!R72</f>
        <v>0</v>
      </c>
      <c r="S115" s="255">
        <f>'תקציב החברה לפיתוח 2019'!S72</f>
        <v>350000</v>
      </c>
      <c r="T115" s="255">
        <f>'תקציב החברה לפיתוח 2019'!T72</f>
        <v>0</v>
      </c>
      <c r="U115" s="255">
        <f>'תקציב החברה לפיתוח 2019'!U72</f>
        <v>2500000</v>
      </c>
      <c r="V115" s="255">
        <f>'תקציב החברה לפיתוח 2019'!V72</f>
        <v>2500000</v>
      </c>
      <c r="W115" s="255">
        <f>'תקציב החברה לפיתוח 2019'!W72</f>
        <v>0</v>
      </c>
      <c r="X115" s="255">
        <f>'תקציב החברה לפיתוח 2019'!X72</f>
        <v>0</v>
      </c>
      <c r="Y115" s="255">
        <f>'תקציב החברה לפיתוח 2019'!Y72</f>
        <v>0</v>
      </c>
      <c r="Z115" s="255">
        <f>'תקציב החברה לפיתוח 2019'!Z72</f>
        <v>0</v>
      </c>
      <c r="AA115" s="254"/>
      <c r="AB115" s="254">
        <v>850000</v>
      </c>
      <c r="AE115" s="425"/>
      <c r="AF115" s="258"/>
      <c r="AG115" s="258"/>
      <c r="AH115" s="258"/>
      <c r="AI115" s="258"/>
      <c r="AM115" s="258"/>
      <c r="AN115" s="258"/>
      <c r="AO115" s="258"/>
      <c r="AP115" s="258"/>
      <c r="AQ115" s="258"/>
    </row>
    <row r="116" spans="1:43" ht="42">
      <c r="A116" s="254">
        <f>A115+1</f>
        <v>101</v>
      </c>
      <c r="B116" s="427">
        <v>2076</v>
      </c>
      <c r="C116" s="254" t="s">
        <v>722</v>
      </c>
      <c r="D116" s="255">
        <f>'תקציב החברה לפיתוח 2019'!D84</f>
        <v>1450000</v>
      </c>
      <c r="E116" s="255">
        <f>'תקציב החברה לפיתוח 2019'!E84</f>
        <v>1450000</v>
      </c>
      <c r="F116" s="255">
        <f>'תקציב החברה לפיתוח 2019'!F84</f>
        <v>0</v>
      </c>
      <c r="G116" s="255">
        <f>'תקציב החברה לפיתוח 2019'!G84</f>
        <v>250000</v>
      </c>
      <c r="H116" s="255">
        <f>'תקציב החברה לפיתוח 2019'!H84</f>
        <v>0</v>
      </c>
      <c r="I116" s="255">
        <f>'תקציב החברה לפיתוח 2019'!I84</f>
        <v>0</v>
      </c>
      <c r="J116" s="255">
        <f>'תקציב החברה לפיתוח 2019'!J84</f>
        <v>0</v>
      </c>
      <c r="K116" s="255">
        <f>'תקציב החברה לפיתוח 2019'!K84</f>
        <v>0</v>
      </c>
      <c r="L116" s="255">
        <f>'תקציב החברה לפיתוח 2019'!L84</f>
        <v>0</v>
      </c>
      <c r="M116" s="255">
        <f>'תקציב החברה לפיתוח 2019'!M84</f>
        <v>250000</v>
      </c>
      <c r="N116" s="255">
        <f>'תקציב החברה לפיתוח 2019'!N84</f>
        <v>1200000</v>
      </c>
      <c r="O116" s="255">
        <f>'תקציב החברה לפיתוח 2019'!O84</f>
        <v>0</v>
      </c>
      <c r="P116" s="255">
        <f>'תקציב החברה לפיתוח 2019'!P84</f>
        <v>250000</v>
      </c>
      <c r="Q116" s="255">
        <f>'תקציב החברה לפיתוח 2019'!Q84</f>
        <v>0</v>
      </c>
      <c r="R116" s="255">
        <f>'תקציב החברה לפיתוח 2019'!R84</f>
        <v>0</v>
      </c>
      <c r="S116" s="255">
        <f>'תקציב החברה לפיתוח 2019'!S84</f>
        <v>0</v>
      </c>
      <c r="T116" s="255">
        <f>'תקציב החברה לפיתוח 2019'!T84</f>
        <v>0</v>
      </c>
      <c r="U116" s="255">
        <f>'תקציב החברה לפיתוח 2019'!U84</f>
        <v>1200000</v>
      </c>
      <c r="V116" s="255">
        <f>'תקציב החברה לפיתוח 2019'!V84</f>
        <v>1200000</v>
      </c>
      <c r="W116" s="255">
        <f>'תקציב החברה לפיתוח 2019'!W84</f>
        <v>0</v>
      </c>
      <c r="X116" s="255">
        <f>'תקציב החברה לפיתוח 2019'!X84</f>
        <v>0</v>
      </c>
      <c r="Y116" s="255">
        <f>'תקציב החברה לפיתוח 2019'!Y84</f>
        <v>0</v>
      </c>
      <c r="Z116" s="255">
        <f>'תקציב החברה לפיתוח 2019'!Z84</f>
        <v>0</v>
      </c>
      <c r="AA116" s="254" t="s">
        <v>1077</v>
      </c>
      <c r="AB116" s="254">
        <v>850000</v>
      </c>
      <c r="AE116" s="425"/>
      <c r="AF116" s="258"/>
      <c r="AG116" s="266"/>
      <c r="AH116" s="266"/>
      <c r="AI116" s="266"/>
    </row>
    <row r="117" spans="1:43" s="642" customFormat="1">
      <c r="A117" s="426"/>
      <c r="B117" s="662"/>
      <c r="C117" s="426" t="s">
        <v>1223</v>
      </c>
      <c r="D117" s="659">
        <f>SUM(D114:D116)</f>
        <v>12850000</v>
      </c>
      <c r="E117" s="659">
        <f t="shared" ref="E117:Z117" si="14">SUM(E114:E116)</f>
        <v>5150000</v>
      </c>
      <c r="F117" s="659">
        <f t="shared" si="14"/>
        <v>7700000</v>
      </c>
      <c r="G117" s="659">
        <f t="shared" si="14"/>
        <v>3600000</v>
      </c>
      <c r="H117" s="659">
        <f t="shared" si="14"/>
        <v>821604</v>
      </c>
      <c r="I117" s="659">
        <f t="shared" si="14"/>
        <v>0</v>
      </c>
      <c r="J117" s="659">
        <f t="shared" si="14"/>
        <v>1343385</v>
      </c>
      <c r="K117" s="659">
        <f t="shared" si="14"/>
        <v>1343385</v>
      </c>
      <c r="L117" s="659">
        <f t="shared" si="14"/>
        <v>2164989</v>
      </c>
      <c r="M117" s="659">
        <f t="shared" si="14"/>
        <v>1785011</v>
      </c>
      <c r="N117" s="659">
        <f t="shared" si="14"/>
        <v>3700000</v>
      </c>
      <c r="O117" s="659">
        <f t="shared" si="14"/>
        <v>5200000</v>
      </c>
      <c r="P117" s="659">
        <f t="shared" si="14"/>
        <v>1435011</v>
      </c>
      <c r="Q117" s="659">
        <f t="shared" si="14"/>
        <v>350000</v>
      </c>
      <c r="R117" s="659">
        <f t="shared" si="14"/>
        <v>0</v>
      </c>
      <c r="S117" s="659">
        <f t="shared" si="14"/>
        <v>350000</v>
      </c>
      <c r="T117" s="659">
        <f t="shared" si="14"/>
        <v>0</v>
      </c>
      <c r="U117" s="659">
        <f t="shared" si="14"/>
        <v>3700000</v>
      </c>
      <c r="V117" s="659">
        <f t="shared" si="14"/>
        <v>3700000</v>
      </c>
      <c r="W117" s="659">
        <f t="shared" si="14"/>
        <v>0</v>
      </c>
      <c r="X117" s="659">
        <f t="shared" si="14"/>
        <v>0</v>
      </c>
      <c r="Y117" s="659">
        <f t="shared" si="14"/>
        <v>0</v>
      </c>
      <c r="Z117" s="659">
        <f t="shared" si="14"/>
        <v>0</v>
      </c>
      <c r="AA117" s="426"/>
      <c r="AB117" s="426"/>
      <c r="AC117" s="660"/>
      <c r="AD117" s="622"/>
      <c r="AE117" s="661"/>
      <c r="AF117" s="621"/>
      <c r="AG117" s="622"/>
      <c r="AH117" s="622"/>
      <c r="AI117" s="622"/>
      <c r="AJ117" s="624"/>
      <c r="AK117" s="624"/>
      <c r="AL117" s="624"/>
    </row>
    <row r="118" spans="1:43" ht="56">
      <c r="A118" s="254">
        <f>A116+1</f>
        <v>102</v>
      </c>
      <c r="B118" s="254">
        <v>1312</v>
      </c>
      <c r="C118" s="254" t="s">
        <v>41</v>
      </c>
      <c r="D118" s="255">
        <f>'תקציב החברה לפיתוח 2019'!D15</f>
        <v>109500000</v>
      </c>
      <c r="E118" s="255">
        <f>'תקציב החברה לפיתוח 2019'!E15</f>
        <v>121000000</v>
      </c>
      <c r="F118" s="255">
        <f>'תקציב החברה לפיתוח 2019'!F15</f>
        <v>-11500000</v>
      </c>
      <c r="G118" s="255">
        <f>'תקציב החברה לפיתוח 2019'!G15</f>
        <v>109500000</v>
      </c>
      <c r="H118" s="255">
        <f>'תקציב החברה לפיתוח 2019'!H15</f>
        <v>100850839</v>
      </c>
      <c r="I118" s="255">
        <f>'תקציב החברה לפיתוח 2019'!I15</f>
        <v>0</v>
      </c>
      <c r="J118" s="255">
        <f>'תקציב החברה לפיתוח 2019'!J15</f>
        <v>7828114</v>
      </c>
      <c r="K118" s="255">
        <f>'תקציב החברה לפיתוח 2019'!K15</f>
        <v>7828114</v>
      </c>
      <c r="L118" s="255">
        <f>'תקציב החברה לפיתוח 2019'!L15</f>
        <v>108678953</v>
      </c>
      <c r="M118" s="255">
        <f>'תקציב החברה לפיתוח 2019'!M15</f>
        <v>821047</v>
      </c>
      <c r="N118" s="255">
        <f>'תקציב החברה לפיתוח 2019'!N15</f>
        <v>0</v>
      </c>
      <c r="O118" s="255">
        <f>'תקציב החברה לפיתוח 2019'!O15</f>
        <v>0</v>
      </c>
      <c r="P118" s="255">
        <f>'תקציב החברה לפיתוח 2019'!P15</f>
        <v>821047</v>
      </c>
      <c r="Q118" s="255">
        <f>'תקציב החברה לפיתוח 2019'!Q15</f>
        <v>0</v>
      </c>
      <c r="R118" s="255">
        <f>'תקציב החברה לפיתוח 2019'!R15</f>
        <v>0</v>
      </c>
      <c r="S118" s="255">
        <f>'תקציב החברה לפיתוח 2019'!S15</f>
        <v>0</v>
      </c>
      <c r="T118" s="255">
        <f>'תקציב החברה לפיתוח 2019'!T15</f>
        <v>0</v>
      </c>
      <c r="U118" s="255">
        <f>'תקציב החברה לפיתוח 2019'!U15</f>
        <v>0</v>
      </c>
      <c r="V118" s="255">
        <f>'תקציב החברה לפיתוח 2019'!V15</f>
        <v>0</v>
      </c>
      <c r="W118" s="255">
        <f>'תקציב החברה לפיתוח 2019'!W15</f>
        <v>0</v>
      </c>
      <c r="X118" s="255">
        <f>'תקציב החברה לפיתוח 2019'!X15</f>
        <v>0</v>
      </c>
      <c r="Y118" s="255">
        <f>'תקציב החברה לפיתוח 2019'!Y15</f>
        <v>0</v>
      </c>
      <c r="Z118" s="255">
        <f>'תקציב החברה לפיתוח 2019'!Z15</f>
        <v>0</v>
      </c>
      <c r="AA118" s="254" t="s">
        <v>1056</v>
      </c>
      <c r="AB118" s="254">
        <v>930000</v>
      </c>
      <c r="AE118" s="425"/>
      <c r="AF118" s="258"/>
      <c r="AG118" s="258"/>
      <c r="AH118" s="258"/>
      <c r="AI118" s="258"/>
      <c r="AM118" s="258"/>
      <c r="AN118" s="258"/>
      <c r="AO118" s="258"/>
      <c r="AP118" s="258"/>
      <c r="AQ118" s="258"/>
    </row>
    <row r="119" spans="1:43">
      <c r="A119" s="254">
        <f>A118+1</f>
        <v>103</v>
      </c>
      <c r="B119" s="254">
        <v>1836</v>
      </c>
      <c r="C119" s="254" t="s">
        <v>194</v>
      </c>
      <c r="D119" s="255">
        <f>'תקציב החברה לפיתוח 2019'!D45</f>
        <v>500000</v>
      </c>
      <c r="E119" s="255">
        <f>'תקציב החברה לפיתוח 2019'!E45</f>
        <v>500000</v>
      </c>
      <c r="F119" s="255">
        <f>'תקציב החברה לפיתוח 2019'!F45</f>
        <v>0</v>
      </c>
      <c r="G119" s="255">
        <f>'תקציב החברה לפיתוח 2019'!G45</f>
        <v>500000</v>
      </c>
      <c r="H119" s="255">
        <f>'תקציב החברה לפיתוח 2019'!H45</f>
        <v>375301</v>
      </c>
      <c r="I119" s="255">
        <f>'תקציב החברה לפיתוח 2019'!I45</f>
        <v>0</v>
      </c>
      <c r="J119" s="255">
        <f>'תקציב החברה לפיתוח 2019'!J45</f>
        <v>124609.99</v>
      </c>
      <c r="K119" s="255">
        <f>'תקציב החברה לפיתוח 2019'!K45</f>
        <v>124609.99</v>
      </c>
      <c r="L119" s="255">
        <f>'תקציב החברה לפיתוח 2019'!L45</f>
        <v>499910.99</v>
      </c>
      <c r="M119" s="255">
        <f>'תקציב החברה לפיתוח 2019'!M45</f>
        <v>89.010000000009313</v>
      </c>
      <c r="N119" s="255">
        <f>'תקציב החברה לפיתוח 2019'!N45</f>
        <v>0</v>
      </c>
      <c r="O119" s="255">
        <f>'תקציב החברה לפיתוח 2019'!O45</f>
        <v>0</v>
      </c>
      <c r="P119" s="255">
        <f>'תקציב החברה לפיתוח 2019'!P45</f>
        <v>89.010000000009313</v>
      </c>
      <c r="Q119" s="255">
        <f>'תקציב החברה לפיתוח 2019'!Q45</f>
        <v>0</v>
      </c>
      <c r="R119" s="255">
        <f>'תקציב החברה לפיתוח 2019'!R45</f>
        <v>0</v>
      </c>
      <c r="S119" s="255">
        <f>'תקציב החברה לפיתוח 2019'!S45</f>
        <v>0</v>
      </c>
      <c r="T119" s="255">
        <f>'תקציב החברה לפיתוח 2019'!T45</f>
        <v>0</v>
      </c>
      <c r="U119" s="255">
        <f>'תקציב החברה לפיתוח 2019'!U45</f>
        <v>0</v>
      </c>
      <c r="V119" s="255">
        <f>'תקציב החברה לפיתוח 2019'!V45</f>
        <v>0</v>
      </c>
      <c r="W119" s="255">
        <f>'תקציב החברה לפיתוח 2019'!W45</f>
        <v>0</v>
      </c>
      <c r="X119" s="255">
        <f>'תקציב החברה לפיתוח 2019'!X45</f>
        <v>0</v>
      </c>
      <c r="Y119" s="255">
        <f>'תקציב החברה לפיתוח 2019'!Y45</f>
        <v>0</v>
      </c>
      <c r="Z119" s="255">
        <f>'תקציב החברה לפיתוח 2019'!Z45</f>
        <v>0</v>
      </c>
      <c r="AA119" s="254"/>
      <c r="AB119" s="254">
        <v>930000</v>
      </c>
      <c r="AE119" s="425"/>
      <c r="AF119" s="258"/>
      <c r="AG119" s="258"/>
      <c r="AH119" s="258"/>
      <c r="AI119" s="258"/>
      <c r="AM119" s="258"/>
      <c r="AN119" s="258"/>
      <c r="AO119" s="258"/>
      <c r="AP119" s="258"/>
      <c r="AQ119" s="258"/>
    </row>
    <row r="120" spans="1:43">
      <c r="A120" s="254">
        <f>A119+1</f>
        <v>104</v>
      </c>
      <c r="B120" s="427">
        <v>1903</v>
      </c>
      <c r="C120" s="254" t="s">
        <v>212</v>
      </c>
      <c r="D120" s="255">
        <f>'תקציב החברה לפיתוח 2019'!D54</f>
        <v>1700000</v>
      </c>
      <c r="E120" s="255">
        <f>'תקציב החברה לפיתוח 2019'!E54</f>
        <v>1700000</v>
      </c>
      <c r="F120" s="255">
        <f>'תקציב החברה לפיתוח 2019'!F54</f>
        <v>0</v>
      </c>
      <c r="G120" s="255">
        <f>'תקציב החברה לפיתוח 2019'!G54</f>
        <v>1700000</v>
      </c>
      <c r="H120" s="255">
        <f>'תקציב החברה לפיתוח 2019'!H54</f>
        <v>1613350</v>
      </c>
      <c r="I120" s="255">
        <f>'תקציב החברה לפיתוח 2019'!I54</f>
        <v>0</v>
      </c>
      <c r="J120" s="255">
        <f>'תקציב החברה לפיתוח 2019'!J54</f>
        <v>86645.62</v>
      </c>
      <c r="K120" s="255">
        <f>'תקציב החברה לפיתוח 2019'!K54</f>
        <v>86645.62</v>
      </c>
      <c r="L120" s="255">
        <f>'תקציב החברה לפיתוח 2019'!L54</f>
        <v>1699995.62</v>
      </c>
      <c r="M120" s="255">
        <f>'תקציב החברה לפיתוח 2019'!M54</f>
        <v>4.3799999998882413</v>
      </c>
      <c r="N120" s="255">
        <f>'תקציב החברה לפיתוח 2019'!N54</f>
        <v>0</v>
      </c>
      <c r="O120" s="255">
        <f>'תקציב החברה לפיתוח 2019'!O54</f>
        <v>0</v>
      </c>
      <c r="P120" s="255">
        <f>'תקציב החברה לפיתוח 2019'!P54</f>
        <v>4.3799999998882413</v>
      </c>
      <c r="Q120" s="255">
        <f>'תקציב החברה לפיתוח 2019'!Q54</f>
        <v>0</v>
      </c>
      <c r="R120" s="255">
        <f>'תקציב החברה לפיתוח 2019'!R54</f>
        <v>0</v>
      </c>
      <c r="S120" s="255">
        <f>'תקציב החברה לפיתוח 2019'!S54</f>
        <v>0</v>
      </c>
      <c r="T120" s="255">
        <f>'תקציב החברה לפיתוח 2019'!T54</f>
        <v>0</v>
      </c>
      <c r="U120" s="255">
        <f>'תקציב החברה לפיתוח 2019'!U54</f>
        <v>0</v>
      </c>
      <c r="V120" s="255">
        <f>'תקציב החברה לפיתוח 2019'!V54</f>
        <v>0</v>
      </c>
      <c r="W120" s="255">
        <f>'תקציב החברה לפיתוח 2019'!W54</f>
        <v>0</v>
      </c>
      <c r="X120" s="255">
        <f>'תקציב החברה לפיתוח 2019'!X54</f>
        <v>0</v>
      </c>
      <c r="Y120" s="255">
        <f>'תקציב החברה לפיתוח 2019'!Y54</f>
        <v>0</v>
      </c>
      <c r="Z120" s="255">
        <f>'תקציב החברה לפיתוח 2019'!Z54</f>
        <v>0</v>
      </c>
      <c r="AA120" s="254"/>
      <c r="AB120" s="254">
        <v>930000</v>
      </c>
      <c r="AE120" s="425"/>
      <c r="AF120" s="258"/>
      <c r="AG120" s="266"/>
      <c r="AH120" s="266"/>
      <c r="AI120" s="266"/>
    </row>
    <row r="121" spans="1:43">
      <c r="A121" s="254">
        <f>A120+1</f>
        <v>105</v>
      </c>
      <c r="B121" s="427">
        <v>2062</v>
      </c>
      <c r="C121" s="254" t="s">
        <v>720</v>
      </c>
      <c r="D121" s="255">
        <f>'תקציב החברה לפיתוח 2019'!D80</f>
        <v>1200000</v>
      </c>
      <c r="E121" s="255">
        <f>'תקציב החברה לפיתוח 2019'!E80</f>
        <v>1200000</v>
      </c>
      <c r="F121" s="255">
        <f>'תקציב החברה לפיתוח 2019'!F80</f>
        <v>0</v>
      </c>
      <c r="G121" s="255">
        <f>'תקציב החברה לפיתוח 2019'!G80</f>
        <v>1200000</v>
      </c>
      <c r="H121" s="255">
        <f>'תקציב החברה לפיתוח 2019'!H80</f>
        <v>698660</v>
      </c>
      <c r="I121" s="255">
        <f>'תקציב החברה לפיתוח 2019'!I80</f>
        <v>0</v>
      </c>
      <c r="J121" s="255">
        <f>'תקציב החברה לפיתוח 2019'!J80</f>
        <v>36525</v>
      </c>
      <c r="K121" s="255">
        <f>'תקציב החברה לפיתוח 2019'!K80</f>
        <v>36525</v>
      </c>
      <c r="L121" s="255">
        <f>'תקציב החברה לפיתוח 2019'!L80</f>
        <v>735185</v>
      </c>
      <c r="M121" s="255">
        <f>'תקציב החברה לפיתוח 2019'!M80</f>
        <v>464815</v>
      </c>
      <c r="N121" s="255">
        <f>'תקציב החברה לפיתוח 2019'!N80</f>
        <v>0</v>
      </c>
      <c r="O121" s="255">
        <f>'תקציב החברה לפיתוח 2019'!O80</f>
        <v>0</v>
      </c>
      <c r="P121" s="255">
        <f>'תקציב החברה לפיתוח 2019'!P80</f>
        <v>464815</v>
      </c>
      <c r="Q121" s="255">
        <f>'תקציב החברה לפיתוח 2019'!Q80</f>
        <v>0</v>
      </c>
      <c r="R121" s="255">
        <f>'תקציב החברה לפיתוח 2019'!R80</f>
        <v>0</v>
      </c>
      <c r="S121" s="255">
        <f>'תקציב החברה לפיתוח 2019'!S80</f>
        <v>0</v>
      </c>
      <c r="T121" s="255">
        <f>'תקציב החברה לפיתוח 2019'!T80</f>
        <v>0</v>
      </c>
      <c r="U121" s="255">
        <f>'תקציב החברה לפיתוח 2019'!U80</f>
        <v>0</v>
      </c>
      <c r="V121" s="255">
        <f>'תקציב החברה לפיתוח 2019'!V80</f>
        <v>0</v>
      </c>
      <c r="W121" s="255">
        <f>'תקציב החברה לפיתוח 2019'!W80</f>
        <v>0</v>
      </c>
      <c r="X121" s="255">
        <f>'תקציב החברה לפיתוח 2019'!X80</f>
        <v>0</v>
      </c>
      <c r="Y121" s="255">
        <f>'תקציב החברה לפיתוח 2019'!Y80</f>
        <v>0</v>
      </c>
      <c r="Z121" s="255">
        <f>'תקציב החברה לפיתוח 2019'!Z80</f>
        <v>0</v>
      </c>
      <c r="AA121" s="254"/>
      <c r="AB121" s="254">
        <v>930000</v>
      </c>
      <c r="AE121" s="425"/>
      <c r="AF121" s="258"/>
      <c r="AG121" s="266"/>
      <c r="AH121" s="266"/>
      <c r="AI121" s="266"/>
    </row>
    <row r="122" spans="1:43" s="642" customFormat="1">
      <c r="A122" s="426"/>
      <c r="B122" s="662"/>
      <c r="C122" s="426" t="s">
        <v>1210</v>
      </c>
      <c r="D122" s="659">
        <f>SUM(D118:D121)</f>
        <v>112900000</v>
      </c>
      <c r="E122" s="659">
        <f t="shared" ref="E122:Z122" si="15">SUM(E118:E121)</f>
        <v>124400000</v>
      </c>
      <c r="F122" s="659">
        <f t="shared" si="15"/>
        <v>-11500000</v>
      </c>
      <c r="G122" s="659">
        <f t="shared" si="15"/>
        <v>112900000</v>
      </c>
      <c r="H122" s="659">
        <f t="shared" si="15"/>
        <v>103538150</v>
      </c>
      <c r="I122" s="659">
        <f t="shared" si="15"/>
        <v>0</v>
      </c>
      <c r="J122" s="659">
        <f t="shared" si="15"/>
        <v>8075894.6100000003</v>
      </c>
      <c r="K122" s="659">
        <f t="shared" si="15"/>
        <v>8075894.6100000003</v>
      </c>
      <c r="L122" s="659">
        <f t="shared" si="15"/>
        <v>111614044.61</v>
      </c>
      <c r="M122" s="659">
        <f t="shared" si="15"/>
        <v>1285955.3899999999</v>
      </c>
      <c r="N122" s="659">
        <f t="shared" si="15"/>
        <v>0</v>
      </c>
      <c r="O122" s="659">
        <f t="shared" si="15"/>
        <v>0</v>
      </c>
      <c r="P122" s="659">
        <f t="shared" si="15"/>
        <v>1285955.3899999999</v>
      </c>
      <c r="Q122" s="659">
        <f t="shared" si="15"/>
        <v>0</v>
      </c>
      <c r="R122" s="659">
        <f t="shared" si="15"/>
        <v>0</v>
      </c>
      <c r="S122" s="659">
        <f t="shared" si="15"/>
        <v>0</v>
      </c>
      <c r="T122" s="659">
        <f t="shared" si="15"/>
        <v>0</v>
      </c>
      <c r="U122" s="659">
        <f t="shared" si="15"/>
        <v>0</v>
      </c>
      <c r="V122" s="659">
        <f t="shared" si="15"/>
        <v>0</v>
      </c>
      <c r="W122" s="659">
        <f t="shared" si="15"/>
        <v>0</v>
      </c>
      <c r="X122" s="659">
        <f t="shared" si="15"/>
        <v>0</v>
      </c>
      <c r="Y122" s="659">
        <f t="shared" si="15"/>
        <v>0</v>
      </c>
      <c r="Z122" s="659">
        <f t="shared" si="15"/>
        <v>0</v>
      </c>
      <c r="AA122" s="426"/>
      <c r="AB122" s="426"/>
      <c r="AC122" s="660"/>
      <c r="AD122" s="622"/>
      <c r="AE122" s="661"/>
      <c r="AF122" s="621"/>
      <c r="AG122" s="622"/>
      <c r="AH122" s="622"/>
      <c r="AI122" s="622"/>
      <c r="AJ122" s="624"/>
      <c r="AK122" s="624"/>
      <c r="AL122" s="624"/>
    </row>
    <row r="123" spans="1:43">
      <c r="A123" s="260">
        <f>A121</f>
        <v>105</v>
      </c>
      <c r="B123" s="431"/>
      <c r="C123" s="260" t="s">
        <v>433</v>
      </c>
      <c r="D123" s="262">
        <f>D122+D117+D113+D111+D108+D87+D62+D60+D58+D56+D14+D7</f>
        <v>2499972125</v>
      </c>
      <c r="E123" s="262">
        <f t="shared" ref="E123:Z123" si="16">E122+E117+E113+E111+E108+E87+E62+E60+E58+E56+E14+E7</f>
        <v>2075031725</v>
      </c>
      <c r="F123" s="262">
        <f t="shared" si="16"/>
        <v>424940400</v>
      </c>
      <c r="G123" s="262">
        <f t="shared" si="16"/>
        <v>959889223</v>
      </c>
      <c r="H123" s="262">
        <f t="shared" si="16"/>
        <v>726844010.3599999</v>
      </c>
      <c r="I123" s="262">
        <f t="shared" si="16"/>
        <v>2023721.4800000002</v>
      </c>
      <c r="J123" s="262">
        <f t="shared" si="16"/>
        <v>103699919.32999998</v>
      </c>
      <c r="K123" s="262">
        <f t="shared" si="16"/>
        <v>105723640.80999999</v>
      </c>
      <c r="L123" s="262">
        <f t="shared" si="16"/>
        <v>832567651.16999996</v>
      </c>
      <c r="M123" s="262">
        <f t="shared" si="16"/>
        <v>260752517.83000001</v>
      </c>
      <c r="N123" s="262">
        <f t="shared" si="16"/>
        <v>320047335</v>
      </c>
      <c r="O123" s="262">
        <f t="shared" si="16"/>
        <v>1086604621</v>
      </c>
      <c r="P123" s="262">
        <f t="shared" si="16"/>
        <v>127321571.82999998</v>
      </c>
      <c r="Q123" s="262">
        <f t="shared" si="16"/>
        <v>137425601</v>
      </c>
      <c r="R123" s="262">
        <f t="shared" si="16"/>
        <v>6800000</v>
      </c>
      <c r="S123" s="262">
        <f t="shared" si="16"/>
        <v>144225601</v>
      </c>
      <c r="T123" s="262">
        <f t="shared" si="16"/>
        <v>10794655</v>
      </c>
      <c r="U123" s="262">
        <f t="shared" si="16"/>
        <v>309252680</v>
      </c>
      <c r="V123" s="262">
        <f t="shared" si="16"/>
        <v>193844870</v>
      </c>
      <c r="W123" s="262">
        <f t="shared" si="16"/>
        <v>2500000</v>
      </c>
      <c r="X123" s="262">
        <f t="shared" si="16"/>
        <v>0</v>
      </c>
      <c r="Y123" s="262">
        <f t="shared" si="16"/>
        <v>34722657</v>
      </c>
      <c r="Z123" s="262">
        <f t="shared" si="16"/>
        <v>78185153</v>
      </c>
      <c r="AA123" s="262">
        <f>SUM(AA27:AA110)</f>
        <v>0</v>
      </c>
      <c r="AB123" s="262"/>
      <c r="AF123" s="420"/>
      <c r="AG123" s="432"/>
      <c r="AH123" s="432"/>
      <c r="AI123" s="432"/>
      <c r="AM123" s="433"/>
      <c r="AN123" s="433"/>
      <c r="AO123" s="261"/>
      <c r="AP123" s="433"/>
      <c r="AQ123" s="433"/>
    </row>
    <row r="124" spans="1:43">
      <c r="B124" s="258"/>
      <c r="D124" s="274"/>
      <c r="E124" s="274"/>
      <c r="F124" s="274"/>
      <c r="G124" s="274"/>
      <c r="H124" s="274"/>
      <c r="I124" s="274"/>
      <c r="J124" s="274"/>
      <c r="K124" s="274"/>
      <c r="L124" s="24">
        <f>K123+H123</f>
        <v>832567651.16999984</v>
      </c>
      <c r="M124" s="24">
        <f>P123+S123-T123</f>
        <v>260752517.82999998</v>
      </c>
      <c r="N124" s="274"/>
      <c r="O124" s="274"/>
      <c r="P124" s="24">
        <f>G123-L123</f>
        <v>127321571.83000004</v>
      </c>
      <c r="Q124" s="274"/>
      <c r="R124" s="274"/>
      <c r="S124" s="274"/>
      <c r="U124" s="24">
        <f>N123-T123</f>
        <v>309252680</v>
      </c>
      <c r="V124" s="277"/>
      <c r="W124" s="277"/>
      <c r="X124" s="277"/>
      <c r="AA124" s="590"/>
      <c r="AB124" s="266"/>
      <c r="AF124" s="258"/>
    </row>
    <row r="125" spans="1:43">
      <c r="B125" s="258"/>
      <c r="C125" s="594"/>
      <c r="D125" s="274"/>
      <c r="E125" s="274"/>
      <c r="F125" s="274"/>
      <c r="G125" s="274"/>
      <c r="H125" s="274"/>
      <c r="I125" s="274"/>
      <c r="J125" s="274"/>
      <c r="K125" s="274"/>
      <c r="L125" s="274"/>
      <c r="M125" s="274"/>
      <c r="N125" s="274"/>
      <c r="O125" s="274"/>
      <c r="Q125" s="274"/>
      <c r="R125" s="274"/>
      <c r="S125" s="274"/>
      <c r="U125" s="266"/>
      <c r="V125" s="266"/>
      <c r="W125" s="266"/>
      <c r="X125" s="266"/>
      <c r="Y125" s="266"/>
      <c r="AB125" s="266"/>
      <c r="AF125" s="258"/>
    </row>
    <row r="126" spans="1:43">
      <c r="C126" s="594"/>
      <c r="D126" s="438"/>
      <c r="E126" s="438"/>
      <c r="F126" s="438"/>
      <c r="G126" s="438"/>
      <c r="H126" s="438"/>
      <c r="I126" s="438"/>
      <c r="J126" s="438"/>
      <c r="K126" s="438"/>
      <c r="L126" s="438"/>
      <c r="M126" s="438"/>
      <c r="N126" s="437"/>
      <c r="O126" s="437"/>
      <c r="P126" s="438"/>
      <c r="Q126" s="438"/>
      <c r="R126" s="438"/>
      <c r="S126" s="438"/>
      <c r="W126" s="248"/>
      <c r="X126" s="248"/>
      <c r="AF126" s="258"/>
    </row>
    <row r="127" spans="1:43">
      <c r="C127" s="594"/>
      <c r="D127" s="438"/>
      <c r="E127" s="438"/>
      <c r="F127" s="438"/>
      <c r="G127" s="438"/>
      <c r="H127" s="438"/>
      <c r="I127" s="438"/>
      <c r="J127" s="438"/>
      <c r="K127" s="438"/>
      <c r="L127" s="438"/>
      <c r="M127" s="438"/>
      <c r="N127" s="437"/>
      <c r="O127" s="437"/>
      <c r="P127" s="438"/>
      <c r="Q127" s="438"/>
      <c r="R127" s="438"/>
      <c r="S127" s="438"/>
      <c r="U127" s="248"/>
      <c r="AF127" s="258"/>
    </row>
    <row r="128" spans="1:43">
      <c r="C128" s="594"/>
      <c r="D128" s="438"/>
      <c r="E128" s="438"/>
      <c r="F128" s="438"/>
      <c r="G128" s="438"/>
      <c r="H128" s="438"/>
      <c r="I128" s="438"/>
      <c r="J128" s="438"/>
      <c r="K128" s="438"/>
      <c r="L128" s="438"/>
      <c r="M128" s="438"/>
      <c r="N128" s="437"/>
      <c r="O128" s="437"/>
      <c r="P128" s="438"/>
      <c r="Q128" s="438"/>
      <c r="R128" s="438"/>
      <c r="S128" s="438"/>
      <c r="AF128" s="258"/>
    </row>
    <row r="129" spans="3:33">
      <c r="C129" s="594"/>
      <c r="D129" s="438"/>
      <c r="E129" s="438"/>
      <c r="F129" s="438"/>
      <c r="G129" s="438"/>
      <c r="H129" s="438"/>
      <c r="I129" s="438"/>
      <c r="J129" s="438"/>
      <c r="K129" s="438"/>
      <c r="L129" s="438"/>
      <c r="M129" s="438"/>
      <c r="N129" s="438"/>
      <c r="O129" s="438"/>
      <c r="P129" s="438"/>
      <c r="Q129" s="438"/>
      <c r="R129" s="438"/>
      <c r="S129" s="438"/>
      <c r="AF129" s="258"/>
    </row>
    <row r="130" spans="3:33">
      <c r="C130" s="594"/>
      <c r="D130" s="438"/>
      <c r="E130" s="438"/>
      <c r="F130" s="438"/>
      <c r="G130" s="438"/>
      <c r="H130" s="438"/>
      <c r="I130" s="438"/>
      <c r="J130" s="438"/>
      <c r="K130" s="438"/>
      <c r="L130" s="438"/>
      <c r="M130" s="438"/>
      <c r="N130" s="438"/>
      <c r="O130" s="438"/>
      <c r="P130" s="438"/>
      <c r="Q130" s="438"/>
      <c r="R130" s="438"/>
      <c r="S130" s="438"/>
      <c r="AF130" s="258"/>
    </row>
    <row r="131" spans="3:33">
      <c r="C131" s="594"/>
      <c r="D131" s="438"/>
      <c r="E131" s="438"/>
      <c r="F131" s="438"/>
      <c r="G131" s="438"/>
      <c r="H131" s="438"/>
      <c r="I131" s="438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/>
      <c r="AF131" s="258"/>
    </row>
    <row r="132" spans="3:33">
      <c r="C132" s="594"/>
      <c r="D132" s="438"/>
      <c r="E132" s="438"/>
      <c r="F132" s="438"/>
      <c r="G132" s="438"/>
      <c r="H132" s="438"/>
      <c r="I132" s="438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</row>
    <row r="133" spans="3:33">
      <c r="C133" s="594"/>
      <c r="D133" s="438"/>
      <c r="E133" s="438"/>
      <c r="F133" s="438"/>
      <c r="G133" s="438"/>
      <c r="H133" s="438"/>
      <c r="I133" s="438"/>
      <c r="J133" s="438"/>
      <c r="K133" s="438"/>
      <c r="L133" s="438"/>
      <c r="M133" s="438"/>
      <c r="N133" s="438"/>
      <c r="O133" s="438"/>
      <c r="P133" s="438"/>
      <c r="Q133" s="438"/>
      <c r="R133" s="438"/>
      <c r="S133" s="438"/>
      <c r="AG133" s="248"/>
    </row>
    <row r="134" spans="3:33">
      <c r="C134" s="594"/>
      <c r="D134" s="438"/>
      <c r="E134" s="438"/>
      <c r="F134" s="438"/>
      <c r="G134" s="438"/>
      <c r="H134" s="438"/>
      <c r="I134" s="438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</row>
    <row r="135" spans="3:33">
      <c r="C135" s="594"/>
      <c r="D135" s="438"/>
      <c r="E135" s="438"/>
      <c r="F135" s="438"/>
      <c r="G135" s="438"/>
      <c r="H135" s="438"/>
      <c r="I135" s="438"/>
      <c r="J135" s="438"/>
      <c r="K135" s="438"/>
      <c r="L135" s="438"/>
      <c r="M135" s="438"/>
      <c r="N135" s="438"/>
      <c r="O135" s="438"/>
      <c r="P135" s="438"/>
      <c r="Q135" s="438"/>
      <c r="R135" s="438"/>
      <c r="S135" s="438"/>
    </row>
    <row r="136" spans="3:33">
      <c r="C136" s="594"/>
      <c r="D136" s="438"/>
      <c r="E136" s="438"/>
      <c r="F136" s="438"/>
      <c r="G136" s="438"/>
      <c r="H136" s="438"/>
      <c r="I136" s="438"/>
      <c r="J136" s="438"/>
      <c r="K136" s="438"/>
      <c r="L136" s="438"/>
      <c r="M136" s="438"/>
      <c r="N136" s="438"/>
      <c r="O136" s="438"/>
      <c r="P136" s="438"/>
      <c r="Q136" s="439"/>
      <c r="R136" s="438"/>
      <c r="S136" s="438"/>
    </row>
    <row r="137" spans="3:33">
      <c r="C137" s="594"/>
      <c r="D137" s="438"/>
      <c r="E137" s="438"/>
      <c r="F137" s="438"/>
      <c r="G137" s="438"/>
      <c r="H137" s="438"/>
      <c r="I137" s="438"/>
      <c r="J137" s="438"/>
      <c r="K137" s="438"/>
      <c r="L137" s="438"/>
      <c r="M137" s="438"/>
      <c r="N137" s="437"/>
      <c r="O137" s="437"/>
      <c r="P137" s="438"/>
      <c r="Q137" s="438"/>
      <c r="R137" s="438"/>
      <c r="S137" s="438"/>
    </row>
    <row r="138" spans="3:33">
      <c r="C138" s="594"/>
      <c r="D138" s="438"/>
      <c r="E138" s="438"/>
      <c r="F138" s="438"/>
      <c r="G138" s="438"/>
      <c r="H138" s="438"/>
      <c r="I138" s="438"/>
      <c r="J138" s="438"/>
      <c r="K138" s="438"/>
      <c r="L138" s="438"/>
      <c r="M138" s="438"/>
      <c r="N138" s="438"/>
      <c r="O138" s="438"/>
      <c r="P138" s="437"/>
      <c r="Q138" s="437"/>
      <c r="R138" s="438"/>
      <c r="S138" s="438"/>
    </row>
    <row r="139" spans="3:33">
      <c r="F139" s="438"/>
      <c r="G139" s="438"/>
      <c r="H139" s="438"/>
      <c r="I139" s="438"/>
      <c r="J139" s="438"/>
      <c r="K139" s="438"/>
      <c r="L139" s="438"/>
      <c r="M139" s="438"/>
      <c r="N139" s="438"/>
      <c r="O139" s="438"/>
      <c r="P139" s="437"/>
      <c r="Q139" s="437"/>
      <c r="R139" s="438"/>
      <c r="S139" s="438"/>
      <c r="T139" s="438"/>
    </row>
    <row r="140" spans="3:33">
      <c r="F140" s="438"/>
      <c r="G140" s="438"/>
      <c r="H140" s="438"/>
      <c r="I140" s="438"/>
      <c r="J140" s="438"/>
      <c r="K140" s="438"/>
      <c r="L140" s="438"/>
      <c r="M140" s="438"/>
      <c r="N140" s="438"/>
      <c r="O140" s="438"/>
      <c r="P140" s="438"/>
      <c r="Q140" s="438"/>
      <c r="R140" s="437"/>
      <c r="S140" s="438"/>
      <c r="T140" s="438"/>
    </row>
    <row r="141" spans="3:33">
      <c r="F141" s="438"/>
      <c r="G141" s="438"/>
      <c r="H141" s="438"/>
      <c r="I141" s="438"/>
      <c r="J141" s="438"/>
      <c r="K141" s="438"/>
      <c r="L141" s="438"/>
      <c r="M141" s="438"/>
      <c r="N141" s="438"/>
      <c r="O141" s="438"/>
      <c r="P141" s="438"/>
      <c r="Q141" s="438"/>
      <c r="R141" s="437"/>
      <c r="S141" s="438"/>
      <c r="T141" s="438"/>
    </row>
    <row r="142" spans="3:33">
      <c r="F142" s="438"/>
      <c r="G142" s="438"/>
      <c r="H142" s="438"/>
      <c r="I142" s="438"/>
      <c r="J142" s="438"/>
      <c r="K142" s="438"/>
      <c r="L142" s="438"/>
      <c r="M142" s="438"/>
      <c r="N142" s="438"/>
      <c r="O142" s="438"/>
      <c r="P142" s="438"/>
      <c r="Q142" s="438"/>
      <c r="R142" s="437"/>
      <c r="S142" s="438"/>
      <c r="T142" s="438"/>
    </row>
    <row r="143" spans="3:33">
      <c r="F143" s="438"/>
      <c r="G143" s="438"/>
      <c r="H143" s="438"/>
      <c r="I143" s="438"/>
      <c r="J143" s="438"/>
      <c r="K143" s="438"/>
      <c r="L143" s="438"/>
      <c r="M143" s="438"/>
      <c r="N143" s="438"/>
      <c r="O143" s="438"/>
      <c r="P143" s="438"/>
      <c r="Q143" s="438"/>
      <c r="R143" s="437"/>
      <c r="S143" s="438"/>
      <c r="T143" s="438"/>
    </row>
    <row r="144" spans="3:33">
      <c r="F144" s="438"/>
      <c r="G144" s="438"/>
      <c r="H144" s="438"/>
      <c r="I144" s="438"/>
      <c r="J144" s="438"/>
      <c r="K144" s="438"/>
      <c r="L144" s="438"/>
      <c r="M144" s="438"/>
      <c r="N144" s="438"/>
      <c r="O144" s="438"/>
      <c r="P144" s="438"/>
      <c r="Q144" s="438"/>
      <c r="R144" s="438"/>
      <c r="S144" s="438"/>
      <c r="T144" s="438"/>
    </row>
    <row r="145" spans="6:20">
      <c r="F145" s="438"/>
      <c r="G145" s="438"/>
      <c r="H145" s="438"/>
      <c r="I145" s="438"/>
      <c r="J145" s="438"/>
      <c r="K145" s="438"/>
      <c r="L145" s="438"/>
      <c r="M145" s="438"/>
      <c r="N145" s="438"/>
      <c r="O145" s="438"/>
      <c r="P145" s="438"/>
      <c r="Q145" s="438"/>
      <c r="R145" s="439"/>
      <c r="S145" s="438"/>
      <c r="T145" s="438"/>
    </row>
    <row r="146" spans="6:20">
      <c r="F146" s="438"/>
      <c r="G146" s="438"/>
      <c r="H146" s="438"/>
      <c r="I146" s="438"/>
      <c r="J146" s="438"/>
      <c r="K146" s="438"/>
      <c r="L146" s="438"/>
      <c r="M146" s="438"/>
      <c r="N146" s="438"/>
      <c r="O146" s="438"/>
      <c r="P146" s="438"/>
      <c r="Q146" s="438"/>
      <c r="R146" s="438"/>
      <c r="S146" s="438"/>
      <c r="T146" s="438"/>
    </row>
    <row r="147" spans="6:20">
      <c r="F147" s="438"/>
      <c r="G147" s="438"/>
      <c r="H147" s="438"/>
      <c r="I147" s="438"/>
      <c r="J147" s="438"/>
      <c r="K147" s="438"/>
      <c r="L147" s="438"/>
      <c r="M147" s="438"/>
      <c r="N147" s="438"/>
      <c r="O147" s="438"/>
      <c r="P147" s="438"/>
      <c r="Q147" s="438"/>
      <c r="R147" s="438"/>
      <c r="S147" s="438"/>
      <c r="T147" s="438"/>
    </row>
    <row r="148" spans="6:20">
      <c r="F148" s="438"/>
      <c r="G148" s="438"/>
      <c r="H148" s="438"/>
      <c r="I148" s="438"/>
      <c r="J148" s="438"/>
      <c r="K148" s="438"/>
      <c r="L148" s="438"/>
      <c r="M148" s="438"/>
      <c r="N148" s="438"/>
      <c r="O148" s="438"/>
      <c r="P148" s="438"/>
      <c r="Q148" s="438"/>
      <c r="R148" s="438"/>
      <c r="S148" s="438"/>
      <c r="T148" s="438"/>
    </row>
    <row r="149" spans="6:20">
      <c r="F149" s="438"/>
      <c r="G149" s="438"/>
      <c r="H149" s="438"/>
      <c r="I149" s="438"/>
      <c r="J149" s="438"/>
      <c r="K149" s="438"/>
      <c r="L149" s="438"/>
      <c r="M149" s="438"/>
      <c r="N149" s="438"/>
      <c r="O149" s="438"/>
      <c r="P149" s="438"/>
      <c r="Q149" s="261"/>
      <c r="R149" s="438"/>
      <c r="S149" s="438"/>
      <c r="T149" s="438"/>
    </row>
    <row r="150" spans="6:20">
      <c r="F150" s="438"/>
      <c r="G150" s="438"/>
      <c r="H150" s="438"/>
      <c r="I150" s="438"/>
      <c r="J150" s="438"/>
      <c r="K150" s="438"/>
      <c r="L150" s="438"/>
      <c r="M150" s="438"/>
      <c r="N150" s="438"/>
      <c r="O150" s="438"/>
      <c r="P150" s="438"/>
      <c r="Q150" s="438"/>
      <c r="R150" s="438"/>
      <c r="S150" s="438"/>
      <c r="T150" s="438"/>
    </row>
    <row r="151" spans="6:20">
      <c r="F151" s="438"/>
      <c r="G151" s="438"/>
      <c r="H151" s="438"/>
      <c r="I151" s="438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</row>
    <row r="152" spans="6:20">
      <c r="F152" s="438"/>
      <c r="G152" s="438"/>
      <c r="H152" s="438"/>
      <c r="I152" s="438"/>
      <c r="J152" s="438"/>
      <c r="K152" s="438"/>
      <c r="L152" s="438"/>
      <c r="M152" s="438"/>
      <c r="N152" s="438"/>
      <c r="O152" s="438"/>
      <c r="P152" s="438"/>
      <c r="Q152" s="438"/>
      <c r="R152" s="438"/>
      <c r="S152" s="438"/>
      <c r="T152" s="438"/>
    </row>
    <row r="153" spans="6:20">
      <c r="F153" s="438"/>
      <c r="G153" s="438"/>
      <c r="H153" s="438"/>
      <c r="I153" s="438"/>
      <c r="J153" s="438"/>
      <c r="K153" s="438"/>
      <c r="L153" s="438"/>
      <c r="M153" s="438"/>
      <c r="N153" s="438"/>
      <c r="O153" s="438"/>
      <c r="P153" s="438"/>
      <c r="Q153" s="438"/>
      <c r="R153" s="261"/>
      <c r="S153" s="438"/>
      <c r="T153" s="438"/>
    </row>
    <row r="154" spans="6:20">
      <c r="F154" s="438"/>
      <c r="G154" s="438"/>
      <c r="H154" s="438"/>
      <c r="I154" s="438"/>
      <c r="J154" s="438"/>
      <c r="K154" s="438"/>
      <c r="L154" s="438"/>
      <c r="M154" s="438"/>
      <c r="N154" s="438"/>
      <c r="O154" s="438"/>
      <c r="P154" s="438"/>
      <c r="Q154" s="438"/>
      <c r="R154" s="438"/>
      <c r="S154" s="438"/>
      <c r="T154" s="438"/>
    </row>
    <row r="155" spans="6:20">
      <c r="F155" s="438"/>
      <c r="G155" s="438"/>
      <c r="H155" s="438"/>
      <c r="I155" s="438"/>
      <c r="J155" s="438"/>
      <c r="K155" s="438"/>
      <c r="L155" s="438"/>
      <c r="M155" s="438"/>
      <c r="N155" s="438"/>
      <c r="O155" s="438"/>
      <c r="P155" s="438"/>
      <c r="Q155" s="438"/>
      <c r="R155" s="438"/>
      <c r="S155" s="438"/>
      <c r="T155" s="438"/>
    </row>
    <row r="156" spans="6:20">
      <c r="F156" s="438"/>
      <c r="G156" s="438"/>
      <c r="H156" s="438"/>
      <c r="I156" s="438"/>
      <c r="J156" s="438"/>
      <c r="K156" s="438"/>
      <c r="L156" s="438"/>
      <c r="M156" s="438"/>
      <c r="N156" s="438"/>
      <c r="O156" s="438"/>
      <c r="P156" s="438"/>
      <c r="Q156" s="438"/>
      <c r="R156" s="438"/>
      <c r="S156" s="438"/>
      <c r="T156" s="438"/>
    </row>
    <row r="157" spans="6:20">
      <c r="F157" s="438"/>
      <c r="G157" s="438"/>
      <c r="H157" s="438"/>
      <c r="I157" s="438"/>
      <c r="J157" s="438"/>
      <c r="K157" s="438"/>
      <c r="L157" s="438"/>
      <c r="M157" s="438"/>
      <c r="N157" s="438"/>
      <c r="O157" s="438"/>
      <c r="P157" s="438"/>
      <c r="Q157" s="438"/>
      <c r="R157" s="438"/>
      <c r="S157" s="438"/>
      <c r="T157" s="438"/>
    </row>
  </sheetData>
  <sheetProtection formatCells="0" formatColumns="0" formatRows="0" insertColumns="0" insertRows="0" insertHyperlinks="0" deleteColumns="0" deleteRows="0" sort="0" autoFilter="0" pivotTables="0"/>
  <sortState ref="A6:AQ113">
    <sortCondition ref="AB6:AB113"/>
  </sortState>
  <conditionalFormatting sqref="AA4">
    <cfRule type="cellIs" dxfId="285" priority="1" operator="equal">
      <formula>0</formula>
    </cfRule>
  </conditionalFormatting>
  <printOptions horizontalCentered="1"/>
  <pageMargins left="0" right="0" top="0.94488188976377963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Q151"/>
  <sheetViews>
    <sheetView showZeros="0" rightToLeft="1" zoomScaleNormal="100" workbookViewId="0">
      <pane xSplit="3" ySplit="5" topLeftCell="D91" activePane="bottomRight" state="frozen"/>
      <selection activeCell="T20" sqref="T20"/>
      <selection pane="topRight" activeCell="T20" sqref="T20"/>
      <selection pane="bottomLeft" activeCell="T20" sqref="T20"/>
      <selection pane="bottomRight" activeCell="T20" sqref="T20"/>
    </sheetView>
  </sheetViews>
  <sheetFormatPr defaultColWidth="9.1796875" defaultRowHeight="18"/>
  <cols>
    <col min="1" max="1" width="4" style="418" customWidth="1"/>
    <col min="2" max="2" width="4.81640625" style="419" customWidth="1"/>
    <col min="3" max="3" width="20.54296875" style="266" customWidth="1"/>
    <col min="4" max="4" width="12.54296875" style="248" customWidth="1"/>
    <col min="5" max="5" width="12.7265625" style="248" hidden="1" customWidth="1"/>
    <col min="6" max="6" width="11" style="248" hidden="1" customWidth="1"/>
    <col min="7" max="10" width="12.7265625" style="248" hidden="1" customWidth="1"/>
    <col min="11" max="11" width="11.26953125" style="248" hidden="1" customWidth="1"/>
    <col min="12" max="12" width="11" style="248" customWidth="1"/>
    <col min="13" max="14" width="11.1796875" style="248" customWidth="1"/>
    <col min="15" max="15" width="12.54296875" style="248" customWidth="1"/>
    <col min="16" max="17" width="11.1796875" style="248" hidden="1" customWidth="1"/>
    <col min="18" max="18" width="10.26953125" style="248" hidden="1" customWidth="1"/>
    <col min="19" max="19" width="12" style="248" hidden="1" customWidth="1"/>
    <col min="20" max="20" width="9.81640625" style="248" customWidth="1"/>
    <col min="21" max="21" width="10.81640625" style="247" customWidth="1"/>
    <col min="22" max="22" width="11.1796875" style="247" hidden="1" customWidth="1"/>
    <col min="23" max="23" width="8.81640625" style="247" hidden="1" customWidth="1"/>
    <col min="24" max="24" width="11.81640625" style="247" hidden="1" customWidth="1"/>
    <col min="25" max="25" width="10.1796875" style="247" hidden="1" customWidth="1"/>
    <col min="26" max="26" width="11.1796875" style="247" hidden="1" customWidth="1"/>
    <col min="27" max="27" width="44" style="588" customWidth="1"/>
    <col min="28" max="28" width="21.7265625" style="247" hidden="1" customWidth="1"/>
    <col min="29" max="29" width="21.7265625" style="420" customWidth="1"/>
    <col min="30" max="30" width="15.81640625" style="266" customWidth="1"/>
    <col min="31" max="31" width="11.81640625" style="420" customWidth="1"/>
    <col min="32" max="32" width="9.1796875" style="247" customWidth="1"/>
    <col min="33" max="33" width="11.1796875" style="247" customWidth="1"/>
    <col min="34" max="35" width="9.1796875" style="247" customWidth="1"/>
    <col min="36" max="36" width="1.54296875" style="416" customWidth="1"/>
    <col min="37" max="37" width="10.54296875" style="416" customWidth="1"/>
    <col min="38" max="38" width="11.453125" style="416" customWidth="1"/>
    <col min="39" max="39" width="9.1796875" style="247" customWidth="1"/>
    <col min="40" max="40" width="9.1796875" style="247"/>
    <col min="41" max="41" width="10.1796875" style="247" bestFit="1" customWidth="1"/>
    <col min="42" max="16384" width="9.1796875" style="247"/>
  </cols>
  <sheetData>
    <row r="2" spans="1:38" s="416" customFormat="1">
      <c r="A2" s="414"/>
      <c r="B2" s="414"/>
      <c r="C2" s="593"/>
      <c r="D2" s="414"/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414"/>
      <c r="R2" s="414"/>
      <c r="S2" s="414"/>
      <c r="T2" s="414"/>
      <c r="U2" s="414"/>
      <c r="V2" s="414"/>
      <c r="W2" s="414"/>
      <c r="X2" s="414"/>
      <c r="Y2" s="414"/>
      <c r="Z2" s="414"/>
      <c r="AA2" s="417"/>
      <c r="AC2" s="415"/>
      <c r="AD2" s="266"/>
    </row>
    <row r="3" spans="1:38">
      <c r="A3" s="122" t="s">
        <v>1448</v>
      </c>
      <c r="B3" s="414"/>
      <c r="C3" s="593"/>
      <c r="D3" s="414"/>
      <c r="E3" s="414"/>
      <c r="F3" s="414"/>
      <c r="G3" s="414"/>
      <c r="H3" s="414"/>
      <c r="I3" s="414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414"/>
      <c r="AA3" s="266"/>
      <c r="AC3" s="418"/>
      <c r="AE3" s="247"/>
      <c r="AJ3" s="247"/>
      <c r="AK3" s="247"/>
      <c r="AL3" s="247"/>
    </row>
    <row r="4" spans="1:38">
      <c r="U4" s="248"/>
    </row>
    <row r="5" spans="1:38" s="422" customFormat="1" ht="86.25" customHeight="1">
      <c r="A5" s="250" t="s">
        <v>0</v>
      </c>
      <c r="B5" s="250" t="s">
        <v>1</v>
      </c>
      <c r="C5" s="250" t="s">
        <v>2</v>
      </c>
      <c r="D5" s="250" t="s">
        <v>3</v>
      </c>
      <c r="E5" s="250" t="s">
        <v>4</v>
      </c>
      <c r="F5" s="250" t="s">
        <v>5</v>
      </c>
      <c r="G5" s="250" t="s">
        <v>6</v>
      </c>
      <c r="H5" s="250" t="s">
        <v>7</v>
      </c>
      <c r="I5" s="250" t="s">
        <v>9</v>
      </c>
      <c r="J5" s="250" t="s">
        <v>318</v>
      </c>
      <c r="K5" s="250" t="s">
        <v>10</v>
      </c>
      <c r="L5" s="250" t="s">
        <v>11</v>
      </c>
      <c r="M5" s="11" t="s">
        <v>627</v>
      </c>
      <c r="N5" s="250" t="s">
        <v>628</v>
      </c>
      <c r="O5" s="250" t="s">
        <v>629</v>
      </c>
      <c r="P5" s="250" t="s">
        <v>12</v>
      </c>
      <c r="Q5" s="250" t="s">
        <v>700</v>
      </c>
      <c r="R5" s="250" t="s">
        <v>701</v>
      </c>
      <c r="S5" s="250" t="s">
        <v>632</v>
      </c>
      <c r="T5" s="250" t="s">
        <v>633</v>
      </c>
      <c r="U5" s="250" t="s">
        <v>634</v>
      </c>
      <c r="V5" s="250" t="s">
        <v>13</v>
      </c>
      <c r="W5" s="19" t="s">
        <v>14</v>
      </c>
      <c r="X5" s="250" t="s">
        <v>15</v>
      </c>
      <c r="Y5" s="250" t="s">
        <v>523</v>
      </c>
      <c r="Z5" s="250" t="s">
        <v>140</v>
      </c>
      <c r="AA5" s="477" t="s">
        <v>635</v>
      </c>
      <c r="AB5" s="250" t="s">
        <v>16</v>
      </c>
      <c r="AC5" s="420"/>
      <c r="AD5" s="266"/>
      <c r="AE5" s="420"/>
      <c r="AJ5" s="416"/>
      <c r="AK5" s="416"/>
      <c r="AL5" s="416"/>
    </row>
    <row r="6" spans="1:38" s="258" customFormat="1">
      <c r="A6" s="254"/>
      <c r="B6" s="254"/>
      <c r="C6" s="254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  <c r="Y6" s="255"/>
      <c r="Z6" s="254"/>
      <c r="AA6" s="589"/>
      <c r="AB6" s="251"/>
      <c r="AC6" s="420"/>
      <c r="AD6" s="266"/>
      <c r="AE6" s="420"/>
      <c r="AJ6" s="416"/>
      <c r="AK6" s="416"/>
      <c r="AL6" s="416"/>
    </row>
    <row r="7" spans="1:38" s="258" customFormat="1" ht="35.15" customHeight="1">
      <c r="A7" s="254">
        <f>A6+1</f>
        <v>1</v>
      </c>
      <c r="B7" s="254">
        <v>382</v>
      </c>
      <c r="C7" s="254" t="s">
        <v>1508</v>
      </c>
      <c r="D7" s="255">
        <f>49581930+21799400+1500000</f>
        <v>72881330</v>
      </c>
      <c r="E7" s="255">
        <v>49581930</v>
      </c>
      <c r="F7" s="255">
        <f t="shared" ref="F7:F84" si="0">D7-E7</f>
        <v>23299400</v>
      </c>
      <c r="G7" s="255">
        <f>39881330+1500000</f>
        <v>41381330</v>
      </c>
      <c r="H7" s="255">
        <v>39212248.18</v>
      </c>
      <c r="I7" s="255"/>
      <c r="J7" s="255">
        <v>2169071.08</v>
      </c>
      <c r="K7" s="255">
        <f>SUM(I7:J7)</f>
        <v>2169071.08</v>
      </c>
      <c r="L7" s="255">
        <f t="shared" ref="L7:L70" si="1">K7+H7</f>
        <v>41381319.259999998</v>
      </c>
      <c r="M7" s="255">
        <f>P7+S7</f>
        <v>5500010.7400000021</v>
      </c>
      <c r="N7" s="255">
        <f>24500000-10000000</f>
        <v>14500000</v>
      </c>
      <c r="O7" s="255">
        <f>D7-L7-M7-N7</f>
        <v>11500000</v>
      </c>
      <c r="P7" s="255">
        <f>G7-L7</f>
        <v>10.740000002086163</v>
      </c>
      <c r="Q7" s="423">
        <f>1500000+4000000</f>
        <v>5500000</v>
      </c>
      <c r="R7" s="255"/>
      <c r="S7" s="255">
        <f>SUM(Q7:R7)</f>
        <v>5500000</v>
      </c>
      <c r="T7" s="255">
        <f>P7-M7+S7</f>
        <v>0</v>
      </c>
      <c r="U7" s="255">
        <f>N7-T7</f>
        <v>14500000</v>
      </c>
      <c r="V7" s="255">
        <f>U7-Y7-X7-Z7-W7</f>
        <v>14500000</v>
      </c>
      <c r="W7" s="255"/>
      <c r="X7" s="255"/>
      <c r="Y7" s="255"/>
      <c r="Z7" s="254"/>
      <c r="AA7" s="424" t="s">
        <v>1302</v>
      </c>
      <c r="AB7" s="254">
        <v>742000</v>
      </c>
      <c r="AC7" s="420"/>
      <c r="AD7" s="266"/>
      <c r="AE7" s="425"/>
      <c r="AJ7" s="416"/>
      <c r="AK7" s="416"/>
      <c r="AL7" s="416"/>
    </row>
    <row r="8" spans="1:38" s="259" customFormat="1" ht="35.15" customHeight="1">
      <c r="A8" s="254">
        <f>A7+1</f>
        <v>2</v>
      </c>
      <c r="B8" s="254">
        <v>532</v>
      </c>
      <c r="C8" s="254" t="s">
        <v>128</v>
      </c>
      <c r="D8" s="255">
        <v>80090000</v>
      </c>
      <c r="E8" s="255">
        <v>80090000</v>
      </c>
      <c r="F8" s="255">
        <f t="shared" si="0"/>
        <v>0</v>
      </c>
      <c r="G8" s="255">
        <v>75090000</v>
      </c>
      <c r="H8" s="255">
        <v>67445015.310000002</v>
      </c>
      <c r="I8" s="255"/>
      <c r="J8" s="255">
        <v>3423266.65</v>
      </c>
      <c r="K8" s="255">
        <f t="shared" ref="K8:K58" si="2">SUM(I8:J8)</f>
        <v>3423266.65</v>
      </c>
      <c r="L8" s="255">
        <f t="shared" si="1"/>
        <v>70868281.960000008</v>
      </c>
      <c r="M8" s="255">
        <f t="shared" ref="M8:M71" si="3">P8+S8</f>
        <v>9221718.0399999917</v>
      </c>
      <c r="N8" s="255"/>
      <c r="O8" s="255">
        <f t="shared" ref="O8:O71" si="4">D8-L8-M8-N8</f>
        <v>0</v>
      </c>
      <c r="P8" s="255">
        <f t="shared" ref="P8:P71" si="5">G8-L8</f>
        <v>4221718.0399999917</v>
      </c>
      <c r="Q8" s="255">
        <v>5000000</v>
      </c>
      <c r="R8" s="255"/>
      <c r="S8" s="255">
        <f t="shared" ref="S8:S71" si="6">SUM(Q8:R8)</f>
        <v>5000000</v>
      </c>
      <c r="T8" s="255">
        <f t="shared" ref="T8:T71" si="7">P8-M8+S8</f>
        <v>0</v>
      </c>
      <c r="U8" s="255">
        <f t="shared" ref="U8:U71" si="8">N8-T8</f>
        <v>0</v>
      </c>
      <c r="V8" s="255">
        <f t="shared" ref="V8:V71" si="9">U8-Y8-X8-Z8-W8</f>
        <v>0</v>
      </c>
      <c r="W8" s="255"/>
      <c r="X8" s="255"/>
      <c r="Y8" s="255"/>
      <c r="Z8" s="254"/>
      <c r="AA8" s="428" t="s">
        <v>1052</v>
      </c>
      <c r="AB8" s="254">
        <v>742000</v>
      </c>
      <c r="AC8" s="420"/>
      <c r="AD8" s="266"/>
      <c r="AE8" s="425"/>
      <c r="AF8" s="258"/>
      <c r="AJ8" s="416"/>
      <c r="AK8" s="416"/>
      <c r="AL8" s="416"/>
    </row>
    <row r="9" spans="1:38" s="259" customFormat="1" ht="35.15" customHeight="1">
      <c r="A9" s="254">
        <f t="shared" ref="A9:A72" si="10">A8+1</f>
        <v>3</v>
      </c>
      <c r="B9" s="254">
        <v>576</v>
      </c>
      <c r="C9" s="254" t="s">
        <v>129</v>
      </c>
      <c r="D9" s="255">
        <v>55113000</v>
      </c>
      <c r="E9" s="255">
        <v>55113000</v>
      </c>
      <c r="F9" s="255">
        <f t="shared" si="0"/>
        <v>0</v>
      </c>
      <c r="G9" s="255">
        <v>43913000</v>
      </c>
      <c r="H9" s="255">
        <v>42939526.600000001</v>
      </c>
      <c r="I9" s="255"/>
      <c r="J9" s="255">
        <v>476421.91</v>
      </c>
      <c r="K9" s="255">
        <f t="shared" si="2"/>
        <v>476421.91</v>
      </c>
      <c r="L9" s="255">
        <f t="shared" si="1"/>
        <v>43415948.509999998</v>
      </c>
      <c r="M9" s="255">
        <f t="shared" si="3"/>
        <v>10497051.490000002</v>
      </c>
      <c r="N9" s="255">
        <v>1200000</v>
      </c>
      <c r="O9" s="255">
        <f t="shared" si="4"/>
        <v>0</v>
      </c>
      <c r="P9" s="255">
        <f t="shared" si="5"/>
        <v>497051.49000000209</v>
      </c>
      <c r="Q9" s="255">
        <v>10000000</v>
      </c>
      <c r="R9" s="255"/>
      <c r="S9" s="255">
        <f t="shared" si="6"/>
        <v>10000000</v>
      </c>
      <c r="T9" s="255">
        <f t="shared" si="7"/>
        <v>0</v>
      </c>
      <c r="U9" s="255">
        <f t="shared" si="8"/>
        <v>1200000</v>
      </c>
      <c r="V9" s="255">
        <f t="shared" si="9"/>
        <v>600000</v>
      </c>
      <c r="W9" s="255"/>
      <c r="X9" s="255"/>
      <c r="Y9" s="255"/>
      <c r="Z9" s="255">
        <v>600000</v>
      </c>
      <c r="AA9" s="254" t="s">
        <v>1055</v>
      </c>
      <c r="AB9" s="254">
        <v>760000</v>
      </c>
      <c r="AC9" s="420"/>
      <c r="AD9" s="266"/>
      <c r="AE9" s="425"/>
      <c r="AF9" s="258"/>
      <c r="AJ9" s="416"/>
      <c r="AK9" s="416"/>
      <c r="AL9" s="416"/>
    </row>
    <row r="10" spans="1:38" s="259" customFormat="1" ht="35.15" customHeight="1">
      <c r="A10" s="254">
        <f t="shared" si="10"/>
        <v>4</v>
      </c>
      <c r="B10" s="254">
        <v>634</v>
      </c>
      <c r="C10" s="254" t="s">
        <v>1316</v>
      </c>
      <c r="D10" s="255">
        <v>57250000</v>
      </c>
      <c r="E10" s="255">
        <v>57250000</v>
      </c>
      <c r="F10" s="255">
        <f t="shared" si="0"/>
        <v>0</v>
      </c>
      <c r="G10" s="255">
        <v>57250000</v>
      </c>
      <c r="H10" s="255">
        <v>55114069.850000001</v>
      </c>
      <c r="I10" s="255"/>
      <c r="J10" s="255">
        <v>1188923.04</v>
      </c>
      <c r="K10" s="255">
        <f t="shared" si="2"/>
        <v>1188923.04</v>
      </c>
      <c r="L10" s="255">
        <f t="shared" si="1"/>
        <v>56302992.890000001</v>
      </c>
      <c r="M10" s="255">
        <f>P10+S10-900000</f>
        <v>47007.109999999404</v>
      </c>
      <c r="N10" s="255"/>
      <c r="O10" s="255">
        <f t="shared" si="4"/>
        <v>900000</v>
      </c>
      <c r="P10" s="255">
        <f t="shared" si="5"/>
        <v>947007.1099999994</v>
      </c>
      <c r="Q10" s="255"/>
      <c r="R10" s="255"/>
      <c r="S10" s="255">
        <f t="shared" si="6"/>
        <v>0</v>
      </c>
      <c r="T10" s="255">
        <f t="shared" si="7"/>
        <v>900000</v>
      </c>
      <c r="U10" s="255">
        <f t="shared" si="8"/>
        <v>-900000</v>
      </c>
      <c r="V10" s="255">
        <f t="shared" si="9"/>
        <v>-900000</v>
      </c>
      <c r="W10" s="255"/>
      <c r="X10" s="255"/>
      <c r="Y10" s="255"/>
      <c r="Z10" s="254"/>
      <c r="AA10" s="254" t="s">
        <v>1432</v>
      </c>
      <c r="AB10" s="254">
        <v>732000</v>
      </c>
      <c r="AC10" s="420"/>
      <c r="AD10" s="266"/>
      <c r="AE10" s="425"/>
      <c r="AF10" s="258"/>
      <c r="AJ10" s="416"/>
      <c r="AK10" s="416"/>
      <c r="AL10" s="416"/>
    </row>
    <row r="11" spans="1:38" s="258" customFormat="1" ht="35.15" customHeight="1">
      <c r="A11" s="254">
        <f t="shared" si="10"/>
        <v>5</v>
      </c>
      <c r="B11" s="254">
        <v>1067</v>
      </c>
      <c r="C11" s="254" t="s">
        <v>131</v>
      </c>
      <c r="D11" s="255">
        <v>3725000</v>
      </c>
      <c r="E11" s="255">
        <v>3725000</v>
      </c>
      <c r="F11" s="255">
        <f t="shared" si="0"/>
        <v>0</v>
      </c>
      <c r="G11" s="255">
        <v>3575000</v>
      </c>
      <c r="H11" s="255">
        <v>2510465.44</v>
      </c>
      <c r="I11" s="255"/>
      <c r="J11" s="255">
        <v>108849.76</v>
      </c>
      <c r="K11" s="255">
        <f t="shared" si="2"/>
        <v>108849.76</v>
      </c>
      <c r="L11" s="255">
        <f t="shared" si="1"/>
        <v>2619315.1999999997</v>
      </c>
      <c r="M11" s="255">
        <f t="shared" si="3"/>
        <v>1105684.8000000003</v>
      </c>
      <c r="N11" s="255"/>
      <c r="O11" s="255">
        <f t="shared" si="4"/>
        <v>0</v>
      </c>
      <c r="P11" s="255">
        <f t="shared" si="5"/>
        <v>955684.80000000028</v>
      </c>
      <c r="Q11" s="255">
        <v>150000</v>
      </c>
      <c r="R11" s="255"/>
      <c r="S11" s="255">
        <f t="shared" si="6"/>
        <v>150000</v>
      </c>
      <c r="T11" s="255">
        <f t="shared" si="7"/>
        <v>0</v>
      </c>
      <c r="U11" s="255">
        <f t="shared" si="8"/>
        <v>0</v>
      </c>
      <c r="V11" s="255">
        <f t="shared" si="9"/>
        <v>0</v>
      </c>
      <c r="W11" s="255"/>
      <c r="X11" s="255"/>
      <c r="Y11" s="255"/>
      <c r="Z11" s="254"/>
      <c r="AA11" s="428" t="s">
        <v>702</v>
      </c>
      <c r="AB11" s="254">
        <v>742000</v>
      </c>
      <c r="AC11" s="420"/>
      <c r="AD11" s="266"/>
      <c r="AE11" s="425"/>
      <c r="AJ11" s="416"/>
      <c r="AK11" s="416"/>
      <c r="AL11" s="416"/>
    </row>
    <row r="12" spans="1:38" s="259" customFormat="1" ht="35.15" customHeight="1">
      <c r="A12" s="254">
        <f t="shared" si="10"/>
        <v>6</v>
      </c>
      <c r="B12" s="254">
        <v>1207</v>
      </c>
      <c r="C12" s="254" t="s">
        <v>132</v>
      </c>
      <c r="D12" s="255">
        <v>50650000</v>
      </c>
      <c r="E12" s="255">
        <v>50650000</v>
      </c>
      <c r="F12" s="255">
        <f t="shared" si="0"/>
        <v>0</v>
      </c>
      <c r="G12" s="255">
        <v>21650000</v>
      </c>
      <c r="H12" s="255">
        <v>18541918.899999999</v>
      </c>
      <c r="I12" s="255"/>
      <c r="J12" s="255">
        <v>3102404.99</v>
      </c>
      <c r="K12" s="255">
        <f t="shared" si="2"/>
        <v>3102404.99</v>
      </c>
      <c r="L12" s="255">
        <f t="shared" si="1"/>
        <v>21644323.890000001</v>
      </c>
      <c r="M12" s="255">
        <f t="shared" si="3"/>
        <v>14005676.109999999</v>
      </c>
      <c r="N12" s="255">
        <f>15000000-10000000</f>
        <v>5000000</v>
      </c>
      <c r="O12" s="255">
        <f t="shared" si="4"/>
        <v>10000000</v>
      </c>
      <c r="P12" s="255">
        <f t="shared" si="5"/>
        <v>5676.109999999404</v>
      </c>
      <c r="Q12" s="255">
        <v>14000000</v>
      </c>
      <c r="R12" s="255"/>
      <c r="S12" s="255">
        <f t="shared" si="6"/>
        <v>14000000</v>
      </c>
      <c r="T12" s="255">
        <f t="shared" si="7"/>
        <v>0</v>
      </c>
      <c r="U12" s="255">
        <f t="shared" si="8"/>
        <v>5000000</v>
      </c>
      <c r="V12" s="255">
        <f t="shared" si="9"/>
        <v>5000000</v>
      </c>
      <c r="W12" s="255"/>
      <c r="X12" s="255"/>
      <c r="Y12" s="255"/>
      <c r="Z12" s="254"/>
      <c r="AA12" s="428" t="s">
        <v>1255</v>
      </c>
      <c r="AB12" s="254">
        <v>742000</v>
      </c>
      <c r="AC12" s="420"/>
      <c r="AD12" s="266"/>
      <c r="AE12" s="425"/>
      <c r="AF12" s="258"/>
      <c r="AJ12" s="416"/>
      <c r="AK12" s="416"/>
      <c r="AL12" s="416"/>
    </row>
    <row r="13" spans="1:38" s="259" customFormat="1" ht="35.15" customHeight="1">
      <c r="A13" s="254">
        <f t="shared" si="10"/>
        <v>7</v>
      </c>
      <c r="B13" s="254">
        <v>1238</v>
      </c>
      <c r="C13" s="254" t="s">
        <v>133</v>
      </c>
      <c r="D13" s="255">
        <v>32940000</v>
      </c>
      <c r="E13" s="255">
        <v>32940000</v>
      </c>
      <c r="F13" s="255">
        <f t="shared" si="0"/>
        <v>0</v>
      </c>
      <c r="G13" s="255">
        <v>26440000</v>
      </c>
      <c r="H13" s="255">
        <v>25492352.199999999</v>
      </c>
      <c r="I13" s="255"/>
      <c r="J13" s="255">
        <v>802970.7</v>
      </c>
      <c r="K13" s="255">
        <f t="shared" si="2"/>
        <v>802970.7</v>
      </c>
      <c r="L13" s="255">
        <f t="shared" si="1"/>
        <v>26295322.899999999</v>
      </c>
      <c r="M13" s="255">
        <f t="shared" si="3"/>
        <v>144677.10000000149</v>
      </c>
      <c r="N13" s="255"/>
      <c r="O13" s="255">
        <f t="shared" si="4"/>
        <v>6500000</v>
      </c>
      <c r="P13" s="255">
        <f t="shared" si="5"/>
        <v>144677.10000000149</v>
      </c>
      <c r="Q13" s="255"/>
      <c r="R13" s="255"/>
      <c r="S13" s="255">
        <f t="shared" si="6"/>
        <v>0</v>
      </c>
      <c r="T13" s="255">
        <f t="shared" si="7"/>
        <v>0</v>
      </c>
      <c r="U13" s="255">
        <f t="shared" si="8"/>
        <v>0</v>
      </c>
      <c r="V13" s="255">
        <f t="shared" si="9"/>
        <v>0</v>
      </c>
      <c r="W13" s="255"/>
      <c r="X13" s="255"/>
      <c r="Y13" s="255"/>
      <c r="Z13" s="254"/>
      <c r="AA13" s="254"/>
      <c r="AB13" s="254">
        <v>742000</v>
      </c>
      <c r="AC13" s="420"/>
      <c r="AD13" s="266"/>
      <c r="AE13" s="425"/>
      <c r="AF13" s="258"/>
      <c r="AJ13" s="416"/>
      <c r="AK13" s="416"/>
      <c r="AL13" s="416"/>
    </row>
    <row r="14" spans="1:38" s="259" customFormat="1" ht="35.15" customHeight="1">
      <c r="A14" s="254">
        <f t="shared" si="10"/>
        <v>8</v>
      </c>
      <c r="B14" s="254">
        <v>1298</v>
      </c>
      <c r="C14" s="254" t="s">
        <v>40</v>
      </c>
      <c r="D14" s="255">
        <f>4100000+500000+200000-200000</f>
        <v>4600000</v>
      </c>
      <c r="E14" s="255">
        <v>4100000</v>
      </c>
      <c r="F14" s="255">
        <f t="shared" si="0"/>
        <v>500000</v>
      </c>
      <c r="G14" s="255">
        <f>3600000+200000</f>
        <v>3800000</v>
      </c>
      <c r="H14" s="255">
        <v>3447721.87</v>
      </c>
      <c r="I14" s="255"/>
      <c r="J14" s="255">
        <v>152279.51</v>
      </c>
      <c r="K14" s="255">
        <f t="shared" si="2"/>
        <v>152279.51</v>
      </c>
      <c r="L14" s="255">
        <f t="shared" si="1"/>
        <v>3600001.38</v>
      </c>
      <c r="M14" s="255">
        <f t="shared" si="3"/>
        <v>499998.62000000011</v>
      </c>
      <c r="N14" s="255">
        <f>500000-200000+200000</f>
        <v>500000</v>
      </c>
      <c r="O14" s="255">
        <f t="shared" si="4"/>
        <v>0</v>
      </c>
      <c r="P14" s="255">
        <f t="shared" si="5"/>
        <v>199998.62000000011</v>
      </c>
      <c r="Q14" s="423">
        <f>500000-200000</f>
        <v>300000</v>
      </c>
      <c r="R14" s="255"/>
      <c r="S14" s="255">
        <f t="shared" si="6"/>
        <v>300000</v>
      </c>
      <c r="T14" s="255">
        <f t="shared" si="7"/>
        <v>0</v>
      </c>
      <c r="U14" s="255">
        <f t="shared" si="8"/>
        <v>500000</v>
      </c>
      <c r="V14" s="255">
        <f t="shared" si="9"/>
        <v>500000</v>
      </c>
      <c r="W14" s="255"/>
      <c r="X14" s="255"/>
      <c r="Y14" s="255"/>
      <c r="Z14" s="254"/>
      <c r="AA14" s="428" t="s">
        <v>703</v>
      </c>
      <c r="AB14" s="254">
        <v>742000</v>
      </c>
      <c r="AC14" s="420"/>
      <c r="AD14" s="266"/>
      <c r="AE14" s="425"/>
      <c r="AF14" s="258"/>
      <c r="AJ14" s="416"/>
      <c r="AK14" s="416"/>
      <c r="AL14" s="416"/>
    </row>
    <row r="15" spans="1:38" s="258" customFormat="1" ht="35.15" customHeight="1">
      <c r="A15" s="254">
        <f t="shared" si="10"/>
        <v>9</v>
      </c>
      <c r="B15" s="254">
        <v>1312</v>
      </c>
      <c r="C15" s="254" t="s">
        <v>41</v>
      </c>
      <c r="D15" s="255">
        <f>121000000-11500000</f>
        <v>109500000</v>
      </c>
      <c r="E15" s="255">
        <v>121000000</v>
      </c>
      <c r="F15" s="255">
        <f t="shared" si="0"/>
        <v>-11500000</v>
      </c>
      <c r="G15" s="255">
        <v>109500000</v>
      </c>
      <c r="H15" s="255">
        <v>100850839</v>
      </c>
      <c r="I15" s="255"/>
      <c r="J15" s="255">
        <v>7828114</v>
      </c>
      <c r="K15" s="255">
        <f t="shared" si="2"/>
        <v>7828114</v>
      </c>
      <c r="L15" s="255">
        <f t="shared" si="1"/>
        <v>108678953</v>
      </c>
      <c r="M15" s="255">
        <f t="shared" si="3"/>
        <v>821047</v>
      </c>
      <c r="N15" s="255"/>
      <c r="O15" s="255">
        <f t="shared" si="4"/>
        <v>0</v>
      </c>
      <c r="P15" s="255">
        <f t="shared" si="5"/>
        <v>821047</v>
      </c>
      <c r="Q15" s="255"/>
      <c r="R15" s="255"/>
      <c r="S15" s="255">
        <f t="shared" si="6"/>
        <v>0</v>
      </c>
      <c r="T15" s="255">
        <f t="shared" si="7"/>
        <v>0</v>
      </c>
      <c r="U15" s="255">
        <f t="shared" si="8"/>
        <v>0</v>
      </c>
      <c r="V15" s="255">
        <f t="shared" si="9"/>
        <v>0</v>
      </c>
      <c r="W15" s="255"/>
      <c r="X15" s="255"/>
      <c r="Y15" s="255"/>
      <c r="Z15" s="254"/>
      <c r="AA15" s="254" t="s">
        <v>1512</v>
      </c>
      <c r="AB15" s="254">
        <v>930000</v>
      </c>
      <c r="AC15" s="420"/>
      <c r="AD15" s="266"/>
      <c r="AE15" s="425"/>
      <c r="AJ15" s="416"/>
      <c r="AK15" s="416"/>
      <c r="AL15" s="416"/>
    </row>
    <row r="16" spans="1:38" s="258" customFormat="1" ht="35.15" customHeight="1">
      <c r="A16" s="254">
        <f t="shared" si="10"/>
        <v>10</v>
      </c>
      <c r="B16" s="254">
        <v>1375</v>
      </c>
      <c r="C16" s="254" t="s">
        <v>1317</v>
      </c>
      <c r="D16" s="255">
        <f>39800000+250000+100000</f>
        <v>40150000</v>
      </c>
      <c r="E16" s="255">
        <v>39800000</v>
      </c>
      <c r="F16" s="255">
        <f t="shared" si="0"/>
        <v>350000</v>
      </c>
      <c r="G16" s="255">
        <v>29500000</v>
      </c>
      <c r="H16" s="255">
        <v>27046641.710000001</v>
      </c>
      <c r="I16" s="255"/>
      <c r="J16" s="255">
        <v>532778.13</v>
      </c>
      <c r="K16" s="255">
        <f t="shared" si="2"/>
        <v>532778.13</v>
      </c>
      <c r="L16" s="255">
        <f t="shared" si="1"/>
        <v>27579419.84</v>
      </c>
      <c r="M16" s="255">
        <f t="shared" si="3"/>
        <v>1920580.1600000001</v>
      </c>
      <c r="N16" s="255">
        <f>10650000-10000000</f>
        <v>650000</v>
      </c>
      <c r="O16" s="255">
        <f t="shared" si="4"/>
        <v>10000000</v>
      </c>
      <c r="P16" s="255">
        <f t="shared" si="5"/>
        <v>1920580.1600000001</v>
      </c>
      <c r="Q16" s="255"/>
      <c r="R16" s="255"/>
      <c r="S16" s="255">
        <f t="shared" si="6"/>
        <v>0</v>
      </c>
      <c r="T16" s="255">
        <f t="shared" si="7"/>
        <v>0</v>
      </c>
      <c r="U16" s="255">
        <f t="shared" si="8"/>
        <v>650000</v>
      </c>
      <c r="V16" s="255">
        <f t="shared" si="9"/>
        <v>650000</v>
      </c>
      <c r="W16" s="255"/>
      <c r="X16" s="255"/>
      <c r="Y16" s="255"/>
      <c r="Z16" s="254"/>
      <c r="AA16" s="254" t="s">
        <v>1303</v>
      </c>
      <c r="AB16" s="254">
        <v>747000</v>
      </c>
      <c r="AC16" s="420"/>
      <c r="AD16" s="266"/>
      <c r="AE16" s="425"/>
      <c r="AJ16" s="416"/>
      <c r="AK16" s="416"/>
      <c r="AL16" s="416"/>
    </row>
    <row r="17" spans="1:38" s="258" customFormat="1" ht="35.15" customHeight="1">
      <c r="A17" s="254">
        <f t="shared" si="10"/>
        <v>11</v>
      </c>
      <c r="B17" s="254">
        <v>1402</v>
      </c>
      <c r="C17" s="254" t="s">
        <v>135</v>
      </c>
      <c r="D17" s="255">
        <v>7700000</v>
      </c>
      <c r="E17" s="255">
        <v>7700000</v>
      </c>
      <c r="F17" s="255">
        <f t="shared" si="0"/>
        <v>0</v>
      </c>
      <c r="G17" s="255">
        <v>7700000</v>
      </c>
      <c r="H17" s="255">
        <v>7686958.6200000001</v>
      </c>
      <c r="I17" s="255"/>
      <c r="J17" s="255">
        <v>10526.88</v>
      </c>
      <c r="K17" s="255">
        <f t="shared" si="2"/>
        <v>10526.88</v>
      </c>
      <c r="L17" s="255">
        <f t="shared" si="1"/>
        <v>7697485.5</v>
      </c>
      <c r="M17" s="255">
        <f t="shared" si="3"/>
        <v>2514.5</v>
      </c>
      <c r="N17" s="255"/>
      <c r="O17" s="255">
        <f t="shared" si="4"/>
        <v>0</v>
      </c>
      <c r="P17" s="255">
        <f t="shared" si="5"/>
        <v>2514.5</v>
      </c>
      <c r="Q17" s="255"/>
      <c r="R17" s="255"/>
      <c r="S17" s="255">
        <f t="shared" si="6"/>
        <v>0</v>
      </c>
      <c r="T17" s="255">
        <f t="shared" si="7"/>
        <v>0</v>
      </c>
      <c r="U17" s="255">
        <f t="shared" si="8"/>
        <v>0</v>
      </c>
      <c r="V17" s="255">
        <f t="shared" si="9"/>
        <v>0</v>
      </c>
      <c r="W17" s="255"/>
      <c r="X17" s="255"/>
      <c r="Y17" s="255"/>
      <c r="Z17" s="254"/>
      <c r="AA17" s="254"/>
      <c r="AB17" s="254">
        <v>714000</v>
      </c>
      <c r="AC17" s="420"/>
      <c r="AD17" s="266"/>
      <c r="AE17" s="425"/>
      <c r="AJ17" s="416"/>
      <c r="AK17" s="416"/>
      <c r="AL17" s="416"/>
    </row>
    <row r="18" spans="1:38" s="258" customFormat="1" ht="35.15" customHeight="1">
      <c r="A18" s="254">
        <f t="shared" si="10"/>
        <v>12</v>
      </c>
      <c r="B18" s="254">
        <v>1403</v>
      </c>
      <c r="C18" s="254" t="s">
        <v>704</v>
      </c>
      <c r="D18" s="255">
        <v>31750000</v>
      </c>
      <c r="E18" s="255">
        <v>31750000</v>
      </c>
      <c r="F18" s="255">
        <f t="shared" si="0"/>
        <v>0</v>
      </c>
      <c r="G18" s="255">
        <v>27849800</v>
      </c>
      <c r="H18" s="255">
        <v>19438206</v>
      </c>
      <c r="I18" s="255"/>
      <c r="J18" s="255">
        <v>6913157</v>
      </c>
      <c r="K18" s="255">
        <f t="shared" si="2"/>
        <v>6913157</v>
      </c>
      <c r="L18" s="255">
        <f t="shared" si="1"/>
        <v>26351363</v>
      </c>
      <c r="M18" s="255">
        <f t="shared" si="3"/>
        <v>4148437</v>
      </c>
      <c r="N18" s="255">
        <v>1250200</v>
      </c>
      <c r="O18" s="255">
        <f t="shared" si="4"/>
        <v>0</v>
      </c>
      <c r="P18" s="255">
        <f t="shared" si="5"/>
        <v>1498437</v>
      </c>
      <c r="Q18" s="255">
        <v>650000</v>
      </c>
      <c r="R18" s="255">
        <v>2000000</v>
      </c>
      <c r="S18" s="255">
        <f t="shared" si="6"/>
        <v>2650000</v>
      </c>
      <c r="T18" s="255">
        <f t="shared" si="7"/>
        <v>0</v>
      </c>
      <c r="U18" s="255">
        <f t="shared" si="8"/>
        <v>1250200</v>
      </c>
      <c r="V18" s="255">
        <f t="shared" si="9"/>
        <v>1250200</v>
      </c>
      <c r="W18" s="255"/>
      <c r="X18" s="255"/>
      <c r="Y18" s="255"/>
      <c r="Z18" s="254"/>
      <c r="AA18" s="254" t="s">
        <v>1304</v>
      </c>
      <c r="AB18" s="254">
        <v>826000</v>
      </c>
      <c r="AC18" s="420"/>
      <c r="AD18" s="266"/>
      <c r="AE18" s="425"/>
      <c r="AJ18" s="416"/>
      <c r="AK18" s="416"/>
      <c r="AL18" s="416"/>
    </row>
    <row r="19" spans="1:38" s="258" customFormat="1" ht="35.15" customHeight="1">
      <c r="A19" s="254">
        <f t="shared" si="10"/>
        <v>13</v>
      </c>
      <c r="B19" s="254">
        <v>1443</v>
      </c>
      <c r="C19" s="254" t="s">
        <v>136</v>
      </c>
      <c r="D19" s="255">
        <v>78500000</v>
      </c>
      <c r="E19" s="255">
        <v>78500000</v>
      </c>
      <c r="F19" s="255">
        <f t="shared" si="0"/>
        <v>0</v>
      </c>
      <c r="G19" s="255">
        <v>50840000</v>
      </c>
      <c r="H19" s="255">
        <v>50824299</v>
      </c>
      <c r="I19" s="255"/>
      <c r="J19" s="255"/>
      <c r="K19" s="255">
        <f t="shared" si="2"/>
        <v>0</v>
      </c>
      <c r="L19" s="255">
        <f t="shared" si="1"/>
        <v>50824299</v>
      </c>
      <c r="M19" s="255">
        <f t="shared" si="3"/>
        <v>15701</v>
      </c>
      <c r="N19" s="255"/>
      <c r="O19" s="255">
        <f t="shared" si="4"/>
        <v>27660000</v>
      </c>
      <c r="P19" s="255">
        <f t="shared" si="5"/>
        <v>15701</v>
      </c>
      <c r="Q19" s="255"/>
      <c r="R19" s="255"/>
      <c r="S19" s="255">
        <f t="shared" si="6"/>
        <v>0</v>
      </c>
      <c r="T19" s="255">
        <f t="shared" si="7"/>
        <v>0</v>
      </c>
      <c r="U19" s="255">
        <f t="shared" si="8"/>
        <v>0</v>
      </c>
      <c r="V19" s="255">
        <f t="shared" si="9"/>
        <v>0</v>
      </c>
      <c r="W19" s="255"/>
      <c r="X19" s="255"/>
      <c r="Y19" s="255"/>
      <c r="Z19" s="254"/>
      <c r="AA19" s="254"/>
      <c r="AB19" s="254">
        <v>749000</v>
      </c>
      <c r="AC19" s="420"/>
      <c r="AD19" s="266"/>
      <c r="AE19" s="425"/>
      <c r="AJ19" s="416"/>
      <c r="AK19" s="416"/>
      <c r="AL19" s="416"/>
    </row>
    <row r="20" spans="1:38" s="258" customFormat="1" ht="35.15" customHeight="1">
      <c r="A20" s="254">
        <f t="shared" si="10"/>
        <v>14</v>
      </c>
      <c r="B20" s="254">
        <v>1446</v>
      </c>
      <c r="C20" s="254" t="s">
        <v>321</v>
      </c>
      <c r="D20" s="255">
        <v>14250000</v>
      </c>
      <c r="E20" s="255">
        <v>14250000</v>
      </c>
      <c r="F20" s="255">
        <f t="shared" si="0"/>
        <v>0</v>
      </c>
      <c r="G20" s="255">
        <v>5000000</v>
      </c>
      <c r="H20" s="255">
        <v>2780916.5</v>
      </c>
      <c r="I20" s="255">
        <v>1.1599999999999999</v>
      </c>
      <c r="J20" s="255">
        <v>2118058</v>
      </c>
      <c r="K20" s="255">
        <f t="shared" si="2"/>
        <v>2118059.16</v>
      </c>
      <c r="L20" s="255">
        <f t="shared" si="1"/>
        <v>4898975.66</v>
      </c>
      <c r="M20" s="255">
        <f t="shared" si="3"/>
        <v>3101024.34</v>
      </c>
      <c r="N20" s="255">
        <v>6250000</v>
      </c>
      <c r="O20" s="255">
        <f t="shared" si="4"/>
        <v>0</v>
      </c>
      <c r="P20" s="255">
        <f t="shared" si="5"/>
        <v>101024.33999999985</v>
      </c>
      <c r="Q20" s="255">
        <v>3000000</v>
      </c>
      <c r="R20" s="255"/>
      <c r="S20" s="255">
        <f t="shared" si="6"/>
        <v>3000000</v>
      </c>
      <c r="T20" s="255">
        <f t="shared" si="7"/>
        <v>0</v>
      </c>
      <c r="U20" s="255">
        <f t="shared" si="8"/>
        <v>6250000</v>
      </c>
      <c r="V20" s="255">
        <f t="shared" si="9"/>
        <v>6250000</v>
      </c>
      <c r="W20" s="255"/>
      <c r="X20" s="255"/>
      <c r="Y20" s="255"/>
      <c r="Z20" s="254"/>
      <c r="AA20" s="428" t="s">
        <v>1058</v>
      </c>
      <c r="AB20" s="254">
        <v>742000</v>
      </c>
      <c r="AC20" s="420"/>
      <c r="AD20" s="266"/>
      <c r="AE20" s="425"/>
      <c r="AJ20" s="416"/>
      <c r="AK20" s="416"/>
      <c r="AL20" s="416"/>
    </row>
    <row r="21" spans="1:38" s="258" customFormat="1" ht="35.15" customHeight="1">
      <c r="A21" s="254">
        <f t="shared" si="10"/>
        <v>15</v>
      </c>
      <c r="B21" s="254">
        <v>1455</v>
      </c>
      <c r="C21" s="254" t="s">
        <v>45</v>
      </c>
      <c r="D21" s="255">
        <v>4500000</v>
      </c>
      <c r="E21" s="255">
        <v>4500000</v>
      </c>
      <c r="F21" s="255">
        <f t="shared" si="0"/>
        <v>0</v>
      </c>
      <c r="G21" s="255">
        <v>4500000</v>
      </c>
      <c r="H21" s="255">
        <v>1029179.7</v>
      </c>
      <c r="I21" s="255"/>
      <c r="J21" s="255">
        <v>3323385.7</v>
      </c>
      <c r="K21" s="255">
        <f t="shared" si="2"/>
        <v>3323385.7</v>
      </c>
      <c r="L21" s="255">
        <f t="shared" si="1"/>
        <v>4352565.4000000004</v>
      </c>
      <c r="M21" s="255">
        <f t="shared" si="3"/>
        <v>147434.59999999963</v>
      </c>
      <c r="N21" s="255"/>
      <c r="O21" s="255">
        <f t="shared" si="4"/>
        <v>0</v>
      </c>
      <c r="P21" s="255">
        <f t="shared" si="5"/>
        <v>147434.59999999963</v>
      </c>
      <c r="Q21" s="255"/>
      <c r="R21" s="255"/>
      <c r="S21" s="255">
        <f t="shared" si="6"/>
        <v>0</v>
      </c>
      <c r="T21" s="255">
        <f t="shared" si="7"/>
        <v>0</v>
      </c>
      <c r="U21" s="255">
        <f t="shared" si="8"/>
        <v>0</v>
      </c>
      <c r="V21" s="255">
        <f t="shared" si="9"/>
        <v>0</v>
      </c>
      <c r="W21" s="255"/>
      <c r="X21" s="255"/>
      <c r="Y21" s="255"/>
      <c r="Z21" s="254"/>
      <c r="AA21" s="428"/>
      <c r="AB21" s="254">
        <v>742000</v>
      </c>
      <c r="AC21" s="420"/>
      <c r="AD21" s="266"/>
      <c r="AE21" s="425"/>
      <c r="AJ21" s="416"/>
      <c r="AK21" s="416"/>
      <c r="AL21" s="416"/>
    </row>
    <row r="22" spans="1:38" s="258" customFormat="1" ht="35.15" customHeight="1">
      <c r="A22" s="254">
        <f t="shared" si="10"/>
        <v>16</v>
      </c>
      <c r="B22" s="254">
        <v>1462</v>
      </c>
      <c r="C22" s="254" t="s">
        <v>705</v>
      </c>
      <c r="D22" s="255">
        <v>7500000</v>
      </c>
      <c r="E22" s="255">
        <v>7500000</v>
      </c>
      <c r="F22" s="255">
        <f t="shared" si="0"/>
        <v>0</v>
      </c>
      <c r="G22" s="255">
        <v>4600000</v>
      </c>
      <c r="H22" s="255">
        <v>2520514</v>
      </c>
      <c r="I22" s="255"/>
      <c r="J22" s="255">
        <v>1858217</v>
      </c>
      <c r="K22" s="255">
        <f t="shared" si="2"/>
        <v>1858217</v>
      </c>
      <c r="L22" s="255">
        <f t="shared" si="1"/>
        <v>4378731</v>
      </c>
      <c r="M22" s="255">
        <f t="shared" si="3"/>
        <v>3121269</v>
      </c>
      <c r="N22" s="255"/>
      <c r="O22" s="255">
        <f t="shared" si="4"/>
        <v>0</v>
      </c>
      <c r="P22" s="255">
        <f t="shared" si="5"/>
        <v>221269</v>
      </c>
      <c r="Q22" s="255">
        <v>2900000</v>
      </c>
      <c r="R22" s="255"/>
      <c r="S22" s="255">
        <f t="shared" si="6"/>
        <v>2900000</v>
      </c>
      <c r="T22" s="255">
        <f t="shared" si="7"/>
        <v>0</v>
      </c>
      <c r="U22" s="255">
        <f t="shared" si="8"/>
        <v>0</v>
      </c>
      <c r="V22" s="255">
        <f t="shared" si="9"/>
        <v>0</v>
      </c>
      <c r="W22" s="255"/>
      <c r="X22" s="255"/>
      <c r="Y22" s="255"/>
      <c r="Z22" s="254"/>
      <c r="AA22" s="254" t="s">
        <v>1433</v>
      </c>
      <c r="AB22" s="254">
        <v>742000</v>
      </c>
      <c r="AC22" s="420"/>
      <c r="AD22" s="266"/>
      <c r="AE22" s="425"/>
      <c r="AJ22" s="416"/>
      <c r="AK22" s="416"/>
      <c r="AL22" s="416"/>
    </row>
    <row r="23" spans="1:38" s="258" customFormat="1" ht="35.15" customHeight="1">
      <c r="A23" s="254">
        <f t="shared" si="10"/>
        <v>17</v>
      </c>
      <c r="B23" s="254">
        <v>1539</v>
      </c>
      <c r="C23" s="254" t="s">
        <v>47</v>
      </c>
      <c r="D23" s="255">
        <v>16300000</v>
      </c>
      <c r="E23" s="255">
        <v>16300000</v>
      </c>
      <c r="F23" s="255">
        <f t="shared" si="0"/>
        <v>0</v>
      </c>
      <c r="G23" s="255">
        <v>11240068</v>
      </c>
      <c r="H23" s="255">
        <v>4351428</v>
      </c>
      <c r="I23" s="255">
        <v>54264.4</v>
      </c>
      <c r="J23" s="255">
        <v>4279760</v>
      </c>
      <c r="K23" s="255">
        <f t="shared" si="2"/>
        <v>4334024.4000000004</v>
      </c>
      <c r="L23" s="255">
        <f t="shared" si="1"/>
        <v>8685452.4000000004</v>
      </c>
      <c r="M23" s="255">
        <f t="shared" si="3"/>
        <v>7614547.5999999996</v>
      </c>
      <c r="N23" s="255"/>
      <c r="O23" s="255">
        <f t="shared" si="4"/>
        <v>0</v>
      </c>
      <c r="P23" s="255">
        <f t="shared" si="5"/>
        <v>2554615.5999999996</v>
      </c>
      <c r="Q23" s="255">
        <v>5059932</v>
      </c>
      <c r="R23" s="255"/>
      <c r="S23" s="255">
        <f t="shared" si="6"/>
        <v>5059932</v>
      </c>
      <c r="T23" s="255">
        <f t="shared" si="7"/>
        <v>0</v>
      </c>
      <c r="U23" s="255">
        <f t="shared" si="8"/>
        <v>0</v>
      </c>
      <c r="V23" s="255">
        <f t="shared" si="9"/>
        <v>0</v>
      </c>
      <c r="W23" s="255"/>
      <c r="X23" s="255"/>
      <c r="Y23" s="255"/>
      <c r="Z23" s="254"/>
      <c r="AA23" s="254" t="s">
        <v>1434</v>
      </c>
      <c r="AB23" s="254">
        <v>742000</v>
      </c>
      <c r="AC23" s="420"/>
      <c r="AD23" s="266"/>
      <c r="AE23" s="425"/>
      <c r="AJ23" s="416"/>
      <c r="AK23" s="416"/>
      <c r="AL23" s="416"/>
    </row>
    <row r="24" spans="1:38" s="258" customFormat="1" ht="35.15" customHeight="1">
      <c r="A24" s="254">
        <f t="shared" si="10"/>
        <v>18</v>
      </c>
      <c r="B24" s="254">
        <v>1588</v>
      </c>
      <c r="C24" s="254" t="s">
        <v>31</v>
      </c>
      <c r="D24" s="255">
        <v>50500000</v>
      </c>
      <c r="E24" s="255">
        <v>50500000</v>
      </c>
      <c r="F24" s="255">
        <f t="shared" si="0"/>
        <v>0</v>
      </c>
      <c r="G24" s="255">
        <f>15500000+5000000</f>
        <v>20500000</v>
      </c>
      <c r="H24" s="255">
        <v>14968892</v>
      </c>
      <c r="I24" s="255">
        <v>682147.41</v>
      </c>
      <c r="J24" s="255">
        <v>3348957</v>
      </c>
      <c r="K24" s="255">
        <f t="shared" si="2"/>
        <v>4031104.41</v>
      </c>
      <c r="L24" s="255">
        <f t="shared" si="1"/>
        <v>18999996.41</v>
      </c>
      <c r="M24" s="255">
        <f t="shared" si="3"/>
        <v>5500003.5899999999</v>
      </c>
      <c r="N24" s="255">
        <f>28000000-2000000</f>
        <v>26000000</v>
      </c>
      <c r="O24" s="255">
        <f t="shared" si="4"/>
        <v>0</v>
      </c>
      <c r="P24" s="255">
        <f t="shared" si="5"/>
        <v>1500003.5899999999</v>
      </c>
      <c r="Q24" s="255"/>
      <c r="R24" s="423">
        <f>7000000-3000000</f>
        <v>4000000</v>
      </c>
      <c r="S24" s="255">
        <f t="shared" si="6"/>
        <v>4000000</v>
      </c>
      <c r="T24" s="255">
        <f t="shared" si="7"/>
        <v>0</v>
      </c>
      <c r="U24" s="255">
        <f t="shared" si="8"/>
        <v>26000000</v>
      </c>
      <c r="V24" s="255">
        <f t="shared" si="9"/>
        <v>26000000</v>
      </c>
      <c r="W24" s="255"/>
      <c r="X24" s="255"/>
      <c r="Y24" s="255"/>
      <c r="Z24" s="254"/>
      <c r="AA24" s="254" t="s">
        <v>1059</v>
      </c>
      <c r="AB24" s="254">
        <v>742000</v>
      </c>
      <c r="AC24" s="420"/>
      <c r="AD24" s="266"/>
      <c r="AE24" s="425"/>
      <c r="AJ24" s="416"/>
      <c r="AK24" s="416"/>
      <c r="AL24" s="416"/>
    </row>
    <row r="25" spans="1:38" s="258" customFormat="1" ht="35.15" customHeight="1">
      <c r="A25" s="254">
        <f t="shared" si="10"/>
        <v>19</v>
      </c>
      <c r="B25" s="254">
        <v>1614</v>
      </c>
      <c r="C25" s="254" t="s">
        <v>706</v>
      </c>
      <c r="D25" s="255">
        <v>7200000</v>
      </c>
      <c r="E25" s="255">
        <v>7200000</v>
      </c>
      <c r="F25" s="255">
        <f t="shared" si="0"/>
        <v>0</v>
      </c>
      <c r="G25" s="255">
        <v>500000</v>
      </c>
      <c r="H25" s="255">
        <v>376009</v>
      </c>
      <c r="I25" s="255">
        <v>4790.92</v>
      </c>
      <c r="J25" s="255">
        <v>9452.2900000000009</v>
      </c>
      <c r="K25" s="255">
        <f t="shared" si="2"/>
        <v>14243.210000000001</v>
      </c>
      <c r="L25" s="255">
        <f t="shared" si="1"/>
        <v>390252.21</v>
      </c>
      <c r="M25" s="255">
        <f t="shared" si="3"/>
        <v>5809747.79</v>
      </c>
      <c r="N25" s="255">
        <v>1000000</v>
      </c>
      <c r="O25" s="255">
        <f t="shared" si="4"/>
        <v>0</v>
      </c>
      <c r="P25" s="255">
        <f t="shared" si="5"/>
        <v>109747.78999999998</v>
      </c>
      <c r="Q25" s="255">
        <v>5700000</v>
      </c>
      <c r="R25" s="255"/>
      <c r="S25" s="255">
        <f t="shared" si="6"/>
        <v>5700000</v>
      </c>
      <c r="T25" s="255">
        <f t="shared" si="7"/>
        <v>0</v>
      </c>
      <c r="U25" s="255">
        <f t="shared" si="8"/>
        <v>1000000</v>
      </c>
      <c r="V25" s="255">
        <f t="shared" si="9"/>
        <v>1000000</v>
      </c>
      <c r="W25" s="255"/>
      <c r="X25" s="255"/>
      <c r="Y25" s="255"/>
      <c r="Z25" s="254"/>
      <c r="AA25" s="254" t="s">
        <v>1060</v>
      </c>
      <c r="AB25" s="254">
        <v>742000</v>
      </c>
      <c r="AC25" s="420"/>
      <c r="AD25" s="266"/>
      <c r="AE25" s="425"/>
      <c r="AJ25" s="416"/>
      <c r="AK25" s="416"/>
      <c r="AL25" s="416"/>
    </row>
    <row r="26" spans="1:38" s="258" customFormat="1" ht="35.15" customHeight="1">
      <c r="A26" s="254">
        <f t="shared" si="10"/>
        <v>20</v>
      </c>
      <c r="B26" s="254">
        <v>1615</v>
      </c>
      <c r="C26" s="254" t="s">
        <v>200</v>
      </c>
      <c r="D26" s="255">
        <v>27700000</v>
      </c>
      <c r="E26" s="255">
        <v>27700000</v>
      </c>
      <c r="F26" s="255">
        <f t="shared" si="0"/>
        <v>0</v>
      </c>
      <c r="G26" s="255">
        <v>13200000</v>
      </c>
      <c r="H26" s="255">
        <v>8108780</v>
      </c>
      <c r="I26" s="255"/>
      <c r="J26" s="255">
        <v>4500965</v>
      </c>
      <c r="K26" s="255">
        <f t="shared" si="2"/>
        <v>4500965</v>
      </c>
      <c r="L26" s="255">
        <f t="shared" si="1"/>
        <v>12609745</v>
      </c>
      <c r="M26" s="255">
        <f t="shared" si="3"/>
        <v>7590255</v>
      </c>
      <c r="N26" s="255">
        <v>7500000</v>
      </c>
      <c r="O26" s="255">
        <f t="shared" si="4"/>
        <v>0</v>
      </c>
      <c r="P26" s="255">
        <f t="shared" si="5"/>
        <v>590255</v>
      </c>
      <c r="Q26" s="255">
        <v>7000000</v>
      </c>
      <c r="R26" s="255"/>
      <c r="S26" s="255">
        <f t="shared" si="6"/>
        <v>7000000</v>
      </c>
      <c r="T26" s="255">
        <f t="shared" si="7"/>
        <v>0</v>
      </c>
      <c r="U26" s="255">
        <f t="shared" si="8"/>
        <v>7500000</v>
      </c>
      <c r="V26" s="255">
        <f t="shared" si="9"/>
        <v>7500000</v>
      </c>
      <c r="W26" s="255"/>
      <c r="X26" s="255"/>
      <c r="Y26" s="255"/>
      <c r="Z26" s="254"/>
      <c r="AA26" s="254" t="s">
        <v>1061</v>
      </c>
      <c r="AB26" s="254">
        <v>742000</v>
      </c>
      <c r="AC26" s="420"/>
      <c r="AD26" s="266"/>
      <c r="AE26" s="425"/>
      <c r="AJ26" s="416"/>
      <c r="AK26" s="416"/>
      <c r="AL26" s="416"/>
    </row>
    <row r="27" spans="1:38" s="258" customFormat="1" ht="35.15" customHeight="1">
      <c r="A27" s="254">
        <f t="shared" si="10"/>
        <v>21</v>
      </c>
      <c r="B27" s="254">
        <v>1625</v>
      </c>
      <c r="C27" s="254" t="s">
        <v>206</v>
      </c>
      <c r="D27" s="255">
        <v>100000000</v>
      </c>
      <c r="E27" s="255">
        <v>100000000</v>
      </c>
      <c r="F27" s="255">
        <f t="shared" si="0"/>
        <v>0</v>
      </c>
      <c r="G27" s="255">
        <v>5125000</v>
      </c>
      <c r="H27" s="255">
        <v>4996356.58</v>
      </c>
      <c r="I27" s="255"/>
      <c r="J27" s="255">
        <v>118788.1</v>
      </c>
      <c r="K27" s="255">
        <f t="shared" si="2"/>
        <v>118788.1</v>
      </c>
      <c r="L27" s="255">
        <f t="shared" si="1"/>
        <v>5115144.68</v>
      </c>
      <c r="M27" s="255">
        <f t="shared" si="3"/>
        <v>9855.320000000298</v>
      </c>
      <c r="N27" s="255"/>
      <c r="O27" s="255">
        <f t="shared" si="4"/>
        <v>94875000</v>
      </c>
      <c r="P27" s="255">
        <f t="shared" si="5"/>
        <v>9855.320000000298</v>
      </c>
      <c r="Q27" s="255"/>
      <c r="R27" s="255"/>
      <c r="S27" s="255">
        <f t="shared" si="6"/>
        <v>0</v>
      </c>
      <c r="T27" s="255">
        <f t="shared" si="7"/>
        <v>0</v>
      </c>
      <c r="U27" s="255">
        <f t="shared" si="8"/>
        <v>0</v>
      </c>
      <c r="V27" s="255">
        <f t="shared" si="9"/>
        <v>0</v>
      </c>
      <c r="W27" s="255"/>
      <c r="X27" s="255"/>
      <c r="Y27" s="255"/>
      <c r="Z27" s="254"/>
      <c r="AA27" s="254"/>
      <c r="AB27" s="254">
        <v>829000</v>
      </c>
      <c r="AC27" s="420"/>
      <c r="AD27" s="266"/>
      <c r="AE27" s="425"/>
      <c r="AJ27" s="416"/>
      <c r="AK27" s="416"/>
      <c r="AL27" s="416"/>
    </row>
    <row r="28" spans="1:38" s="258" customFormat="1" ht="35.15" customHeight="1">
      <c r="A28" s="254">
        <f t="shared" si="10"/>
        <v>22</v>
      </c>
      <c r="B28" s="254">
        <v>1656</v>
      </c>
      <c r="C28" s="254" t="s">
        <v>49</v>
      </c>
      <c r="D28" s="255">
        <f>10800000-1400000</f>
        <v>9400000</v>
      </c>
      <c r="E28" s="255">
        <v>10800000</v>
      </c>
      <c r="F28" s="255">
        <f t="shared" si="0"/>
        <v>-1400000</v>
      </c>
      <c r="G28" s="255">
        <v>10800000</v>
      </c>
      <c r="H28" s="255">
        <v>6188759.0999999996</v>
      </c>
      <c r="I28" s="255">
        <v>30194.89</v>
      </c>
      <c r="J28" s="255">
        <v>2988274.59</v>
      </c>
      <c r="K28" s="255">
        <f t="shared" si="2"/>
        <v>3018469.48</v>
      </c>
      <c r="L28" s="255">
        <f t="shared" si="1"/>
        <v>9207228.5800000001</v>
      </c>
      <c r="M28" s="255">
        <f>P28+S28-1400000</f>
        <v>192771.41999999993</v>
      </c>
      <c r="N28" s="255"/>
      <c r="O28" s="255">
        <f t="shared" si="4"/>
        <v>0</v>
      </c>
      <c r="P28" s="255">
        <f t="shared" si="5"/>
        <v>1592771.42</v>
      </c>
      <c r="Q28" s="255"/>
      <c r="R28" s="255"/>
      <c r="S28" s="255">
        <f t="shared" si="6"/>
        <v>0</v>
      </c>
      <c r="T28" s="255">
        <f t="shared" si="7"/>
        <v>1400000</v>
      </c>
      <c r="U28" s="255">
        <f t="shared" si="8"/>
        <v>-1400000</v>
      </c>
      <c r="V28" s="255">
        <f t="shared" si="9"/>
        <v>-1400000</v>
      </c>
      <c r="W28" s="255"/>
      <c r="X28" s="255"/>
      <c r="Y28" s="255"/>
      <c r="Z28" s="254"/>
      <c r="AA28" s="428"/>
      <c r="AB28" s="254">
        <v>742000</v>
      </c>
      <c r="AC28" s="420"/>
      <c r="AD28" s="266"/>
      <c r="AE28" s="425"/>
      <c r="AJ28" s="416"/>
      <c r="AK28" s="416"/>
      <c r="AL28" s="416"/>
    </row>
    <row r="29" spans="1:38" s="258" customFormat="1" ht="35.15" customHeight="1">
      <c r="A29" s="254">
        <f t="shared" si="10"/>
        <v>23</v>
      </c>
      <c r="B29" s="254">
        <v>1657</v>
      </c>
      <c r="C29" s="254" t="s">
        <v>33</v>
      </c>
      <c r="D29" s="255">
        <v>60000000</v>
      </c>
      <c r="E29" s="255">
        <v>60000000</v>
      </c>
      <c r="F29" s="255">
        <f t="shared" si="0"/>
        <v>0</v>
      </c>
      <c r="G29" s="255">
        <v>10700000</v>
      </c>
      <c r="H29" s="255">
        <v>1285188.1599999999</v>
      </c>
      <c r="I29" s="255">
        <v>167189.14000000001</v>
      </c>
      <c r="J29" s="255">
        <v>1443624.21</v>
      </c>
      <c r="K29" s="255">
        <f t="shared" si="2"/>
        <v>1610813.35</v>
      </c>
      <c r="L29" s="255">
        <f t="shared" si="1"/>
        <v>2896001.51</v>
      </c>
      <c r="M29" s="255">
        <f t="shared" si="3"/>
        <v>10803998.49</v>
      </c>
      <c r="N29" s="255">
        <v>210000</v>
      </c>
      <c r="O29" s="255">
        <f t="shared" si="4"/>
        <v>46090000</v>
      </c>
      <c r="P29" s="255">
        <f t="shared" si="5"/>
        <v>7803998.4900000002</v>
      </c>
      <c r="Q29" s="255">
        <v>3000000</v>
      </c>
      <c r="R29" s="255"/>
      <c r="S29" s="255">
        <f t="shared" si="6"/>
        <v>3000000</v>
      </c>
      <c r="T29" s="255">
        <f t="shared" si="7"/>
        <v>0</v>
      </c>
      <c r="U29" s="255">
        <f t="shared" si="8"/>
        <v>210000</v>
      </c>
      <c r="V29" s="255">
        <f t="shared" si="9"/>
        <v>0</v>
      </c>
      <c r="W29" s="255"/>
      <c r="X29" s="255"/>
      <c r="Y29" s="255"/>
      <c r="Z29" s="255">
        <v>210000</v>
      </c>
      <c r="AA29" s="3" t="s">
        <v>1305</v>
      </c>
      <c r="AB29" s="254">
        <v>742000</v>
      </c>
      <c r="AC29" s="420"/>
      <c r="AD29" s="266"/>
      <c r="AE29" s="425"/>
      <c r="AJ29" s="416"/>
      <c r="AK29" s="416"/>
      <c r="AL29" s="416"/>
    </row>
    <row r="30" spans="1:38" s="258" customFormat="1" ht="35.15" customHeight="1">
      <c r="A30" s="254">
        <f t="shared" si="10"/>
        <v>24</v>
      </c>
      <c r="B30" s="254">
        <v>1718</v>
      </c>
      <c r="C30" s="254" t="s">
        <v>64</v>
      </c>
      <c r="D30" s="255">
        <f>13200000-2000000</f>
        <v>11200000</v>
      </c>
      <c r="E30" s="255">
        <v>13200000</v>
      </c>
      <c r="F30" s="255">
        <f t="shared" si="0"/>
        <v>-2000000</v>
      </c>
      <c r="G30" s="255">
        <v>13200000</v>
      </c>
      <c r="H30" s="255">
        <v>10395784.18</v>
      </c>
      <c r="I30" s="255">
        <v>32327.69</v>
      </c>
      <c r="J30" s="255">
        <v>591129.55000000005</v>
      </c>
      <c r="K30" s="255">
        <f t="shared" si="2"/>
        <v>623457.24</v>
      </c>
      <c r="L30" s="255">
        <f t="shared" si="1"/>
        <v>11019241.42</v>
      </c>
      <c r="M30" s="255">
        <f>P30+S30-2000000</f>
        <v>180758.58000000007</v>
      </c>
      <c r="N30" s="255"/>
      <c r="O30" s="255">
        <f t="shared" si="4"/>
        <v>0</v>
      </c>
      <c r="P30" s="255">
        <f t="shared" si="5"/>
        <v>2180758.58</v>
      </c>
      <c r="Q30" s="255"/>
      <c r="R30" s="255"/>
      <c r="S30" s="255">
        <f t="shared" si="6"/>
        <v>0</v>
      </c>
      <c r="T30" s="255">
        <f t="shared" si="7"/>
        <v>2000000</v>
      </c>
      <c r="U30" s="255">
        <f t="shared" si="8"/>
        <v>-2000000</v>
      </c>
      <c r="V30" s="255">
        <f t="shared" si="9"/>
        <v>-2000000</v>
      </c>
      <c r="W30" s="255"/>
      <c r="X30" s="255"/>
      <c r="Y30" s="255"/>
      <c r="Z30" s="254"/>
      <c r="AA30" s="254"/>
      <c r="AB30" s="254">
        <v>742000</v>
      </c>
      <c r="AC30" s="420"/>
      <c r="AD30" s="266"/>
      <c r="AE30" s="425"/>
      <c r="AJ30" s="416"/>
      <c r="AK30" s="416"/>
      <c r="AL30" s="416"/>
    </row>
    <row r="31" spans="1:38" s="258" customFormat="1" ht="42">
      <c r="A31" s="254">
        <f t="shared" si="10"/>
        <v>25</v>
      </c>
      <c r="B31" s="254">
        <v>1723</v>
      </c>
      <c r="C31" s="254" t="s">
        <v>34</v>
      </c>
      <c r="D31" s="255">
        <v>17500000</v>
      </c>
      <c r="E31" s="255">
        <v>17500000</v>
      </c>
      <c r="F31" s="255">
        <f t="shared" si="0"/>
        <v>0</v>
      </c>
      <c r="G31" s="255">
        <v>12212460</v>
      </c>
      <c r="H31" s="255">
        <v>1125069</v>
      </c>
      <c r="I31" s="255"/>
      <c r="J31" s="255">
        <v>6598927.9400000004</v>
      </c>
      <c r="K31" s="255">
        <f t="shared" si="2"/>
        <v>6598927.9400000004</v>
      </c>
      <c r="L31" s="255">
        <f t="shared" si="1"/>
        <v>7723996.9400000004</v>
      </c>
      <c r="M31" s="255">
        <f t="shared" si="3"/>
        <v>4488463.0599999996</v>
      </c>
      <c r="N31" s="255">
        <v>5287540</v>
      </c>
      <c r="O31" s="255">
        <f t="shared" si="4"/>
        <v>0</v>
      </c>
      <c r="P31" s="255">
        <f t="shared" si="5"/>
        <v>4488463.0599999996</v>
      </c>
      <c r="Q31" s="255"/>
      <c r="R31" s="255"/>
      <c r="S31" s="255">
        <f t="shared" si="6"/>
        <v>0</v>
      </c>
      <c r="T31" s="255">
        <f t="shared" si="7"/>
        <v>0</v>
      </c>
      <c r="U31" s="255">
        <f t="shared" si="8"/>
        <v>5287540</v>
      </c>
      <c r="V31" s="255">
        <f t="shared" si="9"/>
        <v>825000</v>
      </c>
      <c r="W31" s="255"/>
      <c r="X31" s="255"/>
      <c r="Y31" s="255"/>
      <c r="Z31" s="255">
        <f>8745387-4282847</f>
        <v>4462540</v>
      </c>
      <c r="AA31" s="254" t="s">
        <v>1306</v>
      </c>
      <c r="AB31" s="254">
        <v>732000</v>
      </c>
      <c r="AC31" s="420"/>
      <c r="AD31" s="266"/>
      <c r="AE31" s="425"/>
      <c r="AJ31" s="416"/>
      <c r="AK31" s="416"/>
      <c r="AL31" s="416"/>
    </row>
    <row r="32" spans="1:38" s="258" customFormat="1" ht="35.15" customHeight="1">
      <c r="A32" s="254">
        <f t="shared" si="10"/>
        <v>26</v>
      </c>
      <c r="B32" s="254">
        <v>1739</v>
      </c>
      <c r="C32" s="254" t="s">
        <v>175</v>
      </c>
      <c r="D32" s="255">
        <f>6550000-235000</f>
        <v>6315000</v>
      </c>
      <c r="E32" s="255">
        <v>6550000</v>
      </c>
      <c r="F32" s="255">
        <f t="shared" si="0"/>
        <v>-235000</v>
      </c>
      <c r="G32" s="255">
        <v>6550000</v>
      </c>
      <c r="H32" s="255">
        <v>6261075</v>
      </c>
      <c r="I32" s="255"/>
      <c r="J32" s="255"/>
      <c r="K32" s="255">
        <f t="shared" si="2"/>
        <v>0</v>
      </c>
      <c r="L32" s="255">
        <f t="shared" si="1"/>
        <v>6261075</v>
      </c>
      <c r="M32" s="255">
        <f>P32+S32-235000</f>
        <v>53925</v>
      </c>
      <c r="N32" s="255"/>
      <c r="O32" s="255">
        <f t="shared" si="4"/>
        <v>0</v>
      </c>
      <c r="P32" s="255">
        <f t="shared" si="5"/>
        <v>288925</v>
      </c>
      <c r="Q32" s="255"/>
      <c r="R32" s="255"/>
      <c r="S32" s="255">
        <f t="shared" si="6"/>
        <v>0</v>
      </c>
      <c r="T32" s="255">
        <f t="shared" si="7"/>
        <v>235000</v>
      </c>
      <c r="U32" s="255">
        <f t="shared" si="8"/>
        <v>-235000</v>
      </c>
      <c r="V32" s="255">
        <f t="shared" si="9"/>
        <v>-235000</v>
      </c>
      <c r="W32" s="255"/>
      <c r="X32" s="255"/>
      <c r="Y32" s="255"/>
      <c r="Z32" s="255"/>
      <c r="AA32" s="254"/>
      <c r="AB32" s="254">
        <v>747000</v>
      </c>
      <c r="AC32" s="420"/>
      <c r="AD32" s="266"/>
      <c r="AE32" s="425"/>
      <c r="AJ32" s="416"/>
      <c r="AK32" s="416"/>
      <c r="AL32" s="416"/>
    </row>
    <row r="33" spans="1:43" s="258" customFormat="1" ht="35.15" customHeight="1">
      <c r="A33" s="254">
        <f t="shared" si="10"/>
        <v>27</v>
      </c>
      <c r="B33" s="254">
        <v>1751</v>
      </c>
      <c r="C33" s="254" t="s">
        <v>172</v>
      </c>
      <c r="D33" s="255">
        <v>4800000</v>
      </c>
      <c r="E33" s="255">
        <v>4800000</v>
      </c>
      <c r="F33" s="255">
        <f t="shared" si="0"/>
        <v>0</v>
      </c>
      <c r="G33" s="255">
        <v>4000000</v>
      </c>
      <c r="H33" s="255">
        <v>2019880</v>
      </c>
      <c r="I33" s="255"/>
      <c r="J33" s="255">
        <v>972804.37</v>
      </c>
      <c r="K33" s="255">
        <f t="shared" si="2"/>
        <v>972804.37</v>
      </c>
      <c r="L33" s="255">
        <f t="shared" si="1"/>
        <v>2992684.37</v>
      </c>
      <c r="M33" s="255">
        <f t="shared" si="3"/>
        <v>1807315.63</v>
      </c>
      <c r="N33" s="255"/>
      <c r="O33" s="255">
        <f t="shared" si="4"/>
        <v>0</v>
      </c>
      <c r="P33" s="255">
        <f t="shared" si="5"/>
        <v>1007315.6299999999</v>
      </c>
      <c r="Q33" s="255">
        <v>800000</v>
      </c>
      <c r="R33" s="255"/>
      <c r="S33" s="255">
        <f t="shared" si="6"/>
        <v>800000</v>
      </c>
      <c r="T33" s="255">
        <f t="shared" si="7"/>
        <v>0</v>
      </c>
      <c r="U33" s="255">
        <f t="shared" si="8"/>
        <v>0</v>
      </c>
      <c r="V33" s="255">
        <f t="shared" si="9"/>
        <v>0</v>
      </c>
      <c r="W33" s="255"/>
      <c r="X33" s="255"/>
      <c r="Y33" s="255"/>
      <c r="Z33" s="254"/>
      <c r="AA33" s="254" t="s">
        <v>1439</v>
      </c>
      <c r="AB33" s="254">
        <v>810000</v>
      </c>
      <c r="AC33" s="420"/>
      <c r="AD33" s="266"/>
      <c r="AE33" s="425"/>
      <c r="AJ33" s="416"/>
      <c r="AK33" s="416"/>
      <c r="AL33" s="416"/>
    </row>
    <row r="34" spans="1:43" s="265" customFormat="1" ht="35.15" customHeight="1">
      <c r="A34" s="254">
        <f t="shared" si="10"/>
        <v>28</v>
      </c>
      <c r="B34" s="254">
        <v>1763</v>
      </c>
      <c r="C34" s="254" t="s">
        <v>179</v>
      </c>
      <c r="D34" s="255">
        <v>4200000</v>
      </c>
      <c r="E34" s="255">
        <v>4200000</v>
      </c>
      <c r="F34" s="255">
        <f t="shared" si="0"/>
        <v>0</v>
      </c>
      <c r="G34" s="255">
        <v>4200000</v>
      </c>
      <c r="H34" s="255">
        <v>4018658</v>
      </c>
      <c r="I34" s="255"/>
      <c r="J34" s="255">
        <v>181154.89</v>
      </c>
      <c r="K34" s="255">
        <f t="shared" si="2"/>
        <v>181154.89</v>
      </c>
      <c r="L34" s="255">
        <f t="shared" si="1"/>
        <v>4199812.8899999997</v>
      </c>
      <c r="M34" s="255">
        <f t="shared" si="3"/>
        <v>187.11000000033528</v>
      </c>
      <c r="N34" s="255"/>
      <c r="O34" s="255">
        <f t="shared" si="4"/>
        <v>0</v>
      </c>
      <c r="P34" s="255">
        <f t="shared" si="5"/>
        <v>187.11000000033528</v>
      </c>
      <c r="Q34" s="255"/>
      <c r="R34" s="255"/>
      <c r="S34" s="255">
        <f t="shared" si="6"/>
        <v>0</v>
      </c>
      <c r="T34" s="255">
        <f t="shared" si="7"/>
        <v>0</v>
      </c>
      <c r="U34" s="255">
        <f t="shared" si="8"/>
        <v>0</v>
      </c>
      <c r="V34" s="255">
        <f t="shared" si="9"/>
        <v>0</v>
      </c>
      <c r="W34" s="255"/>
      <c r="X34" s="255"/>
      <c r="Y34" s="255"/>
      <c r="Z34" s="254"/>
      <c r="AA34" s="254"/>
      <c r="AB34" s="254">
        <v>742000</v>
      </c>
      <c r="AC34" s="420"/>
      <c r="AD34" s="266"/>
      <c r="AE34" s="425"/>
      <c r="AF34" s="258"/>
      <c r="AG34" s="258"/>
      <c r="AH34" s="258"/>
      <c r="AI34" s="258"/>
      <c r="AJ34" s="416"/>
      <c r="AK34" s="416"/>
      <c r="AL34" s="416"/>
      <c r="AM34" s="258"/>
      <c r="AN34" s="258"/>
      <c r="AO34" s="258"/>
      <c r="AP34" s="258"/>
      <c r="AQ34" s="258"/>
    </row>
    <row r="35" spans="1:43" s="266" customFormat="1" ht="35.15" customHeight="1">
      <c r="A35" s="254">
        <f t="shared" si="10"/>
        <v>29</v>
      </c>
      <c r="B35" s="254">
        <v>1765</v>
      </c>
      <c r="C35" s="254" t="s">
        <v>171</v>
      </c>
      <c r="D35" s="255">
        <v>2800000</v>
      </c>
      <c r="E35" s="255">
        <v>2800000</v>
      </c>
      <c r="F35" s="255">
        <f t="shared" si="0"/>
        <v>0</v>
      </c>
      <c r="G35" s="255">
        <v>2800000</v>
      </c>
      <c r="H35" s="255">
        <v>1618136.36</v>
      </c>
      <c r="I35" s="255"/>
      <c r="J35" s="255">
        <v>282628.65999999997</v>
      </c>
      <c r="K35" s="255">
        <f t="shared" si="2"/>
        <v>282628.65999999997</v>
      </c>
      <c r="L35" s="255">
        <f t="shared" si="1"/>
        <v>1900765.02</v>
      </c>
      <c r="M35" s="255">
        <f t="shared" si="3"/>
        <v>899234.98</v>
      </c>
      <c r="N35" s="255"/>
      <c r="O35" s="255">
        <f t="shared" si="4"/>
        <v>0</v>
      </c>
      <c r="P35" s="255">
        <f t="shared" si="5"/>
        <v>899234.98</v>
      </c>
      <c r="Q35" s="255"/>
      <c r="R35" s="255"/>
      <c r="S35" s="255">
        <f t="shared" si="6"/>
        <v>0</v>
      </c>
      <c r="T35" s="255">
        <f t="shared" si="7"/>
        <v>0</v>
      </c>
      <c r="U35" s="255">
        <f t="shared" si="8"/>
        <v>0</v>
      </c>
      <c r="V35" s="255">
        <f t="shared" si="9"/>
        <v>0</v>
      </c>
      <c r="W35" s="255"/>
      <c r="X35" s="255"/>
      <c r="Y35" s="255"/>
      <c r="Z35" s="254"/>
      <c r="AA35" s="254" t="s">
        <v>1435</v>
      </c>
      <c r="AB35" s="254">
        <v>742000</v>
      </c>
      <c r="AC35" s="420"/>
      <c r="AE35" s="425"/>
      <c r="AF35" s="258"/>
      <c r="AG35" s="258"/>
      <c r="AH35" s="258"/>
      <c r="AI35" s="258"/>
      <c r="AJ35" s="416"/>
      <c r="AK35" s="416"/>
      <c r="AL35" s="416"/>
      <c r="AM35" s="265"/>
      <c r="AN35" s="265"/>
      <c r="AO35" s="265"/>
      <c r="AP35" s="265"/>
      <c r="AQ35" s="265"/>
    </row>
    <row r="36" spans="1:43" s="259" customFormat="1" ht="35.15" customHeight="1">
      <c r="A36" s="254">
        <f t="shared" si="10"/>
        <v>30</v>
      </c>
      <c r="B36" s="254">
        <v>1798</v>
      </c>
      <c r="C36" s="254" t="s">
        <v>180</v>
      </c>
      <c r="D36" s="255">
        <v>1600000</v>
      </c>
      <c r="E36" s="255">
        <v>1600000</v>
      </c>
      <c r="F36" s="255">
        <f t="shared" si="0"/>
        <v>0</v>
      </c>
      <c r="G36" s="255">
        <v>1600000</v>
      </c>
      <c r="H36" s="255">
        <v>1450765</v>
      </c>
      <c r="I36" s="255"/>
      <c r="J36" s="255">
        <v>149231.26999999999</v>
      </c>
      <c r="K36" s="255">
        <f t="shared" si="2"/>
        <v>149231.26999999999</v>
      </c>
      <c r="L36" s="255">
        <f t="shared" si="1"/>
        <v>1599996.27</v>
      </c>
      <c r="M36" s="255">
        <f t="shared" si="3"/>
        <v>3.7299999999813735</v>
      </c>
      <c r="N36" s="255"/>
      <c r="O36" s="255">
        <f t="shared" si="4"/>
        <v>0</v>
      </c>
      <c r="P36" s="255">
        <f t="shared" si="5"/>
        <v>3.7299999999813735</v>
      </c>
      <c r="Q36" s="255"/>
      <c r="R36" s="255"/>
      <c r="S36" s="255">
        <f t="shared" si="6"/>
        <v>0</v>
      </c>
      <c r="T36" s="255">
        <f t="shared" si="7"/>
        <v>0</v>
      </c>
      <c r="U36" s="255">
        <f t="shared" si="8"/>
        <v>0</v>
      </c>
      <c r="V36" s="255">
        <f t="shared" si="9"/>
        <v>0</v>
      </c>
      <c r="W36" s="255"/>
      <c r="X36" s="255"/>
      <c r="Y36" s="255"/>
      <c r="Z36" s="254"/>
      <c r="AA36" s="254"/>
      <c r="AB36" s="254">
        <v>829000</v>
      </c>
      <c r="AC36" s="420"/>
      <c r="AD36" s="266"/>
      <c r="AE36" s="425"/>
      <c r="AF36" s="258"/>
      <c r="AG36" s="258"/>
      <c r="AJ36" s="416"/>
      <c r="AK36" s="416"/>
      <c r="AL36" s="416"/>
    </row>
    <row r="37" spans="1:43" ht="35.15" customHeight="1">
      <c r="A37" s="254">
        <f t="shared" si="10"/>
        <v>31</v>
      </c>
      <c r="B37" s="254">
        <v>1806</v>
      </c>
      <c r="C37" s="254" t="s">
        <v>216</v>
      </c>
      <c r="D37" s="255">
        <f>500000+400000-400000</f>
        <v>500000</v>
      </c>
      <c r="E37" s="255">
        <v>500000</v>
      </c>
      <c r="F37" s="255">
        <f t="shared" si="0"/>
        <v>0</v>
      </c>
      <c r="G37" s="255">
        <v>350000</v>
      </c>
      <c r="H37" s="255">
        <v>111153</v>
      </c>
      <c r="I37" s="255"/>
      <c r="J37" s="255">
        <v>87981.07</v>
      </c>
      <c r="K37" s="255">
        <f t="shared" si="2"/>
        <v>87981.07</v>
      </c>
      <c r="L37" s="255">
        <f t="shared" si="1"/>
        <v>199134.07</v>
      </c>
      <c r="M37" s="255">
        <f t="shared" si="3"/>
        <v>150865.93</v>
      </c>
      <c r="N37" s="255">
        <v>150000</v>
      </c>
      <c r="O37" s="255">
        <f t="shared" si="4"/>
        <v>0</v>
      </c>
      <c r="P37" s="255">
        <f t="shared" si="5"/>
        <v>150865.93</v>
      </c>
      <c r="Q37" s="255"/>
      <c r="R37" s="255"/>
      <c r="S37" s="255">
        <f t="shared" si="6"/>
        <v>0</v>
      </c>
      <c r="T37" s="255">
        <f t="shared" si="7"/>
        <v>0</v>
      </c>
      <c r="U37" s="255">
        <f t="shared" si="8"/>
        <v>150000</v>
      </c>
      <c r="V37" s="255">
        <f t="shared" si="9"/>
        <v>150000</v>
      </c>
      <c r="W37" s="255"/>
      <c r="X37" s="255"/>
      <c r="Y37" s="255"/>
      <c r="Z37" s="254"/>
      <c r="AA37" s="428" t="s">
        <v>707</v>
      </c>
      <c r="AB37" s="254">
        <v>732000</v>
      </c>
      <c r="AE37" s="425"/>
      <c r="AF37" s="258"/>
      <c r="AG37" s="266"/>
      <c r="AH37" s="266"/>
      <c r="AI37" s="266"/>
      <c r="AM37" s="266"/>
      <c r="AN37" s="266"/>
      <c r="AO37" s="266"/>
      <c r="AP37" s="266"/>
      <c r="AQ37" s="266"/>
    </row>
    <row r="38" spans="1:43" ht="35.15" customHeight="1">
      <c r="A38" s="254">
        <f t="shared" si="10"/>
        <v>32</v>
      </c>
      <c r="B38" s="254">
        <v>1808</v>
      </c>
      <c r="C38" s="254" t="s">
        <v>186</v>
      </c>
      <c r="D38" s="255">
        <v>1800000</v>
      </c>
      <c r="E38" s="255">
        <v>1800000</v>
      </c>
      <c r="F38" s="255">
        <f t="shared" si="0"/>
        <v>0</v>
      </c>
      <c r="G38" s="255">
        <v>1800000</v>
      </c>
      <c r="H38" s="255">
        <v>1512488</v>
      </c>
      <c r="I38" s="255"/>
      <c r="J38" s="255">
        <v>287218</v>
      </c>
      <c r="K38" s="255">
        <f t="shared" si="2"/>
        <v>287218</v>
      </c>
      <c r="L38" s="255">
        <f t="shared" si="1"/>
        <v>1799706</v>
      </c>
      <c r="M38" s="255">
        <f t="shared" si="3"/>
        <v>294</v>
      </c>
      <c r="N38" s="255"/>
      <c r="O38" s="255">
        <f t="shared" si="4"/>
        <v>0</v>
      </c>
      <c r="P38" s="255">
        <f t="shared" si="5"/>
        <v>294</v>
      </c>
      <c r="Q38" s="255"/>
      <c r="R38" s="255"/>
      <c r="S38" s="255">
        <f t="shared" si="6"/>
        <v>0</v>
      </c>
      <c r="T38" s="255">
        <f t="shared" si="7"/>
        <v>0</v>
      </c>
      <c r="U38" s="255">
        <f t="shared" si="8"/>
        <v>0</v>
      </c>
      <c r="V38" s="255">
        <f t="shared" si="9"/>
        <v>0</v>
      </c>
      <c r="W38" s="255"/>
      <c r="X38" s="255"/>
      <c r="Y38" s="255"/>
      <c r="Z38" s="254"/>
      <c r="AA38" s="254"/>
      <c r="AB38" s="254">
        <v>742000</v>
      </c>
      <c r="AE38" s="425"/>
      <c r="AF38" s="258"/>
      <c r="AG38" s="266"/>
      <c r="AH38" s="266"/>
      <c r="AI38" s="266"/>
    </row>
    <row r="39" spans="1:43" ht="35.15" customHeight="1">
      <c r="A39" s="254">
        <f t="shared" si="10"/>
        <v>33</v>
      </c>
      <c r="B39" s="254">
        <v>1809</v>
      </c>
      <c r="C39" s="254" t="s">
        <v>187</v>
      </c>
      <c r="D39" s="255">
        <v>680000</v>
      </c>
      <c r="E39" s="255">
        <v>680000</v>
      </c>
      <c r="F39" s="255">
        <f t="shared" si="0"/>
        <v>0</v>
      </c>
      <c r="G39" s="255">
        <v>680000</v>
      </c>
      <c r="H39" s="255">
        <v>266012</v>
      </c>
      <c r="I39" s="255"/>
      <c r="J39" s="255">
        <v>413976.2</v>
      </c>
      <c r="K39" s="255">
        <f t="shared" si="2"/>
        <v>413976.2</v>
      </c>
      <c r="L39" s="255">
        <f t="shared" si="1"/>
        <v>679988.2</v>
      </c>
      <c r="M39" s="255">
        <f t="shared" si="3"/>
        <v>11.800000000046566</v>
      </c>
      <c r="N39" s="255"/>
      <c r="O39" s="255">
        <f t="shared" si="4"/>
        <v>0</v>
      </c>
      <c r="P39" s="255">
        <f t="shared" si="5"/>
        <v>11.800000000046566</v>
      </c>
      <c r="Q39" s="255"/>
      <c r="R39" s="255"/>
      <c r="S39" s="255">
        <f t="shared" si="6"/>
        <v>0</v>
      </c>
      <c r="T39" s="255">
        <f t="shared" si="7"/>
        <v>0</v>
      </c>
      <c r="U39" s="255">
        <f t="shared" si="8"/>
        <v>0</v>
      </c>
      <c r="V39" s="255">
        <f t="shared" si="9"/>
        <v>0</v>
      </c>
      <c r="W39" s="255"/>
      <c r="X39" s="255"/>
      <c r="Y39" s="255"/>
      <c r="Z39" s="254"/>
      <c r="AA39" s="254"/>
      <c r="AB39" s="254">
        <v>742000</v>
      </c>
      <c r="AE39" s="425"/>
      <c r="AF39" s="258"/>
      <c r="AG39" s="266"/>
      <c r="AH39" s="266"/>
      <c r="AI39" s="266"/>
    </row>
    <row r="40" spans="1:43" ht="35.15" customHeight="1">
      <c r="A40" s="254">
        <f t="shared" si="10"/>
        <v>34</v>
      </c>
      <c r="B40" s="427">
        <v>1819</v>
      </c>
      <c r="C40" s="254" t="s">
        <v>1505</v>
      </c>
      <c r="D40" s="255">
        <v>18000000</v>
      </c>
      <c r="E40" s="255">
        <v>18000000</v>
      </c>
      <c r="F40" s="255">
        <f t="shared" si="0"/>
        <v>0</v>
      </c>
      <c r="G40" s="255">
        <v>2200000</v>
      </c>
      <c r="H40" s="255">
        <v>834062.1</v>
      </c>
      <c r="I40" s="255"/>
      <c r="J40" s="255">
        <v>1031865.66</v>
      </c>
      <c r="K40" s="255">
        <f t="shared" si="2"/>
        <v>1031865.66</v>
      </c>
      <c r="L40" s="255">
        <f t="shared" si="1"/>
        <v>1865927.76</v>
      </c>
      <c r="M40" s="255">
        <f t="shared" si="3"/>
        <v>7334072.2400000002</v>
      </c>
      <c r="N40" s="255">
        <f>8800000-2000000</f>
        <v>6800000</v>
      </c>
      <c r="O40" s="255">
        <f t="shared" si="4"/>
        <v>2000000</v>
      </c>
      <c r="P40" s="255">
        <f t="shared" si="5"/>
        <v>334072.24</v>
      </c>
      <c r="Q40" s="255">
        <v>7000000</v>
      </c>
      <c r="R40" s="255"/>
      <c r="S40" s="255">
        <f t="shared" si="6"/>
        <v>7000000</v>
      </c>
      <c r="T40" s="255">
        <f t="shared" si="7"/>
        <v>0</v>
      </c>
      <c r="U40" s="255">
        <f t="shared" si="8"/>
        <v>6800000</v>
      </c>
      <c r="V40" s="255">
        <f t="shared" si="9"/>
        <v>6800000</v>
      </c>
      <c r="W40" s="255"/>
      <c r="X40" s="255"/>
      <c r="Y40" s="255"/>
      <c r="Z40" s="254"/>
      <c r="AA40" s="254" t="s">
        <v>1513</v>
      </c>
      <c r="AB40" s="254">
        <v>742000</v>
      </c>
      <c r="AE40" s="425"/>
      <c r="AF40" s="258"/>
      <c r="AG40" s="266"/>
      <c r="AH40" s="266"/>
      <c r="AI40" s="266"/>
    </row>
    <row r="41" spans="1:43" s="258" customFormat="1" ht="35.15" customHeight="1">
      <c r="A41" s="254">
        <f t="shared" si="10"/>
        <v>35</v>
      </c>
      <c r="B41" s="254">
        <v>1825</v>
      </c>
      <c r="C41" s="254" t="s">
        <v>1064</v>
      </c>
      <c r="D41" s="255">
        <f>36500000+2500000</f>
        <v>39000000</v>
      </c>
      <c r="E41" s="255">
        <v>36500000</v>
      </c>
      <c r="F41" s="255">
        <f t="shared" si="0"/>
        <v>2500000</v>
      </c>
      <c r="G41" s="255">
        <v>35681330</v>
      </c>
      <c r="H41" s="255">
        <v>29050568</v>
      </c>
      <c r="I41" s="255"/>
      <c r="J41" s="255">
        <v>1133344.95</v>
      </c>
      <c r="K41" s="255">
        <f t="shared" si="2"/>
        <v>1133344.95</v>
      </c>
      <c r="L41" s="255">
        <f t="shared" si="1"/>
        <v>30183912.949999999</v>
      </c>
      <c r="M41" s="255">
        <f t="shared" si="3"/>
        <v>5497417.0500000007</v>
      </c>
      <c r="N41" s="255">
        <f>2500000+818670</f>
        <v>3318670</v>
      </c>
      <c r="O41" s="255">
        <f t="shared" si="4"/>
        <v>0</v>
      </c>
      <c r="P41" s="255">
        <f t="shared" si="5"/>
        <v>5497417.0500000007</v>
      </c>
      <c r="Q41" s="255"/>
      <c r="R41" s="255"/>
      <c r="S41" s="255">
        <f t="shared" si="6"/>
        <v>0</v>
      </c>
      <c r="T41" s="255">
        <f t="shared" si="7"/>
        <v>0</v>
      </c>
      <c r="U41" s="255">
        <f t="shared" si="8"/>
        <v>3318670</v>
      </c>
      <c r="V41" s="255">
        <f t="shared" si="9"/>
        <v>3318670</v>
      </c>
      <c r="W41" s="255"/>
      <c r="X41" s="255"/>
      <c r="Y41" s="255"/>
      <c r="Z41" s="254"/>
      <c r="AA41" s="434" t="s">
        <v>1063</v>
      </c>
      <c r="AB41" s="254">
        <v>810000</v>
      </c>
      <c r="AC41" s="420"/>
      <c r="AD41" s="266"/>
      <c r="AE41" s="425"/>
      <c r="AJ41" s="416"/>
      <c r="AK41" s="416"/>
      <c r="AL41" s="416"/>
    </row>
    <row r="42" spans="1:43" ht="35.15" customHeight="1">
      <c r="A42" s="254">
        <f t="shared" si="10"/>
        <v>36</v>
      </c>
      <c r="B42" s="427">
        <v>1833</v>
      </c>
      <c r="C42" s="254" t="s">
        <v>208</v>
      </c>
      <c r="D42" s="255">
        <f>28500000+500000</f>
        <v>29000000</v>
      </c>
      <c r="E42" s="255">
        <v>24000000</v>
      </c>
      <c r="F42" s="255">
        <f t="shared" si="0"/>
        <v>5000000</v>
      </c>
      <c r="G42" s="255">
        <f>500000+500000</f>
        <v>1000000</v>
      </c>
      <c r="H42" s="255">
        <v>107269</v>
      </c>
      <c r="I42" s="255"/>
      <c r="J42" s="255">
        <v>361413.42</v>
      </c>
      <c r="K42" s="255">
        <f t="shared" si="2"/>
        <v>361413.42</v>
      </c>
      <c r="L42" s="255">
        <f t="shared" si="1"/>
        <v>468682.42</v>
      </c>
      <c r="M42" s="255">
        <f t="shared" si="3"/>
        <v>531317.58000000007</v>
      </c>
      <c r="N42" s="255">
        <f>28000000-14000000</f>
        <v>14000000</v>
      </c>
      <c r="O42" s="255">
        <f t="shared" si="4"/>
        <v>14000000</v>
      </c>
      <c r="P42" s="255">
        <f t="shared" si="5"/>
        <v>531317.58000000007</v>
      </c>
      <c r="Q42" s="255"/>
      <c r="R42" s="255"/>
      <c r="S42" s="255">
        <f t="shared" si="6"/>
        <v>0</v>
      </c>
      <c r="T42" s="255">
        <f t="shared" si="7"/>
        <v>0</v>
      </c>
      <c r="U42" s="255">
        <f t="shared" si="8"/>
        <v>14000000</v>
      </c>
      <c r="V42" s="255">
        <f t="shared" si="9"/>
        <v>14000000</v>
      </c>
      <c r="W42" s="255"/>
      <c r="X42" s="255"/>
      <c r="Y42" s="255"/>
      <c r="Z42" s="254"/>
      <c r="AA42" s="254" t="s">
        <v>1444</v>
      </c>
      <c r="AB42" s="254">
        <v>829000</v>
      </c>
      <c r="AE42" s="425"/>
      <c r="AF42" s="258"/>
      <c r="AG42" s="266"/>
      <c r="AH42" s="266"/>
      <c r="AI42" s="266"/>
    </row>
    <row r="43" spans="1:43" s="258" customFormat="1" ht="35.15" customHeight="1">
      <c r="A43" s="254">
        <f t="shared" si="10"/>
        <v>37</v>
      </c>
      <c r="B43" s="254">
        <v>1834</v>
      </c>
      <c r="C43" s="254" t="s">
        <v>192</v>
      </c>
      <c r="D43" s="255">
        <v>60000000</v>
      </c>
      <c r="E43" s="255">
        <v>60000000</v>
      </c>
      <c r="F43" s="255">
        <f t="shared" si="0"/>
        <v>0</v>
      </c>
      <c r="G43" s="255">
        <v>2100000</v>
      </c>
      <c r="H43" s="255">
        <v>373623</v>
      </c>
      <c r="I43" s="255"/>
      <c r="J43" s="255">
        <v>1654455.23</v>
      </c>
      <c r="K43" s="255">
        <f t="shared" si="2"/>
        <v>1654455.23</v>
      </c>
      <c r="L43" s="255">
        <f t="shared" si="1"/>
        <v>2028078.23</v>
      </c>
      <c r="M43" s="255">
        <f t="shared" si="3"/>
        <v>3071921.77</v>
      </c>
      <c r="N43" s="255">
        <f>38500000-10000000</f>
        <v>28500000</v>
      </c>
      <c r="O43" s="255">
        <f t="shared" si="4"/>
        <v>26400000</v>
      </c>
      <c r="P43" s="255">
        <f t="shared" si="5"/>
        <v>71921.770000000019</v>
      </c>
      <c r="Q43" s="255">
        <v>3000000</v>
      </c>
      <c r="R43" s="255"/>
      <c r="S43" s="255">
        <f t="shared" si="6"/>
        <v>3000000</v>
      </c>
      <c r="T43" s="255">
        <f t="shared" si="7"/>
        <v>0</v>
      </c>
      <c r="U43" s="255">
        <f t="shared" si="8"/>
        <v>28500000</v>
      </c>
      <c r="V43" s="255">
        <f t="shared" si="9"/>
        <v>28500000</v>
      </c>
      <c r="W43" s="255"/>
      <c r="X43" s="255"/>
      <c r="Y43" s="255"/>
      <c r="Z43" s="254"/>
      <c r="AA43" s="254" t="s">
        <v>1445</v>
      </c>
      <c r="AB43" s="254">
        <v>824000</v>
      </c>
      <c r="AC43" s="420"/>
      <c r="AD43" s="266"/>
      <c r="AE43" s="425"/>
      <c r="AJ43" s="416"/>
      <c r="AK43" s="416"/>
      <c r="AL43" s="416"/>
    </row>
    <row r="44" spans="1:43" s="258" customFormat="1" ht="35.15" customHeight="1">
      <c r="A44" s="254">
        <f t="shared" si="10"/>
        <v>38</v>
      </c>
      <c r="B44" s="254">
        <v>1835</v>
      </c>
      <c r="C44" s="254" t="s">
        <v>1319</v>
      </c>
      <c r="D44" s="255">
        <v>58000000</v>
      </c>
      <c r="E44" s="255">
        <v>58000000</v>
      </c>
      <c r="F44" s="255">
        <f t="shared" si="0"/>
        <v>0</v>
      </c>
      <c r="G44" s="255">
        <v>3400000</v>
      </c>
      <c r="H44" s="255">
        <v>383268</v>
      </c>
      <c r="I44" s="255"/>
      <c r="J44" s="255">
        <v>2926209.49</v>
      </c>
      <c r="K44" s="255">
        <f t="shared" si="2"/>
        <v>2926209.49</v>
      </c>
      <c r="L44" s="255">
        <f t="shared" si="1"/>
        <v>3309477.49</v>
      </c>
      <c r="M44" s="255">
        <f t="shared" si="3"/>
        <v>8590522.5099999998</v>
      </c>
      <c r="N44" s="255"/>
      <c r="O44" s="255">
        <f t="shared" si="4"/>
        <v>46100000</v>
      </c>
      <c r="P44" s="255">
        <f t="shared" si="5"/>
        <v>90522.509999999776</v>
      </c>
      <c r="Q44" s="255">
        <v>8500000</v>
      </c>
      <c r="R44" s="255"/>
      <c r="S44" s="255">
        <f t="shared" si="6"/>
        <v>8500000</v>
      </c>
      <c r="T44" s="255">
        <f t="shared" si="7"/>
        <v>0</v>
      </c>
      <c r="U44" s="255">
        <f t="shared" si="8"/>
        <v>0</v>
      </c>
      <c r="V44" s="255">
        <f t="shared" si="9"/>
        <v>0</v>
      </c>
      <c r="W44" s="255"/>
      <c r="X44" s="255"/>
      <c r="Y44" s="255"/>
      <c r="Z44" s="254"/>
      <c r="AA44" s="254" t="s">
        <v>1514</v>
      </c>
      <c r="AB44" s="254">
        <v>824000</v>
      </c>
      <c r="AC44" s="420"/>
      <c r="AD44" s="266"/>
      <c r="AE44" s="425"/>
      <c r="AJ44" s="416"/>
      <c r="AK44" s="416"/>
      <c r="AL44" s="416"/>
    </row>
    <row r="45" spans="1:43" s="258" customFormat="1" ht="35.15" customHeight="1">
      <c r="A45" s="254">
        <f t="shared" si="10"/>
        <v>39</v>
      </c>
      <c r="B45" s="254">
        <v>1836</v>
      </c>
      <c r="C45" s="254" t="s">
        <v>194</v>
      </c>
      <c r="D45" s="255">
        <v>500000</v>
      </c>
      <c r="E45" s="255">
        <v>500000</v>
      </c>
      <c r="F45" s="255">
        <f t="shared" si="0"/>
        <v>0</v>
      </c>
      <c r="G45" s="255">
        <v>500000</v>
      </c>
      <c r="H45" s="255">
        <v>375301</v>
      </c>
      <c r="I45" s="255"/>
      <c r="J45" s="255">
        <v>124609.99</v>
      </c>
      <c r="K45" s="255">
        <f t="shared" si="2"/>
        <v>124609.99</v>
      </c>
      <c r="L45" s="255">
        <f t="shared" si="1"/>
        <v>499910.99</v>
      </c>
      <c r="M45" s="255">
        <f t="shared" si="3"/>
        <v>89.010000000009313</v>
      </c>
      <c r="N45" s="255"/>
      <c r="O45" s="255">
        <f t="shared" si="4"/>
        <v>0</v>
      </c>
      <c r="P45" s="255">
        <f t="shared" si="5"/>
        <v>89.010000000009313</v>
      </c>
      <c r="Q45" s="255"/>
      <c r="R45" s="255"/>
      <c r="S45" s="255">
        <f t="shared" si="6"/>
        <v>0</v>
      </c>
      <c r="T45" s="255">
        <f t="shared" si="7"/>
        <v>0</v>
      </c>
      <c r="U45" s="255">
        <f t="shared" si="8"/>
        <v>0</v>
      </c>
      <c r="V45" s="255">
        <f t="shared" si="9"/>
        <v>0</v>
      </c>
      <c r="W45" s="255"/>
      <c r="X45" s="255"/>
      <c r="Y45" s="255"/>
      <c r="Z45" s="254"/>
      <c r="AA45" s="254"/>
      <c r="AB45" s="254">
        <v>930000</v>
      </c>
      <c r="AC45" s="420"/>
      <c r="AD45" s="266"/>
      <c r="AE45" s="425"/>
      <c r="AJ45" s="416"/>
      <c r="AK45" s="416"/>
      <c r="AL45" s="416"/>
    </row>
    <row r="46" spans="1:43" ht="35.15" customHeight="1">
      <c r="A46" s="254">
        <f t="shared" si="10"/>
        <v>40</v>
      </c>
      <c r="B46" s="427">
        <v>1837</v>
      </c>
      <c r="C46" s="254" t="s">
        <v>209</v>
      </c>
      <c r="D46" s="255">
        <v>3200000</v>
      </c>
      <c r="E46" s="255">
        <v>3200000</v>
      </c>
      <c r="F46" s="255">
        <f t="shared" si="0"/>
        <v>0</v>
      </c>
      <c r="G46" s="255">
        <v>3200000</v>
      </c>
      <c r="H46" s="255">
        <v>787498</v>
      </c>
      <c r="I46" s="255"/>
      <c r="J46" s="255">
        <v>1227495</v>
      </c>
      <c r="K46" s="255">
        <f t="shared" si="2"/>
        <v>1227495</v>
      </c>
      <c r="L46" s="255">
        <f t="shared" si="1"/>
        <v>2014993</v>
      </c>
      <c r="M46" s="255">
        <f t="shared" si="3"/>
        <v>1185007</v>
      </c>
      <c r="N46" s="255"/>
      <c r="O46" s="255">
        <f t="shared" si="4"/>
        <v>0</v>
      </c>
      <c r="P46" s="255">
        <f t="shared" si="5"/>
        <v>1185007</v>
      </c>
      <c r="Q46" s="255"/>
      <c r="R46" s="255"/>
      <c r="S46" s="255">
        <f t="shared" si="6"/>
        <v>0</v>
      </c>
      <c r="T46" s="255">
        <f t="shared" si="7"/>
        <v>0</v>
      </c>
      <c r="U46" s="255">
        <f t="shared" si="8"/>
        <v>0</v>
      </c>
      <c r="V46" s="255">
        <f t="shared" si="9"/>
        <v>0</v>
      </c>
      <c r="W46" s="255"/>
      <c r="X46" s="255"/>
      <c r="Y46" s="255"/>
      <c r="Z46" s="254"/>
      <c r="AA46" s="254" t="s">
        <v>1440</v>
      </c>
      <c r="AB46" s="254">
        <v>850000</v>
      </c>
      <c r="AE46" s="425"/>
      <c r="AF46" s="258"/>
      <c r="AG46" s="266"/>
      <c r="AH46" s="266"/>
      <c r="AI46" s="266"/>
    </row>
    <row r="47" spans="1:43" ht="35.15" customHeight="1">
      <c r="A47" s="254">
        <f t="shared" si="10"/>
        <v>41</v>
      </c>
      <c r="B47" s="427">
        <v>1845</v>
      </c>
      <c r="C47" s="254" t="s">
        <v>210</v>
      </c>
      <c r="D47" s="255">
        <v>1500000</v>
      </c>
      <c r="E47" s="255">
        <v>1500000</v>
      </c>
      <c r="F47" s="255">
        <f t="shared" si="0"/>
        <v>0</v>
      </c>
      <c r="G47" s="255">
        <v>500000</v>
      </c>
      <c r="H47" s="255">
        <v>360072</v>
      </c>
      <c r="I47" s="255"/>
      <c r="J47" s="255">
        <v>39892</v>
      </c>
      <c r="K47" s="255">
        <f t="shared" si="2"/>
        <v>39892</v>
      </c>
      <c r="L47" s="255">
        <f t="shared" si="1"/>
        <v>399964</v>
      </c>
      <c r="M47" s="255">
        <f t="shared" si="3"/>
        <v>100036</v>
      </c>
      <c r="N47" s="255">
        <v>1000000</v>
      </c>
      <c r="O47" s="255">
        <f t="shared" si="4"/>
        <v>0</v>
      </c>
      <c r="P47" s="255">
        <f t="shared" si="5"/>
        <v>100036</v>
      </c>
      <c r="Q47" s="255"/>
      <c r="R47" s="255"/>
      <c r="S47" s="255">
        <f t="shared" si="6"/>
        <v>0</v>
      </c>
      <c r="T47" s="255">
        <f t="shared" si="7"/>
        <v>0</v>
      </c>
      <c r="U47" s="255">
        <f t="shared" si="8"/>
        <v>1000000</v>
      </c>
      <c r="V47" s="255">
        <f t="shared" si="9"/>
        <v>1000000</v>
      </c>
      <c r="W47" s="255"/>
      <c r="X47" s="255"/>
      <c r="Y47" s="255"/>
      <c r="Z47" s="254"/>
      <c r="AA47" s="254" t="s">
        <v>1123</v>
      </c>
      <c r="AB47" s="254">
        <v>742000</v>
      </c>
      <c r="AE47" s="425"/>
      <c r="AF47" s="258"/>
      <c r="AG47" s="266"/>
      <c r="AH47" s="266"/>
      <c r="AI47" s="266"/>
    </row>
    <row r="48" spans="1:43" ht="35.15" customHeight="1">
      <c r="A48" s="254">
        <f t="shared" si="10"/>
        <v>42</v>
      </c>
      <c r="B48" s="427">
        <v>1846</v>
      </c>
      <c r="C48" s="254" t="s">
        <v>211</v>
      </c>
      <c r="D48" s="255">
        <f>2500000-2000000</f>
        <v>500000</v>
      </c>
      <c r="E48" s="255">
        <v>2500000</v>
      </c>
      <c r="F48" s="255">
        <f t="shared" si="0"/>
        <v>-2000000</v>
      </c>
      <c r="G48" s="255">
        <v>2500000</v>
      </c>
      <c r="H48" s="255">
        <v>200055</v>
      </c>
      <c r="I48" s="255"/>
      <c r="J48" s="255">
        <v>299944.23</v>
      </c>
      <c r="K48" s="255">
        <f t="shared" si="2"/>
        <v>299944.23</v>
      </c>
      <c r="L48" s="255">
        <f t="shared" si="1"/>
        <v>499999.23</v>
      </c>
      <c r="M48" s="255">
        <f>P48+S48-1000000</f>
        <v>0.77000000001862645</v>
      </c>
      <c r="N48" s="255"/>
      <c r="O48" s="255">
        <f t="shared" si="4"/>
        <v>0</v>
      </c>
      <c r="P48" s="255">
        <f t="shared" si="5"/>
        <v>2000000.77</v>
      </c>
      <c r="Q48" s="423">
        <v>-1000000</v>
      </c>
      <c r="R48" s="255"/>
      <c r="S48" s="255">
        <f t="shared" si="6"/>
        <v>-1000000</v>
      </c>
      <c r="T48" s="255">
        <f t="shared" si="7"/>
        <v>1000000</v>
      </c>
      <c r="U48" s="255">
        <f t="shared" si="8"/>
        <v>-1000000</v>
      </c>
      <c r="V48" s="255">
        <f t="shared" si="9"/>
        <v>-1000000</v>
      </c>
      <c r="W48" s="255"/>
      <c r="X48" s="255"/>
      <c r="Y48" s="255"/>
      <c r="Z48" s="254"/>
      <c r="AA48" s="254"/>
      <c r="AB48" s="254">
        <v>732000</v>
      </c>
      <c r="AE48" s="425"/>
      <c r="AF48" s="258"/>
      <c r="AG48" s="266"/>
      <c r="AH48" s="266"/>
      <c r="AI48" s="266"/>
    </row>
    <row r="49" spans="1:41" ht="35.15" customHeight="1">
      <c r="A49" s="254">
        <f t="shared" si="10"/>
        <v>43</v>
      </c>
      <c r="B49" s="427">
        <v>1847</v>
      </c>
      <c r="C49" s="254" t="s">
        <v>534</v>
      </c>
      <c r="D49" s="255">
        <v>7340000</v>
      </c>
      <c r="E49" s="255">
        <v>7340000</v>
      </c>
      <c r="F49" s="255">
        <f t="shared" si="0"/>
        <v>0</v>
      </c>
      <c r="G49" s="255">
        <v>7340000</v>
      </c>
      <c r="H49" s="255">
        <v>6930897</v>
      </c>
      <c r="I49" s="255"/>
      <c r="J49" s="255">
        <v>381754.9</v>
      </c>
      <c r="K49" s="255">
        <f t="shared" si="2"/>
        <v>381754.9</v>
      </c>
      <c r="L49" s="255">
        <f t="shared" si="1"/>
        <v>7312651.9000000004</v>
      </c>
      <c r="M49" s="255">
        <f t="shared" si="3"/>
        <v>27348.099999999627</v>
      </c>
      <c r="N49" s="255"/>
      <c r="O49" s="255">
        <f t="shared" si="4"/>
        <v>0</v>
      </c>
      <c r="P49" s="255">
        <f t="shared" si="5"/>
        <v>27348.099999999627</v>
      </c>
      <c r="Q49" s="255"/>
      <c r="R49" s="255"/>
      <c r="S49" s="255">
        <f t="shared" si="6"/>
        <v>0</v>
      </c>
      <c r="T49" s="255">
        <f t="shared" si="7"/>
        <v>0</v>
      </c>
      <c r="U49" s="255">
        <f t="shared" si="8"/>
        <v>0</v>
      </c>
      <c r="V49" s="255">
        <f t="shared" si="9"/>
        <v>0</v>
      </c>
      <c r="W49" s="255"/>
      <c r="X49" s="255"/>
      <c r="Y49" s="255"/>
      <c r="Z49" s="254"/>
      <c r="AA49" s="254"/>
      <c r="AB49" s="254">
        <v>810000</v>
      </c>
      <c r="AE49" s="425"/>
      <c r="AF49" s="258"/>
      <c r="AG49" s="266"/>
      <c r="AH49" s="266"/>
      <c r="AI49" s="266"/>
    </row>
    <row r="50" spans="1:41" s="258" customFormat="1" ht="35.15" customHeight="1">
      <c r="A50" s="254">
        <f t="shared" si="10"/>
        <v>44</v>
      </c>
      <c r="B50" s="254">
        <v>1854</v>
      </c>
      <c r="C50" s="254" t="s">
        <v>322</v>
      </c>
      <c r="D50" s="255">
        <v>5600000</v>
      </c>
      <c r="E50" s="255">
        <v>5600000</v>
      </c>
      <c r="F50" s="255">
        <f t="shared" si="0"/>
        <v>0</v>
      </c>
      <c r="G50" s="255">
        <v>5600000</v>
      </c>
      <c r="H50" s="255">
        <v>5518363</v>
      </c>
      <c r="I50" s="255"/>
      <c r="J50" s="255">
        <v>80238</v>
      </c>
      <c r="K50" s="255">
        <f t="shared" si="2"/>
        <v>80238</v>
      </c>
      <c r="L50" s="255">
        <f t="shared" si="1"/>
        <v>5598601</v>
      </c>
      <c r="M50" s="255">
        <f t="shared" si="3"/>
        <v>1399</v>
      </c>
      <c r="N50" s="255"/>
      <c r="O50" s="255">
        <f t="shared" si="4"/>
        <v>0</v>
      </c>
      <c r="P50" s="255">
        <f t="shared" si="5"/>
        <v>1399</v>
      </c>
      <c r="Q50" s="255"/>
      <c r="R50" s="255"/>
      <c r="S50" s="255">
        <f t="shared" si="6"/>
        <v>0</v>
      </c>
      <c r="T50" s="255">
        <f t="shared" si="7"/>
        <v>0</v>
      </c>
      <c r="U50" s="255">
        <f t="shared" si="8"/>
        <v>0</v>
      </c>
      <c r="V50" s="255">
        <f t="shared" si="9"/>
        <v>0</v>
      </c>
      <c r="W50" s="255"/>
      <c r="X50" s="255"/>
      <c r="Y50" s="255"/>
      <c r="Z50" s="254"/>
      <c r="AA50" s="254"/>
      <c r="AB50" s="254">
        <v>810000</v>
      </c>
      <c r="AC50" s="420"/>
      <c r="AD50" s="266"/>
      <c r="AE50" s="425"/>
      <c r="AJ50" s="416"/>
      <c r="AK50" s="416"/>
      <c r="AL50" s="416"/>
    </row>
    <row r="51" spans="1:41" s="5" customFormat="1" ht="35.15" customHeight="1">
      <c r="A51" s="254">
        <f t="shared" si="10"/>
        <v>45</v>
      </c>
      <c r="B51" s="3">
        <v>1872</v>
      </c>
      <c r="C51" s="3" t="s">
        <v>1320</v>
      </c>
      <c r="D51" s="4">
        <v>1160000</v>
      </c>
      <c r="E51" s="4">
        <v>1160000</v>
      </c>
      <c r="F51" s="4">
        <f t="shared" si="0"/>
        <v>0</v>
      </c>
      <c r="G51" s="4">
        <v>1160000</v>
      </c>
      <c r="H51" s="4">
        <v>0</v>
      </c>
      <c r="I51" s="4"/>
      <c r="J51" s="4">
        <v>200860.45</v>
      </c>
      <c r="K51" s="4">
        <f>SUM(I51:J51)</f>
        <v>200860.45</v>
      </c>
      <c r="L51" s="4">
        <f>H51+K51</f>
        <v>200860.45</v>
      </c>
      <c r="M51" s="4">
        <f>P51+S51</f>
        <v>959139.55</v>
      </c>
      <c r="N51" s="4"/>
      <c r="O51" s="4">
        <f t="shared" si="4"/>
        <v>0</v>
      </c>
      <c r="P51" s="4">
        <f t="shared" si="5"/>
        <v>959139.55</v>
      </c>
      <c r="Q51" s="4"/>
      <c r="R51" s="4"/>
      <c r="S51" s="4">
        <f t="shared" si="6"/>
        <v>0</v>
      </c>
      <c r="T51" s="4">
        <f t="shared" si="7"/>
        <v>0</v>
      </c>
      <c r="U51" s="4">
        <f t="shared" si="8"/>
        <v>0</v>
      </c>
      <c r="V51" s="4">
        <f>U51-Z51-W51-Y51</f>
        <v>0</v>
      </c>
      <c r="W51" s="4"/>
      <c r="X51" s="4"/>
      <c r="Y51" s="4"/>
      <c r="Z51" s="3"/>
      <c r="AA51" s="408" t="s">
        <v>1436</v>
      </c>
      <c r="AB51" s="3">
        <v>742000</v>
      </c>
      <c r="AD51" s="266"/>
    </row>
    <row r="52" spans="1:41" ht="35.15" customHeight="1">
      <c r="A52" s="254">
        <f t="shared" si="10"/>
        <v>46</v>
      </c>
      <c r="B52" s="427">
        <v>1894</v>
      </c>
      <c r="C52" s="254" t="s">
        <v>535</v>
      </c>
      <c r="D52" s="255">
        <v>7100000</v>
      </c>
      <c r="E52" s="255">
        <v>7100000</v>
      </c>
      <c r="F52" s="255">
        <f t="shared" si="0"/>
        <v>0</v>
      </c>
      <c r="G52" s="255">
        <v>7100000</v>
      </c>
      <c r="H52" s="255">
        <v>6050308</v>
      </c>
      <c r="I52" s="255"/>
      <c r="J52" s="255">
        <v>1046091.4</v>
      </c>
      <c r="K52" s="255">
        <f t="shared" si="2"/>
        <v>1046091.4</v>
      </c>
      <c r="L52" s="255">
        <f t="shared" si="1"/>
        <v>7096399.4000000004</v>
      </c>
      <c r="M52" s="255">
        <f t="shared" si="3"/>
        <v>3600.5999999996275</v>
      </c>
      <c r="N52" s="255"/>
      <c r="O52" s="255">
        <f t="shared" si="4"/>
        <v>0</v>
      </c>
      <c r="P52" s="255">
        <f t="shared" si="5"/>
        <v>3600.5999999996275</v>
      </c>
      <c r="Q52" s="255"/>
      <c r="R52" s="255"/>
      <c r="S52" s="255">
        <f t="shared" si="6"/>
        <v>0</v>
      </c>
      <c r="T52" s="255">
        <f t="shared" si="7"/>
        <v>0</v>
      </c>
      <c r="U52" s="255">
        <f t="shared" si="8"/>
        <v>0</v>
      </c>
      <c r="V52" s="255">
        <f t="shared" si="9"/>
        <v>0</v>
      </c>
      <c r="W52" s="255"/>
      <c r="X52" s="255"/>
      <c r="Y52" s="255"/>
      <c r="Z52" s="254"/>
      <c r="AA52" s="254"/>
      <c r="AB52" s="254">
        <v>810000</v>
      </c>
      <c r="AE52" s="425"/>
      <c r="AF52" s="258"/>
      <c r="AG52" s="266"/>
      <c r="AH52" s="266"/>
      <c r="AI52" s="266"/>
    </row>
    <row r="53" spans="1:41" ht="35.15" customHeight="1">
      <c r="A53" s="254">
        <f t="shared" si="10"/>
        <v>47</v>
      </c>
      <c r="B53" s="427">
        <v>1896</v>
      </c>
      <c r="C53" s="254" t="s">
        <v>1321</v>
      </c>
      <c r="D53" s="255">
        <v>18560000</v>
      </c>
      <c r="E53" s="255">
        <v>18560000</v>
      </c>
      <c r="F53" s="255">
        <f t="shared" si="0"/>
        <v>0</v>
      </c>
      <c r="G53" s="255">
        <v>1000000</v>
      </c>
      <c r="H53" s="255">
        <v>3622</v>
      </c>
      <c r="I53" s="255"/>
      <c r="J53" s="255">
        <v>2228.0500000000002</v>
      </c>
      <c r="K53" s="255">
        <f t="shared" si="2"/>
        <v>2228.0500000000002</v>
      </c>
      <c r="L53" s="255">
        <f t="shared" si="1"/>
        <v>5850.05</v>
      </c>
      <c r="M53" s="255">
        <f t="shared" si="3"/>
        <v>3994149.95</v>
      </c>
      <c r="N53" s="255">
        <v>7600000</v>
      </c>
      <c r="O53" s="255">
        <f t="shared" si="4"/>
        <v>6960000</v>
      </c>
      <c r="P53" s="255">
        <f t="shared" si="5"/>
        <v>994149.95</v>
      </c>
      <c r="Q53" s="255">
        <v>3000000</v>
      </c>
      <c r="R53" s="255"/>
      <c r="S53" s="255">
        <f t="shared" si="6"/>
        <v>3000000</v>
      </c>
      <c r="T53" s="255">
        <f t="shared" si="7"/>
        <v>0</v>
      </c>
      <c r="U53" s="255">
        <f t="shared" si="8"/>
        <v>7600000</v>
      </c>
      <c r="V53" s="255">
        <f t="shared" si="9"/>
        <v>7600000</v>
      </c>
      <c r="W53" s="255"/>
      <c r="X53" s="255"/>
      <c r="Y53" s="255"/>
      <c r="Z53" s="254"/>
      <c r="AA53" s="254" t="s">
        <v>1087</v>
      </c>
      <c r="AB53" s="254">
        <v>829000</v>
      </c>
      <c r="AE53" s="425"/>
      <c r="AF53" s="258"/>
      <c r="AG53" s="266"/>
      <c r="AH53" s="266"/>
      <c r="AI53" s="266"/>
    </row>
    <row r="54" spans="1:41" ht="35.15" customHeight="1">
      <c r="A54" s="254">
        <f t="shared" si="10"/>
        <v>48</v>
      </c>
      <c r="B54" s="427">
        <v>1903</v>
      </c>
      <c r="C54" s="254" t="s">
        <v>212</v>
      </c>
      <c r="D54" s="255">
        <v>1700000</v>
      </c>
      <c r="E54" s="255">
        <v>1700000</v>
      </c>
      <c r="F54" s="255">
        <f t="shared" si="0"/>
        <v>0</v>
      </c>
      <c r="G54" s="255">
        <v>1700000</v>
      </c>
      <c r="H54" s="255">
        <v>1613350</v>
      </c>
      <c r="I54" s="255"/>
      <c r="J54" s="255">
        <v>86645.62</v>
      </c>
      <c r="K54" s="255">
        <f t="shared" si="2"/>
        <v>86645.62</v>
      </c>
      <c r="L54" s="255">
        <f t="shared" si="1"/>
        <v>1699995.62</v>
      </c>
      <c r="M54" s="255">
        <f t="shared" si="3"/>
        <v>4.3799999998882413</v>
      </c>
      <c r="N54" s="255"/>
      <c r="O54" s="255">
        <f t="shared" si="4"/>
        <v>0</v>
      </c>
      <c r="P54" s="255">
        <f t="shared" si="5"/>
        <v>4.3799999998882413</v>
      </c>
      <c r="Q54" s="255"/>
      <c r="R54" s="255"/>
      <c r="S54" s="255">
        <f t="shared" si="6"/>
        <v>0</v>
      </c>
      <c r="T54" s="255">
        <f t="shared" si="7"/>
        <v>0</v>
      </c>
      <c r="U54" s="255">
        <f t="shared" si="8"/>
        <v>0</v>
      </c>
      <c r="V54" s="255">
        <f t="shared" si="9"/>
        <v>0</v>
      </c>
      <c r="W54" s="255"/>
      <c r="X54" s="255"/>
      <c r="Y54" s="255"/>
      <c r="Z54" s="254"/>
      <c r="AA54" s="254"/>
      <c r="AB54" s="254">
        <v>930000</v>
      </c>
      <c r="AE54" s="425"/>
      <c r="AF54" s="258"/>
      <c r="AG54" s="266"/>
      <c r="AH54" s="266"/>
      <c r="AI54" s="266"/>
    </row>
    <row r="55" spans="1:41" s="258" customFormat="1" ht="35.15" customHeight="1">
      <c r="A55" s="254">
        <f t="shared" si="10"/>
        <v>49</v>
      </c>
      <c r="B55" s="254">
        <v>1904</v>
      </c>
      <c r="C55" s="254" t="s">
        <v>199</v>
      </c>
      <c r="D55" s="255">
        <v>5700000</v>
      </c>
      <c r="E55" s="255">
        <v>5700000</v>
      </c>
      <c r="F55" s="255">
        <f t="shared" si="0"/>
        <v>0</v>
      </c>
      <c r="G55" s="255">
        <v>2000000</v>
      </c>
      <c r="H55" s="255">
        <v>86598</v>
      </c>
      <c r="I55" s="255"/>
      <c r="J55" s="255">
        <v>263400.27</v>
      </c>
      <c r="K55" s="255">
        <f t="shared" si="2"/>
        <v>263400.27</v>
      </c>
      <c r="L55" s="255">
        <f t="shared" si="1"/>
        <v>349998.27</v>
      </c>
      <c r="M55" s="255">
        <f t="shared" si="3"/>
        <v>1650001.73</v>
      </c>
      <c r="N55" s="255">
        <v>3700000</v>
      </c>
      <c r="O55" s="255">
        <f t="shared" si="4"/>
        <v>0</v>
      </c>
      <c r="P55" s="255">
        <f t="shared" si="5"/>
        <v>1650001.73</v>
      </c>
      <c r="Q55" s="255"/>
      <c r="R55" s="255"/>
      <c r="S55" s="255">
        <f t="shared" si="6"/>
        <v>0</v>
      </c>
      <c r="T55" s="255">
        <f t="shared" si="7"/>
        <v>0</v>
      </c>
      <c r="U55" s="255">
        <f t="shared" si="8"/>
        <v>3700000</v>
      </c>
      <c r="V55" s="255">
        <f t="shared" si="9"/>
        <v>775000</v>
      </c>
      <c r="W55" s="255"/>
      <c r="X55" s="255"/>
      <c r="Y55" s="255"/>
      <c r="Z55" s="255">
        <f>936000+1989000</f>
        <v>2925000</v>
      </c>
      <c r="AA55" s="254" t="s">
        <v>1307</v>
      </c>
      <c r="AB55" s="254">
        <v>742000</v>
      </c>
      <c r="AC55" s="420"/>
      <c r="AD55" s="266"/>
      <c r="AE55" s="425"/>
      <c r="AJ55" s="416"/>
      <c r="AK55" s="416"/>
      <c r="AL55" s="416"/>
    </row>
    <row r="56" spans="1:41" ht="35.15" customHeight="1">
      <c r="A56" s="254">
        <f t="shared" si="10"/>
        <v>50</v>
      </c>
      <c r="B56" s="427">
        <v>1921</v>
      </c>
      <c r="C56" s="254" t="s">
        <v>215</v>
      </c>
      <c r="D56" s="255">
        <f>9320000+150000-150000-44000</f>
        <v>9276000</v>
      </c>
      <c r="E56" s="255">
        <v>9320000</v>
      </c>
      <c r="F56" s="255">
        <f t="shared" si="0"/>
        <v>-44000</v>
      </c>
      <c r="G56" s="255">
        <v>4500000</v>
      </c>
      <c r="H56" s="255">
        <v>2848946</v>
      </c>
      <c r="I56" s="255"/>
      <c r="J56" s="255">
        <v>1002363.11</v>
      </c>
      <c r="K56" s="255">
        <f t="shared" si="2"/>
        <v>1002363.11</v>
      </c>
      <c r="L56" s="255">
        <f t="shared" si="1"/>
        <v>3851309.11</v>
      </c>
      <c r="M56" s="255">
        <f t="shared" si="3"/>
        <v>2968690.89</v>
      </c>
      <c r="N56" s="255">
        <f>136000+2320000</f>
        <v>2456000</v>
      </c>
      <c r="O56" s="255">
        <f t="shared" si="4"/>
        <v>0</v>
      </c>
      <c r="P56" s="255">
        <f t="shared" si="5"/>
        <v>648690.89000000013</v>
      </c>
      <c r="Q56" s="255">
        <v>2320000</v>
      </c>
      <c r="R56" s="255"/>
      <c r="S56" s="255">
        <f t="shared" si="6"/>
        <v>2320000</v>
      </c>
      <c r="T56" s="255">
        <f t="shared" si="7"/>
        <v>0</v>
      </c>
      <c r="U56" s="255">
        <f t="shared" si="8"/>
        <v>2456000</v>
      </c>
      <c r="V56" s="255">
        <f t="shared" si="9"/>
        <v>2456000</v>
      </c>
      <c r="W56" s="255"/>
      <c r="X56" s="255"/>
      <c r="Y56" s="255"/>
      <c r="Z56" s="254"/>
      <c r="AA56" s="254" t="s">
        <v>1101</v>
      </c>
      <c r="AB56" s="254">
        <v>829000</v>
      </c>
      <c r="AE56" s="425"/>
      <c r="AF56" s="258"/>
      <c r="AG56" s="266"/>
      <c r="AH56" s="266"/>
      <c r="AI56" s="266"/>
    </row>
    <row r="57" spans="1:41" ht="35.15" customHeight="1">
      <c r="A57" s="254">
        <f t="shared" si="10"/>
        <v>51</v>
      </c>
      <c r="B57" s="427">
        <v>1936</v>
      </c>
      <c r="C57" s="254" t="s">
        <v>323</v>
      </c>
      <c r="D57" s="255">
        <v>6082795</v>
      </c>
      <c r="E57" s="255">
        <v>6082795</v>
      </c>
      <c r="F57" s="255">
        <f t="shared" si="0"/>
        <v>0</v>
      </c>
      <c r="G57" s="255">
        <v>700000</v>
      </c>
      <c r="H57" s="255">
        <v>313933</v>
      </c>
      <c r="I57" s="255"/>
      <c r="J57" s="255">
        <v>86064.19</v>
      </c>
      <c r="K57" s="255">
        <f t="shared" si="2"/>
        <v>86064.19</v>
      </c>
      <c r="L57" s="255">
        <f t="shared" si="1"/>
        <v>399997.19</v>
      </c>
      <c r="M57" s="255">
        <f t="shared" si="3"/>
        <v>300002.81</v>
      </c>
      <c r="N57" s="255"/>
      <c r="O57" s="255">
        <f t="shared" si="4"/>
        <v>5382795</v>
      </c>
      <c r="P57" s="255">
        <f t="shared" si="5"/>
        <v>300002.81</v>
      </c>
      <c r="Q57" s="255"/>
      <c r="R57" s="255"/>
      <c r="S57" s="255">
        <f t="shared" si="6"/>
        <v>0</v>
      </c>
      <c r="T57" s="255">
        <f t="shared" si="7"/>
        <v>0</v>
      </c>
      <c r="U57" s="255">
        <f t="shared" si="8"/>
        <v>0</v>
      </c>
      <c r="V57" s="255">
        <f t="shared" si="9"/>
        <v>0</v>
      </c>
      <c r="W57" s="255"/>
      <c r="X57" s="255"/>
      <c r="Y57" s="255"/>
      <c r="Z57" s="254"/>
      <c r="AA57" s="428" t="s">
        <v>1068</v>
      </c>
      <c r="AB57" s="254">
        <v>732000</v>
      </c>
      <c r="AE57" s="425"/>
      <c r="AF57" s="258"/>
      <c r="AG57" s="266"/>
      <c r="AH57" s="266"/>
      <c r="AI57" s="266"/>
      <c r="AO57" s="261"/>
    </row>
    <row r="58" spans="1:41" ht="35.15" customHeight="1">
      <c r="A58" s="254">
        <f t="shared" si="10"/>
        <v>52</v>
      </c>
      <c r="B58" s="427">
        <v>1940</v>
      </c>
      <c r="C58" s="254" t="s">
        <v>252</v>
      </c>
      <c r="D58" s="255">
        <v>186000</v>
      </c>
      <c r="E58" s="255">
        <v>186000</v>
      </c>
      <c r="F58" s="255">
        <f t="shared" si="0"/>
        <v>0</v>
      </c>
      <c r="G58" s="255">
        <v>186000</v>
      </c>
      <c r="H58" s="255">
        <v>99216</v>
      </c>
      <c r="I58" s="255"/>
      <c r="J58" s="255">
        <v>24773.58</v>
      </c>
      <c r="K58" s="255">
        <f t="shared" si="2"/>
        <v>24773.58</v>
      </c>
      <c r="L58" s="255">
        <f t="shared" si="1"/>
        <v>123989.58</v>
      </c>
      <c r="M58" s="255">
        <f t="shared" si="3"/>
        <v>62010.42</v>
      </c>
      <c r="N58" s="255"/>
      <c r="O58" s="255">
        <f t="shared" si="4"/>
        <v>0</v>
      </c>
      <c r="P58" s="255">
        <f t="shared" si="5"/>
        <v>62010.42</v>
      </c>
      <c r="Q58" s="255"/>
      <c r="R58" s="255"/>
      <c r="S58" s="255">
        <f t="shared" si="6"/>
        <v>0</v>
      </c>
      <c r="T58" s="255">
        <f t="shared" si="7"/>
        <v>0</v>
      </c>
      <c r="U58" s="255">
        <f t="shared" si="8"/>
        <v>0</v>
      </c>
      <c r="V58" s="255">
        <f t="shared" si="9"/>
        <v>0</v>
      </c>
      <c r="W58" s="255"/>
      <c r="X58" s="255"/>
      <c r="Y58" s="255"/>
      <c r="Z58" s="254"/>
      <c r="AA58" s="254"/>
      <c r="AB58" s="254">
        <v>732000</v>
      </c>
      <c r="AE58" s="425"/>
      <c r="AF58" s="258"/>
      <c r="AG58" s="266"/>
      <c r="AH58" s="266"/>
      <c r="AI58" s="266"/>
      <c r="AO58" s="261"/>
    </row>
    <row r="59" spans="1:41" ht="35.15" customHeight="1">
      <c r="A59" s="254">
        <f t="shared" si="10"/>
        <v>53</v>
      </c>
      <c r="B59" s="427">
        <v>1953</v>
      </c>
      <c r="C59" s="254" t="s">
        <v>1322</v>
      </c>
      <c r="D59" s="255">
        <v>5300000</v>
      </c>
      <c r="E59" s="255">
        <v>5300000</v>
      </c>
      <c r="F59" s="255">
        <f t="shared" si="0"/>
        <v>0</v>
      </c>
      <c r="G59" s="255">
        <v>3300000</v>
      </c>
      <c r="H59" s="255">
        <v>1922976</v>
      </c>
      <c r="I59" s="255"/>
      <c r="J59" s="255">
        <v>1373536.08</v>
      </c>
      <c r="K59" s="255">
        <f t="shared" ref="K59:K84" si="11">SUM(I59:J59)</f>
        <v>1373536.08</v>
      </c>
      <c r="L59" s="255">
        <f t="shared" si="1"/>
        <v>3296512.08</v>
      </c>
      <c r="M59" s="255">
        <f t="shared" si="3"/>
        <v>2003487.92</v>
      </c>
      <c r="N59" s="255"/>
      <c r="O59" s="255">
        <f t="shared" si="4"/>
        <v>0</v>
      </c>
      <c r="P59" s="255">
        <f t="shared" si="5"/>
        <v>3487.9199999999255</v>
      </c>
      <c r="Q59" s="255">
        <v>2000000</v>
      </c>
      <c r="R59" s="255"/>
      <c r="S59" s="255">
        <f t="shared" si="6"/>
        <v>2000000</v>
      </c>
      <c r="T59" s="255">
        <f t="shared" si="7"/>
        <v>0</v>
      </c>
      <c r="U59" s="255">
        <f t="shared" si="8"/>
        <v>0</v>
      </c>
      <c r="V59" s="255">
        <f t="shared" si="9"/>
        <v>0</v>
      </c>
      <c r="W59" s="255"/>
      <c r="X59" s="255"/>
      <c r="Y59" s="255"/>
      <c r="Z59" s="254"/>
      <c r="AA59" s="689" t="s">
        <v>1447</v>
      </c>
      <c r="AB59" s="254">
        <v>742000</v>
      </c>
      <c r="AE59" s="425"/>
      <c r="AF59" s="258"/>
      <c r="AG59" s="266"/>
      <c r="AH59" s="266"/>
      <c r="AI59" s="266"/>
    </row>
    <row r="60" spans="1:41" s="258" customFormat="1" ht="35.15" customHeight="1">
      <c r="A60" s="254">
        <f t="shared" si="10"/>
        <v>54</v>
      </c>
      <c r="B60" s="254">
        <v>1954</v>
      </c>
      <c r="C60" s="254" t="s">
        <v>250</v>
      </c>
      <c r="D60" s="255">
        <v>2000000</v>
      </c>
      <c r="E60" s="255">
        <v>2000000</v>
      </c>
      <c r="F60" s="255">
        <f t="shared" si="0"/>
        <v>0</v>
      </c>
      <c r="G60" s="255">
        <v>2000000</v>
      </c>
      <c r="H60" s="255">
        <v>230565</v>
      </c>
      <c r="I60" s="255"/>
      <c r="J60" s="255">
        <v>1682275.94</v>
      </c>
      <c r="K60" s="255">
        <f t="shared" si="11"/>
        <v>1682275.94</v>
      </c>
      <c r="L60" s="255">
        <f t="shared" si="1"/>
        <v>1912840.94</v>
      </c>
      <c r="M60" s="255">
        <f t="shared" si="3"/>
        <v>87159.060000000056</v>
      </c>
      <c r="N60" s="255"/>
      <c r="O60" s="255">
        <f t="shared" si="4"/>
        <v>0</v>
      </c>
      <c r="P60" s="255">
        <f t="shared" si="5"/>
        <v>87159.060000000056</v>
      </c>
      <c r="Q60" s="255"/>
      <c r="R60" s="255"/>
      <c r="S60" s="255">
        <f t="shared" si="6"/>
        <v>0</v>
      </c>
      <c r="T60" s="255">
        <f t="shared" si="7"/>
        <v>0</v>
      </c>
      <c r="U60" s="255">
        <f t="shared" si="8"/>
        <v>0</v>
      </c>
      <c r="V60" s="255">
        <f t="shared" si="9"/>
        <v>0</v>
      </c>
      <c r="W60" s="255"/>
      <c r="X60" s="255"/>
      <c r="Y60" s="255"/>
      <c r="Z60" s="254"/>
      <c r="AA60" s="428"/>
      <c r="AB60" s="254">
        <v>742000</v>
      </c>
      <c r="AC60" s="420"/>
      <c r="AD60" s="266"/>
      <c r="AE60" s="425"/>
      <c r="AJ60" s="416"/>
      <c r="AK60" s="416"/>
      <c r="AL60" s="416"/>
    </row>
    <row r="61" spans="1:41" ht="35.15" customHeight="1">
      <c r="A61" s="254">
        <f t="shared" si="10"/>
        <v>55</v>
      </c>
      <c r="B61" s="427">
        <v>1955</v>
      </c>
      <c r="C61" s="254" t="s">
        <v>251</v>
      </c>
      <c r="D61" s="255">
        <v>250000</v>
      </c>
      <c r="E61" s="255">
        <v>250000</v>
      </c>
      <c r="F61" s="255">
        <f t="shared" si="0"/>
        <v>0</v>
      </c>
      <c r="G61" s="255">
        <v>250000</v>
      </c>
      <c r="H61" s="255">
        <v>0</v>
      </c>
      <c r="I61" s="255"/>
      <c r="J61" s="255"/>
      <c r="K61" s="255">
        <f t="shared" si="11"/>
        <v>0</v>
      </c>
      <c r="L61" s="255">
        <f t="shared" si="1"/>
        <v>0</v>
      </c>
      <c r="M61" s="255">
        <f t="shared" si="3"/>
        <v>250000</v>
      </c>
      <c r="N61" s="255"/>
      <c r="O61" s="255">
        <f t="shared" si="4"/>
        <v>0</v>
      </c>
      <c r="P61" s="255">
        <f t="shared" si="5"/>
        <v>250000</v>
      </c>
      <c r="Q61" s="255"/>
      <c r="R61" s="255"/>
      <c r="S61" s="255">
        <f t="shared" si="6"/>
        <v>0</v>
      </c>
      <c r="T61" s="255">
        <f t="shared" si="7"/>
        <v>0</v>
      </c>
      <c r="U61" s="255">
        <f t="shared" si="8"/>
        <v>0</v>
      </c>
      <c r="V61" s="255">
        <f t="shared" si="9"/>
        <v>0</v>
      </c>
      <c r="W61" s="255"/>
      <c r="X61" s="255"/>
      <c r="Y61" s="255"/>
      <c r="Z61" s="254"/>
      <c r="AA61" s="254"/>
      <c r="AB61" s="254">
        <v>742000</v>
      </c>
      <c r="AE61" s="425"/>
      <c r="AF61" s="258"/>
      <c r="AG61" s="266"/>
      <c r="AH61" s="266"/>
      <c r="AI61" s="266"/>
    </row>
    <row r="62" spans="1:41" ht="35.15" customHeight="1">
      <c r="A62" s="254">
        <f t="shared" si="10"/>
        <v>56</v>
      </c>
      <c r="B62" s="427">
        <v>1957</v>
      </c>
      <c r="C62" s="254" t="s">
        <v>708</v>
      </c>
      <c r="D62" s="255">
        <v>60000000</v>
      </c>
      <c r="E62" s="255">
        <v>60000000</v>
      </c>
      <c r="F62" s="255">
        <f t="shared" si="0"/>
        <v>0</v>
      </c>
      <c r="G62" s="255">
        <f>1900000+400000</f>
        <v>2300000</v>
      </c>
      <c r="H62" s="255">
        <v>1730549</v>
      </c>
      <c r="I62" s="255"/>
      <c r="J62" s="255">
        <v>169446</v>
      </c>
      <c r="K62" s="255">
        <f t="shared" si="11"/>
        <v>169446</v>
      </c>
      <c r="L62" s="255">
        <f t="shared" si="1"/>
        <v>1899995</v>
      </c>
      <c r="M62" s="255">
        <f t="shared" si="3"/>
        <v>14600005</v>
      </c>
      <c r="N62" s="255">
        <v>14500000</v>
      </c>
      <c r="O62" s="255">
        <f t="shared" si="4"/>
        <v>29000000</v>
      </c>
      <c r="P62" s="255">
        <f t="shared" si="5"/>
        <v>400005</v>
      </c>
      <c r="Q62" s="423">
        <f>14600000-400000</f>
        <v>14200000</v>
      </c>
      <c r="R62" s="255"/>
      <c r="S62" s="255">
        <f t="shared" si="6"/>
        <v>14200000</v>
      </c>
      <c r="T62" s="255">
        <f t="shared" si="7"/>
        <v>0</v>
      </c>
      <c r="U62" s="255">
        <f t="shared" si="8"/>
        <v>14500000</v>
      </c>
      <c r="V62" s="255">
        <f t="shared" si="9"/>
        <v>14500000</v>
      </c>
      <c r="W62" s="255"/>
      <c r="X62" s="255"/>
      <c r="Y62" s="255"/>
      <c r="Z62" s="254"/>
      <c r="AA62" s="254" t="s">
        <v>1308</v>
      </c>
      <c r="AB62" s="254">
        <v>810000</v>
      </c>
      <c r="AE62" s="425"/>
      <c r="AF62" s="258"/>
      <c r="AG62" s="266"/>
      <c r="AH62" s="266"/>
      <c r="AI62" s="266"/>
    </row>
    <row r="63" spans="1:41" ht="35.15" customHeight="1">
      <c r="A63" s="254">
        <f t="shared" si="10"/>
        <v>57</v>
      </c>
      <c r="B63" s="427">
        <v>1972</v>
      </c>
      <c r="C63" s="254" t="s">
        <v>709</v>
      </c>
      <c r="D63" s="255">
        <v>4470000</v>
      </c>
      <c r="E63" s="255">
        <v>4470000</v>
      </c>
      <c r="F63" s="255">
        <f t="shared" si="0"/>
        <v>0</v>
      </c>
      <c r="G63" s="255">
        <v>900000</v>
      </c>
      <c r="H63" s="255">
        <v>116425</v>
      </c>
      <c r="I63" s="255"/>
      <c r="J63" s="255">
        <v>539423</v>
      </c>
      <c r="K63" s="255">
        <f t="shared" si="11"/>
        <v>539423</v>
      </c>
      <c r="L63" s="255">
        <f t="shared" si="1"/>
        <v>655848</v>
      </c>
      <c r="M63" s="255">
        <f t="shared" si="3"/>
        <v>244152</v>
      </c>
      <c r="N63" s="255">
        <v>3570000</v>
      </c>
      <c r="O63" s="255">
        <f t="shared" si="4"/>
        <v>0</v>
      </c>
      <c r="P63" s="255">
        <f t="shared" si="5"/>
        <v>244152</v>
      </c>
      <c r="Q63" s="255"/>
      <c r="R63" s="255"/>
      <c r="S63" s="255">
        <f t="shared" si="6"/>
        <v>0</v>
      </c>
      <c r="T63" s="255">
        <f t="shared" si="7"/>
        <v>0</v>
      </c>
      <c r="U63" s="255">
        <f t="shared" si="8"/>
        <v>3570000</v>
      </c>
      <c r="V63" s="255">
        <f t="shared" si="9"/>
        <v>3570000</v>
      </c>
      <c r="W63" s="255"/>
      <c r="X63" s="255"/>
      <c r="Y63" s="255"/>
      <c r="Z63" s="254"/>
      <c r="AA63" s="254" t="s">
        <v>1309</v>
      </c>
      <c r="AB63" s="254">
        <v>746000</v>
      </c>
      <c r="AE63" s="425"/>
      <c r="AF63" s="258"/>
      <c r="AG63" s="266"/>
      <c r="AH63" s="266"/>
      <c r="AI63" s="266"/>
      <c r="AO63" s="261"/>
    </row>
    <row r="64" spans="1:41" ht="35.15" customHeight="1">
      <c r="A64" s="254">
        <f t="shared" si="10"/>
        <v>58</v>
      </c>
      <c r="B64" s="427">
        <v>1991</v>
      </c>
      <c r="C64" s="254" t="s">
        <v>710</v>
      </c>
      <c r="D64" s="255">
        <v>2000000</v>
      </c>
      <c r="E64" s="255">
        <v>2000000</v>
      </c>
      <c r="F64" s="255">
        <f t="shared" si="0"/>
        <v>0</v>
      </c>
      <c r="G64" s="255">
        <v>2000000</v>
      </c>
      <c r="H64" s="255">
        <v>65414</v>
      </c>
      <c r="I64" s="255"/>
      <c r="J64" s="255">
        <v>34387.89</v>
      </c>
      <c r="K64" s="255">
        <f t="shared" si="11"/>
        <v>34387.89</v>
      </c>
      <c r="L64" s="255">
        <f t="shared" si="1"/>
        <v>99801.89</v>
      </c>
      <c r="M64" s="255">
        <f>P64+S64-1900000</f>
        <v>198.11000000010245</v>
      </c>
      <c r="N64" s="255"/>
      <c r="O64" s="255">
        <f t="shared" si="4"/>
        <v>1900000</v>
      </c>
      <c r="P64" s="255">
        <f t="shared" si="5"/>
        <v>1900198.11</v>
      </c>
      <c r="Q64" s="255"/>
      <c r="R64" s="255"/>
      <c r="S64" s="255">
        <f t="shared" si="6"/>
        <v>0</v>
      </c>
      <c r="T64" s="255">
        <f t="shared" si="7"/>
        <v>1900000</v>
      </c>
      <c r="U64" s="255">
        <f t="shared" si="8"/>
        <v>-1900000</v>
      </c>
      <c r="V64" s="255">
        <f t="shared" si="9"/>
        <v>-1900000</v>
      </c>
      <c r="W64" s="255"/>
      <c r="X64" s="255"/>
      <c r="Y64" s="255"/>
      <c r="Z64" s="254"/>
      <c r="AA64" s="254"/>
      <c r="AB64" s="254">
        <v>823000</v>
      </c>
      <c r="AE64" s="425"/>
      <c r="AF64" s="258"/>
      <c r="AG64" s="266"/>
      <c r="AH64" s="266"/>
      <c r="AI64" s="266"/>
      <c r="AO64" s="261"/>
    </row>
    <row r="65" spans="1:43" s="266" customFormat="1" ht="35.15" customHeight="1">
      <c r="A65" s="254">
        <f t="shared" si="10"/>
        <v>59</v>
      </c>
      <c r="B65" s="254">
        <v>2002</v>
      </c>
      <c r="C65" s="254" t="s">
        <v>381</v>
      </c>
      <c r="D65" s="255">
        <f>865000+635000</f>
        <v>1500000</v>
      </c>
      <c r="E65" s="255">
        <v>1500000</v>
      </c>
      <c r="F65" s="255">
        <f t="shared" si="0"/>
        <v>0</v>
      </c>
      <c r="G65" s="255">
        <v>865000</v>
      </c>
      <c r="H65" s="255">
        <v>3473</v>
      </c>
      <c r="I65" s="255"/>
      <c r="J65" s="255">
        <v>568945</v>
      </c>
      <c r="K65" s="255">
        <f t="shared" si="11"/>
        <v>568945</v>
      </c>
      <c r="L65" s="255">
        <f t="shared" si="1"/>
        <v>572418</v>
      </c>
      <c r="M65" s="255">
        <f t="shared" si="3"/>
        <v>292582</v>
      </c>
      <c r="N65" s="255">
        <v>635000</v>
      </c>
      <c r="O65" s="255">
        <f t="shared" si="4"/>
        <v>0</v>
      </c>
      <c r="P65" s="255">
        <f t="shared" si="5"/>
        <v>292582</v>
      </c>
      <c r="Q65" s="255"/>
      <c r="R65" s="255"/>
      <c r="S65" s="255">
        <f t="shared" si="6"/>
        <v>0</v>
      </c>
      <c r="T65" s="255">
        <f t="shared" si="7"/>
        <v>0</v>
      </c>
      <c r="U65" s="255">
        <f t="shared" si="8"/>
        <v>635000</v>
      </c>
      <c r="V65" s="255">
        <f t="shared" si="9"/>
        <v>635000</v>
      </c>
      <c r="W65" s="255"/>
      <c r="X65" s="255"/>
      <c r="Y65" s="255"/>
      <c r="Z65" s="254"/>
      <c r="AA65" s="254" t="s">
        <v>1069</v>
      </c>
      <c r="AB65" s="430">
        <v>742000</v>
      </c>
      <c r="AC65" s="420"/>
      <c r="AE65" s="425"/>
      <c r="AF65" s="258"/>
      <c r="AG65" s="258"/>
      <c r="AH65" s="258"/>
      <c r="AI65" s="258"/>
      <c r="AJ65" s="416"/>
      <c r="AK65" s="416"/>
      <c r="AL65" s="416"/>
      <c r="AM65" s="265"/>
      <c r="AN65" s="265"/>
      <c r="AO65" s="265"/>
      <c r="AP65" s="265"/>
      <c r="AQ65" s="265"/>
    </row>
    <row r="66" spans="1:43" s="266" customFormat="1" ht="35.15" customHeight="1">
      <c r="A66" s="254">
        <f t="shared" si="10"/>
        <v>60</v>
      </c>
      <c r="B66" s="254">
        <v>2008</v>
      </c>
      <c r="C66" s="254" t="s">
        <v>672</v>
      </c>
      <c r="D66" s="255">
        <v>2500000</v>
      </c>
      <c r="E66" s="255">
        <v>2500000</v>
      </c>
      <c r="F66" s="255">
        <f t="shared" si="0"/>
        <v>0</v>
      </c>
      <c r="G66" s="255">
        <v>0</v>
      </c>
      <c r="H66" s="255">
        <v>0</v>
      </c>
      <c r="I66" s="255"/>
      <c r="J66" s="255"/>
      <c r="K66" s="255">
        <f>SUM(I66:J66)</f>
        <v>0</v>
      </c>
      <c r="L66" s="255">
        <f>H66+K66</f>
        <v>0</v>
      </c>
      <c r="M66" s="255">
        <f t="shared" si="3"/>
        <v>0</v>
      </c>
      <c r="N66" s="255"/>
      <c r="O66" s="255">
        <f t="shared" si="4"/>
        <v>2500000</v>
      </c>
      <c r="P66" s="255">
        <f t="shared" si="5"/>
        <v>0</v>
      </c>
      <c r="Q66" s="255"/>
      <c r="R66" s="255"/>
      <c r="S66" s="255">
        <f>SUM(Q66:R66)</f>
        <v>0</v>
      </c>
      <c r="T66" s="255">
        <f t="shared" si="7"/>
        <v>0</v>
      </c>
      <c r="U66" s="255">
        <f t="shared" si="8"/>
        <v>0</v>
      </c>
      <c r="V66" s="255">
        <f t="shared" si="9"/>
        <v>0</v>
      </c>
      <c r="W66" s="255"/>
      <c r="X66" s="255"/>
      <c r="Y66" s="255"/>
      <c r="Z66" s="254"/>
      <c r="AA66" s="428"/>
      <c r="AB66" s="254">
        <v>742000</v>
      </c>
      <c r="AC66" s="420"/>
      <c r="AE66" s="425"/>
      <c r="AF66" s="258"/>
      <c r="AG66" s="258"/>
      <c r="AH66" s="258"/>
      <c r="AI66" s="258"/>
      <c r="AJ66" s="416"/>
      <c r="AK66" s="416"/>
      <c r="AL66" s="416"/>
      <c r="AM66" s="265"/>
      <c r="AN66" s="265"/>
      <c r="AO66" s="265"/>
      <c r="AP66" s="265"/>
      <c r="AQ66" s="265"/>
    </row>
    <row r="67" spans="1:43" s="266" customFormat="1" ht="35.15" customHeight="1">
      <c r="A67" s="254">
        <f t="shared" si="10"/>
        <v>61</v>
      </c>
      <c r="B67" s="254">
        <v>2015</v>
      </c>
      <c r="C67" s="589" t="s">
        <v>1510</v>
      </c>
      <c r="D67" s="255">
        <v>10500000</v>
      </c>
      <c r="E67" s="255">
        <v>10500000</v>
      </c>
      <c r="F67" s="255">
        <f t="shared" si="0"/>
        <v>0</v>
      </c>
      <c r="G67" s="255">
        <v>250000</v>
      </c>
      <c r="H67" s="255">
        <v>0</v>
      </c>
      <c r="I67" s="255"/>
      <c r="J67" s="255"/>
      <c r="K67" s="255">
        <f t="shared" si="11"/>
        <v>0</v>
      </c>
      <c r="L67" s="255">
        <f t="shared" si="1"/>
        <v>0</v>
      </c>
      <c r="M67" s="255">
        <f t="shared" si="3"/>
        <v>5500000</v>
      </c>
      <c r="N67" s="255">
        <v>5000000</v>
      </c>
      <c r="O67" s="255">
        <f t="shared" si="4"/>
        <v>0</v>
      </c>
      <c r="P67" s="255">
        <f t="shared" si="5"/>
        <v>250000</v>
      </c>
      <c r="Q67" s="255">
        <v>5250000</v>
      </c>
      <c r="R67" s="255"/>
      <c r="S67" s="255">
        <f t="shared" si="6"/>
        <v>5250000</v>
      </c>
      <c r="T67" s="255">
        <f t="shared" si="7"/>
        <v>0</v>
      </c>
      <c r="U67" s="255">
        <f t="shared" si="8"/>
        <v>5000000</v>
      </c>
      <c r="V67" s="255">
        <f t="shared" si="9"/>
        <v>5000000</v>
      </c>
      <c r="W67" s="255"/>
      <c r="X67" s="255"/>
      <c r="Y67" s="255"/>
      <c r="Z67" s="254"/>
      <c r="AA67" s="254" t="s">
        <v>1515</v>
      </c>
      <c r="AB67" s="254">
        <v>810000</v>
      </c>
      <c r="AC67" s="420"/>
      <c r="AE67" s="425"/>
      <c r="AF67" s="258"/>
      <c r="AG67" s="258"/>
      <c r="AH67" s="258"/>
      <c r="AI67" s="258"/>
      <c r="AJ67" s="416"/>
      <c r="AK67" s="416"/>
      <c r="AL67" s="416"/>
    </row>
    <row r="68" spans="1:43" s="259" customFormat="1" ht="35.15" customHeight="1">
      <c r="A68" s="254">
        <f t="shared" si="10"/>
        <v>62</v>
      </c>
      <c r="B68" s="254">
        <v>2016</v>
      </c>
      <c r="C68" s="254" t="s">
        <v>1511</v>
      </c>
      <c r="D68" s="255">
        <v>7340000</v>
      </c>
      <c r="E68" s="255">
        <v>7340000</v>
      </c>
      <c r="F68" s="255">
        <f t="shared" si="0"/>
        <v>0</v>
      </c>
      <c r="G68" s="255">
        <v>7340000</v>
      </c>
      <c r="H68" s="255">
        <v>5006147</v>
      </c>
      <c r="I68" s="255"/>
      <c r="J68" s="255">
        <v>2333837</v>
      </c>
      <c r="K68" s="255">
        <f t="shared" si="11"/>
        <v>2333837</v>
      </c>
      <c r="L68" s="255">
        <f t="shared" si="1"/>
        <v>7339984</v>
      </c>
      <c r="M68" s="255">
        <f t="shared" si="3"/>
        <v>16</v>
      </c>
      <c r="N68" s="255"/>
      <c r="O68" s="255">
        <f t="shared" si="4"/>
        <v>0</v>
      </c>
      <c r="P68" s="255">
        <f t="shared" si="5"/>
        <v>16</v>
      </c>
      <c r="Q68" s="255"/>
      <c r="R68" s="255"/>
      <c r="S68" s="255">
        <f t="shared" si="6"/>
        <v>0</v>
      </c>
      <c r="T68" s="255">
        <f t="shared" si="7"/>
        <v>0</v>
      </c>
      <c r="U68" s="255">
        <f t="shared" si="8"/>
        <v>0</v>
      </c>
      <c r="V68" s="255">
        <f t="shared" si="9"/>
        <v>0</v>
      </c>
      <c r="W68" s="255"/>
      <c r="X68" s="255"/>
      <c r="Y68" s="255"/>
      <c r="Z68" s="254"/>
      <c r="AA68" s="254"/>
      <c r="AB68" s="254">
        <v>810000</v>
      </c>
      <c r="AC68" s="420"/>
      <c r="AD68" s="266"/>
      <c r="AE68" s="425"/>
      <c r="AF68" s="258"/>
      <c r="AG68" s="258"/>
      <c r="AJ68" s="416"/>
      <c r="AK68" s="416"/>
      <c r="AL68" s="416"/>
    </row>
    <row r="69" spans="1:43" ht="35.15" customHeight="1">
      <c r="A69" s="254">
        <f t="shared" si="10"/>
        <v>63</v>
      </c>
      <c r="B69" s="254">
        <v>2017</v>
      </c>
      <c r="C69" s="254" t="s">
        <v>713</v>
      </c>
      <c r="D69" s="255">
        <v>2000000</v>
      </c>
      <c r="E69" s="255">
        <v>2000000</v>
      </c>
      <c r="F69" s="255">
        <f t="shared" si="0"/>
        <v>0</v>
      </c>
      <c r="G69" s="255">
        <v>500000</v>
      </c>
      <c r="H69" s="255">
        <v>42787</v>
      </c>
      <c r="I69" s="255"/>
      <c r="J69" s="255">
        <v>442950.3</v>
      </c>
      <c r="K69" s="255">
        <f t="shared" si="11"/>
        <v>442950.3</v>
      </c>
      <c r="L69" s="255">
        <f t="shared" si="1"/>
        <v>485737.3</v>
      </c>
      <c r="M69" s="255">
        <f t="shared" si="3"/>
        <v>514262.7</v>
      </c>
      <c r="N69" s="255">
        <v>1000000</v>
      </c>
      <c r="O69" s="255">
        <f t="shared" si="4"/>
        <v>0</v>
      </c>
      <c r="P69" s="255">
        <f t="shared" si="5"/>
        <v>14262.700000000012</v>
      </c>
      <c r="Q69" s="255">
        <v>500000</v>
      </c>
      <c r="R69" s="255"/>
      <c r="S69" s="255">
        <f t="shared" si="6"/>
        <v>500000</v>
      </c>
      <c r="T69" s="255">
        <f t="shared" si="7"/>
        <v>0</v>
      </c>
      <c r="U69" s="255">
        <f t="shared" si="8"/>
        <v>1000000</v>
      </c>
      <c r="V69" s="255">
        <f t="shared" si="9"/>
        <v>1000000</v>
      </c>
      <c r="W69" s="255"/>
      <c r="X69" s="255"/>
      <c r="Y69" s="255"/>
      <c r="Z69" s="254"/>
      <c r="AA69" s="254" t="s">
        <v>1310</v>
      </c>
      <c r="AB69" s="254">
        <v>824000</v>
      </c>
      <c r="AE69" s="425"/>
      <c r="AF69" s="258"/>
      <c r="AG69" s="266"/>
      <c r="AH69" s="266"/>
      <c r="AI69" s="266"/>
      <c r="AM69" s="266"/>
      <c r="AN69" s="266"/>
      <c r="AO69" s="266"/>
      <c r="AP69" s="266"/>
      <c r="AQ69" s="266"/>
    </row>
    <row r="70" spans="1:43" ht="35.15" customHeight="1">
      <c r="A70" s="254">
        <f t="shared" si="10"/>
        <v>64</v>
      </c>
      <c r="B70" s="254">
        <v>2018</v>
      </c>
      <c r="C70" s="254" t="s">
        <v>714</v>
      </c>
      <c r="D70" s="255">
        <v>10000000</v>
      </c>
      <c r="E70" s="255">
        <v>10000000</v>
      </c>
      <c r="F70" s="255">
        <f t="shared" si="0"/>
        <v>0</v>
      </c>
      <c r="G70" s="255">
        <f>500000+500000</f>
        <v>1000000</v>
      </c>
      <c r="H70" s="255">
        <v>63471</v>
      </c>
      <c r="I70" s="255"/>
      <c r="J70" s="255">
        <v>236517.04</v>
      </c>
      <c r="K70" s="255">
        <f t="shared" si="11"/>
        <v>236517.04</v>
      </c>
      <c r="L70" s="255">
        <f t="shared" si="1"/>
        <v>299988.04000000004</v>
      </c>
      <c r="M70" s="255">
        <f t="shared" si="3"/>
        <v>3000011.96</v>
      </c>
      <c r="N70" s="255">
        <f>3300000-2000000</f>
        <v>1300000</v>
      </c>
      <c r="O70" s="255">
        <f t="shared" si="4"/>
        <v>5400000.0000000009</v>
      </c>
      <c r="P70" s="255">
        <f t="shared" si="5"/>
        <v>700011.96</v>
      </c>
      <c r="Q70" s="255">
        <f>2800000-500000</f>
        <v>2300000</v>
      </c>
      <c r="R70" s="255"/>
      <c r="S70" s="255">
        <f t="shared" si="6"/>
        <v>2300000</v>
      </c>
      <c r="T70" s="255">
        <f t="shared" si="7"/>
        <v>0</v>
      </c>
      <c r="U70" s="255">
        <f t="shared" si="8"/>
        <v>1300000</v>
      </c>
      <c r="V70" s="255">
        <f t="shared" si="9"/>
        <v>1300000</v>
      </c>
      <c r="W70" s="255"/>
      <c r="X70" s="255"/>
      <c r="Y70" s="255"/>
      <c r="Z70" s="254"/>
      <c r="AA70" s="254" t="s">
        <v>1070</v>
      </c>
      <c r="AB70" s="254">
        <v>742000</v>
      </c>
      <c r="AE70" s="425"/>
      <c r="AF70" s="258"/>
      <c r="AG70" s="266"/>
      <c r="AH70" s="266"/>
      <c r="AI70" s="266"/>
    </row>
    <row r="71" spans="1:43" ht="35.15" customHeight="1">
      <c r="A71" s="254">
        <f t="shared" si="10"/>
        <v>65</v>
      </c>
      <c r="B71" s="254">
        <v>2019</v>
      </c>
      <c r="C71" s="254" t="s">
        <v>715</v>
      </c>
      <c r="D71" s="255">
        <v>1200000</v>
      </c>
      <c r="E71" s="255">
        <v>1200000</v>
      </c>
      <c r="F71" s="255">
        <f t="shared" si="0"/>
        <v>0</v>
      </c>
      <c r="G71" s="255">
        <v>350000</v>
      </c>
      <c r="H71" s="255">
        <v>0</v>
      </c>
      <c r="I71" s="255"/>
      <c r="J71" s="255"/>
      <c r="K71" s="255">
        <f t="shared" si="11"/>
        <v>0</v>
      </c>
      <c r="L71" s="255">
        <f t="shared" ref="L71:L85" si="12">K71+H71</f>
        <v>0</v>
      </c>
      <c r="M71" s="255">
        <f t="shared" si="3"/>
        <v>1200000</v>
      </c>
      <c r="N71" s="255"/>
      <c r="O71" s="255">
        <f t="shared" si="4"/>
        <v>0</v>
      </c>
      <c r="P71" s="255">
        <f t="shared" si="5"/>
        <v>350000</v>
      </c>
      <c r="Q71" s="255">
        <v>850000</v>
      </c>
      <c r="R71" s="255"/>
      <c r="S71" s="255">
        <f t="shared" si="6"/>
        <v>850000</v>
      </c>
      <c r="T71" s="255">
        <f t="shared" si="7"/>
        <v>0</v>
      </c>
      <c r="U71" s="255">
        <f t="shared" si="8"/>
        <v>0</v>
      </c>
      <c r="V71" s="255">
        <f t="shared" si="9"/>
        <v>0</v>
      </c>
      <c r="W71" s="255"/>
      <c r="X71" s="255"/>
      <c r="Y71" s="255"/>
      <c r="Z71" s="254"/>
      <c r="AA71" s="254" t="s">
        <v>1071</v>
      </c>
      <c r="AB71" s="254">
        <v>742000</v>
      </c>
      <c r="AE71" s="425"/>
      <c r="AF71" s="258"/>
      <c r="AG71" s="266"/>
      <c r="AH71" s="266"/>
      <c r="AI71" s="266"/>
    </row>
    <row r="72" spans="1:43" s="258" customFormat="1" ht="35.15" customHeight="1">
      <c r="A72" s="254">
        <f t="shared" si="10"/>
        <v>66</v>
      </c>
      <c r="B72" s="254">
        <v>2021</v>
      </c>
      <c r="C72" s="254" t="s">
        <v>537</v>
      </c>
      <c r="D72" s="255">
        <v>8200000</v>
      </c>
      <c r="E72" s="255">
        <v>500000</v>
      </c>
      <c r="F72" s="255">
        <f t="shared" si="0"/>
        <v>7700000</v>
      </c>
      <c r="G72" s="255">
        <v>150000</v>
      </c>
      <c r="H72" s="255">
        <v>34106</v>
      </c>
      <c r="I72" s="255"/>
      <c r="J72" s="255">
        <v>115890</v>
      </c>
      <c r="K72" s="255">
        <f t="shared" si="11"/>
        <v>115890</v>
      </c>
      <c r="L72" s="255">
        <f t="shared" si="12"/>
        <v>149996</v>
      </c>
      <c r="M72" s="255">
        <f t="shared" ref="M72:M85" si="13">P72+S72</f>
        <v>350004</v>
      </c>
      <c r="N72" s="255">
        <f>7700000-5200000</f>
        <v>2500000</v>
      </c>
      <c r="O72" s="255">
        <f t="shared" ref="O72:O92" si="14">D72-L72-M72-N72</f>
        <v>5200000</v>
      </c>
      <c r="P72" s="255">
        <f t="shared" ref="P72:P85" si="15">G72-L72</f>
        <v>4</v>
      </c>
      <c r="Q72" s="255">
        <v>350000</v>
      </c>
      <c r="R72" s="255"/>
      <c r="S72" s="255">
        <f t="shared" ref="S72:S85" si="16">SUM(Q72:R72)</f>
        <v>350000</v>
      </c>
      <c r="T72" s="255">
        <f t="shared" ref="T72:T85" si="17">P72-M72+S72</f>
        <v>0</v>
      </c>
      <c r="U72" s="255">
        <f t="shared" ref="U72:U92" si="18">N72-T72</f>
        <v>2500000</v>
      </c>
      <c r="V72" s="255">
        <f t="shared" ref="V72:V91" si="19">U72-Y72-X72-Z72-W72</f>
        <v>2500000</v>
      </c>
      <c r="W72" s="255"/>
      <c r="X72" s="255"/>
      <c r="Y72" s="255"/>
      <c r="Z72" s="254"/>
      <c r="AA72" s="254" t="s">
        <v>1311</v>
      </c>
      <c r="AB72" s="254">
        <v>850000</v>
      </c>
      <c r="AC72" s="420"/>
      <c r="AD72" s="266"/>
      <c r="AE72" s="425"/>
      <c r="AJ72" s="416"/>
      <c r="AK72" s="416"/>
      <c r="AL72" s="416"/>
    </row>
    <row r="73" spans="1:43" s="258" customFormat="1" ht="35.15" customHeight="1">
      <c r="A73" s="254">
        <f t="shared" ref="A73:A92" si="20">A72+1</f>
        <v>67</v>
      </c>
      <c r="B73" s="254">
        <v>2022</v>
      </c>
      <c r="C73" s="254" t="s">
        <v>1323</v>
      </c>
      <c r="D73" s="255">
        <v>20000000</v>
      </c>
      <c r="E73" s="255">
        <v>20000000</v>
      </c>
      <c r="F73" s="255">
        <f t="shared" si="0"/>
        <v>0</v>
      </c>
      <c r="G73" s="255">
        <v>200000</v>
      </c>
      <c r="H73" s="255">
        <v>0</v>
      </c>
      <c r="I73" s="255"/>
      <c r="J73" s="255"/>
      <c r="K73" s="255">
        <f t="shared" si="11"/>
        <v>0</v>
      </c>
      <c r="L73" s="255">
        <f t="shared" si="12"/>
        <v>0</v>
      </c>
      <c r="M73" s="255">
        <f t="shared" si="13"/>
        <v>2000000</v>
      </c>
      <c r="N73" s="255">
        <v>18000000</v>
      </c>
      <c r="O73" s="255">
        <f t="shared" si="14"/>
        <v>0</v>
      </c>
      <c r="P73" s="255">
        <f t="shared" si="15"/>
        <v>200000</v>
      </c>
      <c r="Q73" s="255">
        <f>2000000-200000</f>
        <v>1800000</v>
      </c>
      <c r="R73" s="255"/>
      <c r="S73" s="255">
        <f t="shared" si="16"/>
        <v>1800000</v>
      </c>
      <c r="T73" s="255">
        <f t="shared" si="17"/>
        <v>0</v>
      </c>
      <c r="U73" s="255">
        <f t="shared" si="18"/>
        <v>18000000</v>
      </c>
      <c r="V73" s="255">
        <f t="shared" si="19"/>
        <v>18000000</v>
      </c>
      <c r="W73" s="255"/>
      <c r="X73" s="255"/>
      <c r="Y73" s="255"/>
      <c r="Z73" s="254"/>
      <c r="AA73" s="254" t="s">
        <v>1312</v>
      </c>
      <c r="AB73" s="254">
        <v>829000</v>
      </c>
      <c r="AC73" s="420"/>
      <c r="AD73" s="266"/>
      <c r="AE73" s="425"/>
      <c r="AJ73" s="416"/>
      <c r="AK73" s="416"/>
      <c r="AL73" s="416"/>
    </row>
    <row r="74" spans="1:43" s="258" customFormat="1" ht="35.15" customHeight="1">
      <c r="A74" s="254">
        <f t="shared" si="20"/>
        <v>68</v>
      </c>
      <c r="B74" s="254">
        <v>2023</v>
      </c>
      <c r="C74" s="254" t="s">
        <v>716</v>
      </c>
      <c r="D74" s="255">
        <v>7340000</v>
      </c>
      <c r="E74" s="255">
        <v>7340000</v>
      </c>
      <c r="F74" s="255">
        <f t="shared" si="0"/>
        <v>0</v>
      </c>
      <c r="G74" s="255">
        <v>250000</v>
      </c>
      <c r="H74" s="255">
        <v>4713</v>
      </c>
      <c r="I74" s="255"/>
      <c r="J74" s="255">
        <v>245286.99</v>
      </c>
      <c r="K74" s="255">
        <f t="shared" si="11"/>
        <v>245286.99</v>
      </c>
      <c r="L74" s="255">
        <f t="shared" si="12"/>
        <v>249999.99</v>
      </c>
      <c r="M74" s="255">
        <f t="shared" si="13"/>
        <v>2750000.01</v>
      </c>
      <c r="N74" s="255">
        <v>4340000</v>
      </c>
      <c r="O74" s="255">
        <f t="shared" si="14"/>
        <v>0</v>
      </c>
      <c r="P74" s="255">
        <f t="shared" si="15"/>
        <v>1.0000000009313226E-2</v>
      </c>
      <c r="Q74" s="255">
        <v>2750000</v>
      </c>
      <c r="R74" s="255"/>
      <c r="S74" s="255">
        <f t="shared" si="16"/>
        <v>2750000</v>
      </c>
      <c r="T74" s="255">
        <f t="shared" si="17"/>
        <v>0</v>
      </c>
      <c r="U74" s="255">
        <f t="shared" si="18"/>
        <v>4340000</v>
      </c>
      <c r="V74" s="255">
        <f t="shared" si="19"/>
        <v>4340000</v>
      </c>
      <c r="W74" s="255"/>
      <c r="X74" s="255"/>
      <c r="Y74" s="255"/>
      <c r="Z74" s="254"/>
      <c r="AA74" s="254" t="s">
        <v>1072</v>
      </c>
      <c r="AB74" s="254">
        <v>810000</v>
      </c>
      <c r="AC74" s="420"/>
      <c r="AD74" s="266"/>
      <c r="AE74" s="425"/>
      <c r="AJ74" s="416"/>
      <c r="AK74" s="416"/>
      <c r="AL74" s="416"/>
    </row>
    <row r="75" spans="1:43" s="258" customFormat="1" ht="35.15" customHeight="1">
      <c r="A75" s="254">
        <f t="shared" si="20"/>
        <v>69</v>
      </c>
      <c r="B75" s="254">
        <v>2024</v>
      </c>
      <c r="C75" s="254" t="s">
        <v>717</v>
      </c>
      <c r="D75" s="255">
        <v>7340000</v>
      </c>
      <c r="E75" s="255">
        <v>7340000</v>
      </c>
      <c r="F75" s="255">
        <f t="shared" si="0"/>
        <v>0</v>
      </c>
      <c r="G75" s="255">
        <v>250000</v>
      </c>
      <c r="H75" s="255">
        <v>10393</v>
      </c>
      <c r="I75" s="255"/>
      <c r="J75" s="255">
        <v>239519.55</v>
      </c>
      <c r="K75" s="255">
        <f t="shared" si="11"/>
        <v>239519.55</v>
      </c>
      <c r="L75" s="255">
        <f t="shared" si="12"/>
        <v>249912.55</v>
      </c>
      <c r="M75" s="255">
        <f t="shared" si="13"/>
        <v>450087.45</v>
      </c>
      <c r="N75" s="255">
        <f>6640000-6640000</f>
        <v>0</v>
      </c>
      <c r="O75" s="255">
        <f t="shared" si="14"/>
        <v>6640000</v>
      </c>
      <c r="P75" s="255">
        <f t="shared" si="15"/>
        <v>87.450000000011642</v>
      </c>
      <c r="Q75" s="255">
        <v>450000</v>
      </c>
      <c r="R75" s="255"/>
      <c r="S75" s="255">
        <f t="shared" si="16"/>
        <v>450000</v>
      </c>
      <c r="T75" s="255">
        <f t="shared" si="17"/>
        <v>0</v>
      </c>
      <c r="U75" s="255">
        <f t="shared" si="18"/>
        <v>0</v>
      </c>
      <c r="V75" s="255">
        <f t="shared" si="19"/>
        <v>0</v>
      </c>
      <c r="W75" s="255"/>
      <c r="X75" s="255"/>
      <c r="Y75" s="255"/>
      <c r="Z75" s="254"/>
      <c r="AA75" s="254" t="s">
        <v>1073</v>
      </c>
      <c r="AB75" s="254">
        <v>810000</v>
      </c>
      <c r="AC75" s="420"/>
      <c r="AD75" s="266"/>
      <c r="AE75" s="425"/>
      <c r="AJ75" s="416"/>
      <c r="AK75" s="416"/>
      <c r="AL75" s="416"/>
    </row>
    <row r="76" spans="1:43" s="258" customFormat="1" ht="35.15" customHeight="1">
      <c r="A76" s="254">
        <f t="shared" si="20"/>
        <v>70</v>
      </c>
      <c r="B76" s="254">
        <v>2025</v>
      </c>
      <c r="C76" s="254" t="s">
        <v>718</v>
      </c>
      <c r="D76" s="255">
        <v>2600000</v>
      </c>
      <c r="E76" s="255">
        <v>2600000</v>
      </c>
      <c r="F76" s="255">
        <f t="shared" si="0"/>
        <v>0</v>
      </c>
      <c r="G76" s="255">
        <v>150000</v>
      </c>
      <c r="H76" s="255">
        <v>6201</v>
      </c>
      <c r="I76" s="255"/>
      <c r="J76" s="255">
        <v>143797</v>
      </c>
      <c r="K76" s="255">
        <f t="shared" si="11"/>
        <v>143797</v>
      </c>
      <c r="L76" s="255">
        <f t="shared" si="12"/>
        <v>149998</v>
      </c>
      <c r="M76" s="255">
        <f t="shared" si="13"/>
        <v>1150002</v>
      </c>
      <c r="N76" s="255">
        <v>1300000</v>
      </c>
      <c r="O76" s="255">
        <f t="shared" si="14"/>
        <v>0</v>
      </c>
      <c r="P76" s="255">
        <f t="shared" si="15"/>
        <v>2</v>
      </c>
      <c r="Q76" s="255">
        <v>1150000</v>
      </c>
      <c r="R76" s="255"/>
      <c r="S76" s="255">
        <f t="shared" si="16"/>
        <v>1150000</v>
      </c>
      <c r="T76" s="255">
        <f t="shared" si="17"/>
        <v>0</v>
      </c>
      <c r="U76" s="255">
        <f t="shared" si="18"/>
        <v>1300000</v>
      </c>
      <c r="V76" s="255">
        <f t="shared" si="19"/>
        <v>1300000</v>
      </c>
      <c r="W76" s="255"/>
      <c r="X76" s="255"/>
      <c r="Y76" s="255"/>
      <c r="Z76" s="254"/>
      <c r="AA76" s="254" t="s">
        <v>1074</v>
      </c>
      <c r="AB76" s="254">
        <v>810000</v>
      </c>
      <c r="AC76" s="420"/>
      <c r="AD76" s="266"/>
      <c r="AE76" s="425"/>
      <c r="AJ76" s="416"/>
      <c r="AK76" s="416"/>
      <c r="AL76" s="416"/>
    </row>
    <row r="77" spans="1:43" s="258" customFormat="1" ht="35.15" customHeight="1">
      <c r="A77" s="254">
        <f t="shared" si="20"/>
        <v>71</v>
      </c>
      <c r="B77" s="254">
        <v>2026</v>
      </c>
      <c r="C77" s="254" t="s">
        <v>579</v>
      </c>
      <c r="D77" s="255">
        <v>8200000</v>
      </c>
      <c r="E77" s="255">
        <v>7340000</v>
      </c>
      <c r="F77" s="255">
        <f t="shared" si="0"/>
        <v>860000</v>
      </c>
      <c r="G77" s="255">
        <v>150000</v>
      </c>
      <c r="H77" s="255">
        <v>0</v>
      </c>
      <c r="I77" s="255"/>
      <c r="J77" s="255">
        <v>147883.44</v>
      </c>
      <c r="K77" s="255">
        <f t="shared" si="11"/>
        <v>147883.44</v>
      </c>
      <c r="L77" s="255">
        <f t="shared" si="12"/>
        <v>147883.44</v>
      </c>
      <c r="M77" s="255">
        <f t="shared" si="13"/>
        <v>2116.5599999999977</v>
      </c>
      <c r="N77" s="255">
        <v>8050000</v>
      </c>
      <c r="O77" s="255">
        <f t="shared" si="14"/>
        <v>0</v>
      </c>
      <c r="P77" s="255">
        <f t="shared" si="15"/>
        <v>2116.5599999999977</v>
      </c>
      <c r="Q77" s="255"/>
      <c r="R77" s="255"/>
      <c r="S77" s="255">
        <f t="shared" si="16"/>
        <v>0</v>
      </c>
      <c r="T77" s="255">
        <f t="shared" si="17"/>
        <v>0</v>
      </c>
      <c r="U77" s="255">
        <f t="shared" si="18"/>
        <v>8050000</v>
      </c>
      <c r="V77" s="255">
        <f t="shared" si="19"/>
        <v>8050000</v>
      </c>
      <c r="W77" s="255"/>
      <c r="X77" s="255"/>
      <c r="Y77" s="255"/>
      <c r="Z77" s="254"/>
      <c r="AA77" s="254" t="s">
        <v>1075</v>
      </c>
      <c r="AB77" s="254">
        <v>810000</v>
      </c>
      <c r="AC77" s="420"/>
      <c r="AD77" s="266"/>
      <c r="AE77" s="425"/>
      <c r="AJ77" s="416"/>
      <c r="AK77" s="416"/>
      <c r="AL77" s="416"/>
    </row>
    <row r="78" spans="1:43" ht="35.15" customHeight="1">
      <c r="A78" s="254">
        <f t="shared" si="20"/>
        <v>72</v>
      </c>
      <c r="B78" s="427">
        <v>2058</v>
      </c>
      <c r="C78" s="254" t="s">
        <v>719</v>
      </c>
      <c r="D78" s="255">
        <v>2330000</v>
      </c>
      <c r="E78" s="255">
        <v>2330000</v>
      </c>
      <c r="F78" s="255">
        <f t="shared" si="0"/>
        <v>0</v>
      </c>
      <c r="G78" s="255">
        <v>630000</v>
      </c>
      <c r="H78" s="255">
        <v>0</v>
      </c>
      <c r="I78" s="255"/>
      <c r="J78" s="255"/>
      <c r="K78" s="255">
        <f t="shared" si="11"/>
        <v>0</v>
      </c>
      <c r="L78" s="255">
        <f t="shared" si="12"/>
        <v>0</v>
      </c>
      <c r="M78" s="255">
        <f>P78+S78-500000</f>
        <v>130000</v>
      </c>
      <c r="N78" s="255"/>
      <c r="O78" s="255">
        <f t="shared" si="14"/>
        <v>2200000</v>
      </c>
      <c r="P78" s="255">
        <f t="shared" si="15"/>
        <v>630000</v>
      </c>
      <c r="Q78" s="255"/>
      <c r="R78" s="255"/>
      <c r="S78" s="255">
        <f t="shared" si="16"/>
        <v>0</v>
      </c>
      <c r="T78" s="255">
        <f t="shared" si="17"/>
        <v>500000</v>
      </c>
      <c r="U78" s="255">
        <f t="shared" si="18"/>
        <v>-500000</v>
      </c>
      <c r="V78" s="255">
        <f t="shared" si="19"/>
        <v>-500000</v>
      </c>
      <c r="W78" s="255"/>
      <c r="X78" s="255"/>
      <c r="Y78" s="255"/>
      <c r="Z78" s="254"/>
      <c r="AA78" s="254"/>
      <c r="AB78" s="254">
        <v>826000</v>
      </c>
      <c r="AE78" s="425"/>
      <c r="AF78" s="258"/>
      <c r="AG78" s="266"/>
      <c r="AH78" s="266"/>
      <c r="AI78" s="266"/>
    </row>
    <row r="79" spans="1:43" ht="35.15" customHeight="1">
      <c r="A79" s="254">
        <f t="shared" si="20"/>
        <v>73</v>
      </c>
      <c r="B79" s="427">
        <v>2059</v>
      </c>
      <c r="C79" s="254" t="s">
        <v>678</v>
      </c>
      <c r="D79" s="255">
        <v>2610000</v>
      </c>
      <c r="E79" s="255">
        <v>2610000</v>
      </c>
      <c r="F79" s="255">
        <f t="shared" si="0"/>
        <v>0</v>
      </c>
      <c r="G79" s="255">
        <v>350000</v>
      </c>
      <c r="H79" s="255">
        <v>0</v>
      </c>
      <c r="I79" s="255"/>
      <c r="J79" s="255">
        <v>24570</v>
      </c>
      <c r="K79" s="255">
        <f>SUM(I79:J79)</f>
        <v>24570</v>
      </c>
      <c r="L79" s="255">
        <f>H79+K79</f>
        <v>24570</v>
      </c>
      <c r="M79" s="255">
        <f>P79+S79</f>
        <v>325430</v>
      </c>
      <c r="N79" s="255">
        <f>2260000-1760000</f>
        <v>500000</v>
      </c>
      <c r="O79" s="255">
        <f t="shared" si="14"/>
        <v>1760000</v>
      </c>
      <c r="P79" s="255">
        <f t="shared" si="15"/>
        <v>325430</v>
      </c>
      <c r="Q79" s="255"/>
      <c r="R79" s="255"/>
      <c r="S79" s="255">
        <f t="shared" si="16"/>
        <v>0</v>
      </c>
      <c r="T79" s="255">
        <f t="shared" si="17"/>
        <v>0</v>
      </c>
      <c r="U79" s="255">
        <f t="shared" si="18"/>
        <v>500000</v>
      </c>
      <c r="V79" s="255">
        <f t="shared" si="19"/>
        <v>500000</v>
      </c>
      <c r="W79" s="255"/>
      <c r="X79" s="255"/>
      <c r="Y79" s="255"/>
      <c r="Z79" s="254"/>
      <c r="AA79" s="254" t="s">
        <v>1076</v>
      </c>
      <c r="AB79" s="254">
        <v>826000</v>
      </c>
      <c r="AE79" s="425"/>
      <c r="AF79" s="258"/>
      <c r="AG79" s="266"/>
      <c r="AH79" s="266"/>
      <c r="AI79" s="266"/>
    </row>
    <row r="80" spans="1:43" ht="35.15" customHeight="1">
      <c r="A80" s="254">
        <f t="shared" si="20"/>
        <v>74</v>
      </c>
      <c r="B80" s="427">
        <v>2062</v>
      </c>
      <c r="C80" s="254" t="s">
        <v>720</v>
      </c>
      <c r="D80" s="255">
        <v>1200000</v>
      </c>
      <c r="E80" s="255">
        <v>1200000</v>
      </c>
      <c r="F80" s="255">
        <f t="shared" si="0"/>
        <v>0</v>
      </c>
      <c r="G80" s="255">
        <v>1200000</v>
      </c>
      <c r="H80" s="255">
        <v>698660</v>
      </c>
      <c r="I80" s="255"/>
      <c r="J80" s="255">
        <v>36525</v>
      </c>
      <c r="K80" s="255">
        <f t="shared" si="11"/>
        <v>36525</v>
      </c>
      <c r="L80" s="255">
        <f t="shared" si="12"/>
        <v>735185</v>
      </c>
      <c r="M80" s="255">
        <f t="shared" si="13"/>
        <v>464815</v>
      </c>
      <c r="N80" s="255"/>
      <c r="O80" s="255">
        <f t="shared" si="14"/>
        <v>0</v>
      </c>
      <c r="P80" s="255">
        <f t="shared" si="15"/>
        <v>464815</v>
      </c>
      <c r="Q80" s="255"/>
      <c r="R80" s="255"/>
      <c r="S80" s="255">
        <f t="shared" si="16"/>
        <v>0</v>
      </c>
      <c r="T80" s="255">
        <f t="shared" si="17"/>
        <v>0</v>
      </c>
      <c r="U80" s="255">
        <f t="shared" si="18"/>
        <v>0</v>
      </c>
      <c r="V80" s="255">
        <f t="shared" si="19"/>
        <v>0</v>
      </c>
      <c r="W80" s="255"/>
      <c r="X80" s="255"/>
      <c r="Y80" s="255"/>
      <c r="Z80" s="254"/>
      <c r="AA80" s="254"/>
      <c r="AB80" s="254">
        <v>930000</v>
      </c>
      <c r="AE80" s="425"/>
      <c r="AF80" s="258"/>
      <c r="AG80" s="266"/>
      <c r="AH80" s="266"/>
      <c r="AI80" s="266"/>
    </row>
    <row r="81" spans="1:41" ht="35.15" customHeight="1">
      <c r="A81" s="254">
        <f t="shared" si="20"/>
        <v>75</v>
      </c>
      <c r="B81" s="427">
        <v>2064</v>
      </c>
      <c r="C81" s="254" t="s">
        <v>522</v>
      </c>
      <c r="D81" s="255">
        <v>6417000</v>
      </c>
      <c r="E81" s="255">
        <v>6417000</v>
      </c>
      <c r="F81" s="255">
        <f t="shared" si="0"/>
        <v>0</v>
      </c>
      <c r="G81" s="255">
        <v>200000</v>
      </c>
      <c r="H81" s="255">
        <v>7441</v>
      </c>
      <c r="I81" s="255"/>
      <c r="J81" s="255">
        <v>92556.36</v>
      </c>
      <c r="K81" s="255">
        <f t="shared" si="11"/>
        <v>92556.36</v>
      </c>
      <c r="L81" s="255">
        <f t="shared" si="12"/>
        <v>99997.36</v>
      </c>
      <c r="M81" s="255">
        <f t="shared" si="13"/>
        <v>900002.64</v>
      </c>
      <c r="N81" s="255">
        <f>5417000-5417000</f>
        <v>0</v>
      </c>
      <c r="O81" s="255">
        <f t="shared" si="14"/>
        <v>5417000</v>
      </c>
      <c r="P81" s="255">
        <f t="shared" si="15"/>
        <v>100002.64</v>
      </c>
      <c r="Q81" s="255"/>
      <c r="R81" s="255">
        <v>800000</v>
      </c>
      <c r="S81" s="255">
        <f t="shared" si="16"/>
        <v>800000</v>
      </c>
      <c r="T81" s="255">
        <f t="shared" si="17"/>
        <v>0</v>
      </c>
      <c r="U81" s="255">
        <f t="shared" si="18"/>
        <v>0</v>
      </c>
      <c r="V81" s="255">
        <f t="shared" si="19"/>
        <v>0</v>
      </c>
      <c r="W81" s="255"/>
      <c r="X81" s="255"/>
      <c r="Y81" s="255"/>
      <c r="Z81" s="254"/>
      <c r="AA81" s="254" t="s">
        <v>1313</v>
      </c>
      <c r="AB81" s="254">
        <v>829000</v>
      </c>
      <c r="AE81" s="425"/>
      <c r="AF81" s="258"/>
      <c r="AG81" s="266"/>
      <c r="AH81" s="266"/>
      <c r="AI81" s="266"/>
    </row>
    <row r="82" spans="1:41" s="258" customFormat="1" ht="35.15" customHeight="1">
      <c r="A82" s="254">
        <f t="shared" si="20"/>
        <v>76</v>
      </c>
      <c r="B82" s="254">
        <v>2067</v>
      </c>
      <c r="C82" s="254" t="s">
        <v>1324</v>
      </c>
      <c r="D82" s="255">
        <v>800000</v>
      </c>
      <c r="E82" s="255">
        <v>800000</v>
      </c>
      <c r="F82" s="255">
        <f t="shared" si="0"/>
        <v>0</v>
      </c>
      <c r="G82" s="255">
        <v>800000</v>
      </c>
      <c r="H82" s="255">
        <v>0</v>
      </c>
      <c r="I82" s="255"/>
      <c r="J82" s="255">
        <v>180876</v>
      </c>
      <c r="K82" s="255">
        <f t="shared" si="11"/>
        <v>180876</v>
      </c>
      <c r="L82" s="255">
        <f t="shared" si="12"/>
        <v>180876</v>
      </c>
      <c r="M82" s="255">
        <f t="shared" si="13"/>
        <v>619124</v>
      </c>
      <c r="N82" s="255"/>
      <c r="O82" s="255">
        <f t="shared" si="14"/>
        <v>0</v>
      </c>
      <c r="P82" s="255">
        <f t="shared" si="15"/>
        <v>619124</v>
      </c>
      <c r="Q82" s="255"/>
      <c r="R82" s="255"/>
      <c r="S82" s="255">
        <f t="shared" si="16"/>
        <v>0</v>
      </c>
      <c r="T82" s="255">
        <f t="shared" si="17"/>
        <v>0</v>
      </c>
      <c r="U82" s="255">
        <f t="shared" si="18"/>
        <v>0</v>
      </c>
      <c r="V82" s="255">
        <f t="shared" si="19"/>
        <v>0</v>
      </c>
      <c r="W82" s="255"/>
      <c r="X82" s="255"/>
      <c r="Y82" s="255"/>
      <c r="Z82" s="254"/>
      <c r="AA82" s="254"/>
      <c r="AB82" s="254">
        <v>829000</v>
      </c>
      <c r="AC82" s="420"/>
      <c r="AD82" s="266"/>
      <c r="AE82" s="425"/>
      <c r="AJ82" s="416"/>
      <c r="AK82" s="416"/>
      <c r="AL82" s="416"/>
    </row>
    <row r="83" spans="1:41" ht="28">
      <c r="A83" s="254">
        <f t="shared" si="20"/>
        <v>77</v>
      </c>
      <c r="B83" s="427">
        <v>2073</v>
      </c>
      <c r="C83" s="254" t="s">
        <v>721</v>
      </c>
      <c r="D83" s="255">
        <f>350000+11000000</f>
        <v>11350000</v>
      </c>
      <c r="E83" s="255">
        <v>350000</v>
      </c>
      <c r="F83" s="255">
        <f t="shared" si="0"/>
        <v>11000000</v>
      </c>
      <c r="G83" s="255">
        <v>350000</v>
      </c>
      <c r="H83" s="255">
        <v>0</v>
      </c>
      <c r="I83" s="255"/>
      <c r="J83" s="255"/>
      <c r="K83" s="255">
        <f t="shared" si="11"/>
        <v>0</v>
      </c>
      <c r="L83" s="255">
        <f t="shared" si="12"/>
        <v>0</v>
      </c>
      <c r="M83" s="255">
        <f t="shared" si="13"/>
        <v>350000</v>
      </c>
      <c r="N83" s="255">
        <f>11000000-10500000</f>
        <v>500000</v>
      </c>
      <c r="O83" s="255">
        <f t="shared" si="14"/>
        <v>10500000</v>
      </c>
      <c r="P83" s="255">
        <f t="shared" si="15"/>
        <v>350000</v>
      </c>
      <c r="Q83" s="255"/>
      <c r="R83" s="255"/>
      <c r="S83" s="255">
        <f t="shared" si="16"/>
        <v>0</v>
      </c>
      <c r="T83" s="255">
        <f t="shared" si="17"/>
        <v>0</v>
      </c>
      <c r="U83" s="255">
        <f t="shared" si="18"/>
        <v>500000</v>
      </c>
      <c r="V83" s="255">
        <f t="shared" si="19"/>
        <v>500000</v>
      </c>
      <c r="W83" s="255"/>
      <c r="X83" s="255"/>
      <c r="Y83" s="255"/>
      <c r="Z83" s="254"/>
      <c r="AA83" s="254" t="s">
        <v>1128</v>
      </c>
      <c r="AB83" s="254">
        <v>829000</v>
      </c>
      <c r="AE83" s="425"/>
      <c r="AF83" s="258"/>
      <c r="AG83" s="266"/>
      <c r="AH83" s="266"/>
      <c r="AI83" s="266"/>
    </row>
    <row r="84" spans="1:41" ht="35.15" customHeight="1">
      <c r="A84" s="254">
        <f t="shared" si="20"/>
        <v>78</v>
      </c>
      <c r="B84" s="427">
        <v>2076</v>
      </c>
      <c r="C84" s="254" t="s">
        <v>722</v>
      </c>
      <c r="D84" s="255">
        <v>1450000</v>
      </c>
      <c r="E84" s="255">
        <v>1450000</v>
      </c>
      <c r="F84" s="255">
        <f t="shared" si="0"/>
        <v>0</v>
      </c>
      <c r="G84" s="255">
        <v>250000</v>
      </c>
      <c r="H84" s="255">
        <v>0</v>
      </c>
      <c r="I84" s="255"/>
      <c r="J84" s="255"/>
      <c r="K84" s="255">
        <f t="shared" si="11"/>
        <v>0</v>
      </c>
      <c r="L84" s="255">
        <f t="shared" si="12"/>
        <v>0</v>
      </c>
      <c r="M84" s="255">
        <f t="shared" si="13"/>
        <v>250000</v>
      </c>
      <c r="N84" s="255">
        <v>1200000</v>
      </c>
      <c r="O84" s="255">
        <f t="shared" si="14"/>
        <v>0</v>
      </c>
      <c r="P84" s="255">
        <f t="shared" si="15"/>
        <v>250000</v>
      </c>
      <c r="Q84" s="255"/>
      <c r="R84" s="255"/>
      <c r="S84" s="255">
        <f t="shared" si="16"/>
        <v>0</v>
      </c>
      <c r="T84" s="255">
        <f t="shared" si="17"/>
        <v>0</v>
      </c>
      <c r="U84" s="255">
        <f t="shared" si="18"/>
        <v>1200000</v>
      </c>
      <c r="V84" s="255">
        <f t="shared" si="19"/>
        <v>1200000</v>
      </c>
      <c r="W84" s="255"/>
      <c r="X84" s="255"/>
      <c r="Y84" s="255"/>
      <c r="Z84" s="254"/>
      <c r="AA84" s="254" t="s">
        <v>1077</v>
      </c>
      <c r="AB84" s="254">
        <v>850000</v>
      </c>
      <c r="AE84" s="425"/>
      <c r="AF84" s="258"/>
      <c r="AG84" s="266"/>
      <c r="AH84" s="266"/>
      <c r="AI84" s="266"/>
    </row>
    <row r="85" spans="1:41" ht="35.15" customHeight="1">
      <c r="A85" s="254">
        <f t="shared" si="20"/>
        <v>79</v>
      </c>
      <c r="B85" s="42">
        <v>2079</v>
      </c>
      <c r="C85" s="254" t="s">
        <v>723</v>
      </c>
      <c r="D85" s="255">
        <v>500000</v>
      </c>
      <c r="E85" s="255">
        <v>500000</v>
      </c>
      <c r="F85" s="255">
        <f t="shared" ref="F85:F92" si="21">D85-E85</f>
        <v>0</v>
      </c>
      <c r="G85" s="255">
        <v>500000</v>
      </c>
      <c r="H85" s="255"/>
      <c r="I85" s="255"/>
      <c r="J85" s="255"/>
      <c r="K85" s="255">
        <f>SUM(I85:J85)</f>
        <v>0</v>
      </c>
      <c r="L85" s="255">
        <f t="shared" si="12"/>
        <v>0</v>
      </c>
      <c r="M85" s="255">
        <f t="shared" si="13"/>
        <v>500000</v>
      </c>
      <c r="N85" s="255"/>
      <c r="O85" s="255">
        <f t="shared" si="14"/>
        <v>0</v>
      </c>
      <c r="P85" s="255">
        <f t="shared" si="15"/>
        <v>500000</v>
      </c>
      <c r="Q85" s="255"/>
      <c r="R85" s="255"/>
      <c r="S85" s="255">
        <f t="shared" si="16"/>
        <v>0</v>
      </c>
      <c r="T85" s="255">
        <f t="shared" si="17"/>
        <v>0</v>
      </c>
      <c r="U85" s="255">
        <f t="shared" si="18"/>
        <v>0</v>
      </c>
      <c r="V85" s="255">
        <f t="shared" si="19"/>
        <v>0</v>
      </c>
      <c r="W85" s="255"/>
      <c r="X85" s="255"/>
      <c r="Y85" s="255"/>
      <c r="Z85" s="254"/>
      <c r="AA85" s="428" t="s">
        <v>1078</v>
      </c>
      <c r="AB85" s="254">
        <v>840000</v>
      </c>
      <c r="AE85" s="425"/>
      <c r="AF85" s="258"/>
      <c r="AG85" s="266"/>
      <c r="AH85" s="266"/>
      <c r="AI85" s="266"/>
      <c r="AO85" s="261"/>
    </row>
    <row r="86" spans="1:41" ht="35.15" customHeight="1">
      <c r="A86" s="254">
        <f t="shared" si="20"/>
        <v>80</v>
      </c>
      <c r="B86" s="42">
        <v>2080</v>
      </c>
      <c r="C86" s="254" t="s">
        <v>724</v>
      </c>
      <c r="D86" s="255">
        <v>2050000</v>
      </c>
      <c r="E86" s="255">
        <v>2050000</v>
      </c>
      <c r="F86" s="255">
        <f t="shared" si="21"/>
        <v>0</v>
      </c>
      <c r="G86" s="255">
        <v>500000</v>
      </c>
      <c r="H86" s="255"/>
      <c r="I86" s="255"/>
      <c r="J86" s="255"/>
      <c r="K86" s="255">
        <f>SUM(I86:J86)</f>
        <v>0</v>
      </c>
      <c r="L86" s="255">
        <f>K86+H86</f>
        <v>0</v>
      </c>
      <c r="M86" s="255">
        <f>P86+S86</f>
        <v>500000</v>
      </c>
      <c r="N86" s="255">
        <v>1550000</v>
      </c>
      <c r="O86" s="255">
        <f t="shared" si="14"/>
        <v>0</v>
      </c>
      <c r="P86" s="255">
        <f>G86-L86</f>
        <v>500000</v>
      </c>
      <c r="Q86" s="255"/>
      <c r="R86" s="255"/>
      <c r="S86" s="255">
        <f>SUM(Q86:R86)</f>
        <v>0</v>
      </c>
      <c r="T86" s="255">
        <f>P86-M86+S86</f>
        <v>0</v>
      </c>
      <c r="U86" s="255">
        <f t="shared" si="18"/>
        <v>1550000</v>
      </c>
      <c r="V86" s="255">
        <f t="shared" si="19"/>
        <v>1550000</v>
      </c>
      <c r="W86" s="255"/>
      <c r="X86" s="255"/>
      <c r="Y86" s="255"/>
      <c r="Z86" s="254"/>
      <c r="AA86" s="254" t="s">
        <v>1516</v>
      </c>
      <c r="AB86" s="254">
        <v>747000</v>
      </c>
      <c r="AE86" s="425"/>
      <c r="AF86" s="258"/>
      <c r="AG86" s="266"/>
      <c r="AH86" s="266"/>
      <c r="AI86" s="266"/>
      <c r="AO86" s="261"/>
    </row>
    <row r="87" spans="1:41" ht="35.15" customHeight="1">
      <c r="A87" s="254">
        <f t="shared" si="20"/>
        <v>81</v>
      </c>
      <c r="B87" s="42">
        <v>2097</v>
      </c>
      <c r="C87" s="254" t="s">
        <v>725</v>
      </c>
      <c r="D87" s="255">
        <v>41000000</v>
      </c>
      <c r="E87" s="255"/>
      <c r="F87" s="255">
        <f t="shared" si="21"/>
        <v>41000000</v>
      </c>
      <c r="G87" s="255"/>
      <c r="H87" s="255"/>
      <c r="I87" s="255"/>
      <c r="J87" s="255"/>
      <c r="K87" s="255">
        <f>SUM(I87:J87)</f>
        <v>0</v>
      </c>
      <c r="L87" s="255">
        <f>K87+H87</f>
        <v>0</v>
      </c>
      <c r="M87" s="255">
        <f>P87+S87</f>
        <v>0</v>
      </c>
      <c r="N87" s="255">
        <v>1000000</v>
      </c>
      <c r="O87" s="255">
        <f t="shared" si="14"/>
        <v>40000000</v>
      </c>
      <c r="P87" s="255">
        <f>G87-L87</f>
        <v>0</v>
      </c>
      <c r="Q87" s="255"/>
      <c r="R87" s="255"/>
      <c r="S87" s="255">
        <f>SUM(Q87:R87)</f>
        <v>0</v>
      </c>
      <c r="T87" s="255">
        <f>P87-M87+S87</f>
        <v>0</v>
      </c>
      <c r="U87" s="255">
        <f t="shared" si="18"/>
        <v>1000000</v>
      </c>
      <c r="V87" s="255">
        <f t="shared" si="19"/>
        <v>1000000</v>
      </c>
      <c r="W87" s="255"/>
      <c r="X87" s="255"/>
      <c r="Y87" s="255"/>
      <c r="Z87" s="254"/>
      <c r="AA87" s="434" t="s">
        <v>1442</v>
      </c>
      <c r="AB87" s="254">
        <v>810000</v>
      </c>
      <c r="AF87" s="258"/>
      <c r="AG87" s="266"/>
      <c r="AH87" s="266"/>
      <c r="AI87" s="266"/>
      <c r="AO87" s="261"/>
    </row>
    <row r="88" spans="1:41" ht="35.15" customHeight="1">
      <c r="A88" s="254">
        <f t="shared" si="20"/>
        <v>82</v>
      </c>
      <c r="B88" s="42">
        <v>2098</v>
      </c>
      <c r="C88" s="254" t="s">
        <v>726</v>
      </c>
      <c r="D88" s="255">
        <v>760000</v>
      </c>
      <c r="E88" s="255"/>
      <c r="F88" s="255">
        <f t="shared" si="21"/>
        <v>760000</v>
      </c>
      <c r="G88" s="255"/>
      <c r="H88" s="255"/>
      <c r="I88" s="255"/>
      <c r="J88" s="255"/>
      <c r="K88" s="255">
        <f>SUM(I88:J88)</f>
        <v>0</v>
      </c>
      <c r="L88" s="255">
        <f>K88+H88</f>
        <v>0</v>
      </c>
      <c r="M88" s="255">
        <f>P88+S88</f>
        <v>0</v>
      </c>
      <c r="N88" s="255">
        <v>760000</v>
      </c>
      <c r="O88" s="255">
        <f t="shared" si="14"/>
        <v>0</v>
      </c>
      <c r="P88" s="255">
        <f>G88-L88</f>
        <v>0</v>
      </c>
      <c r="Q88" s="255"/>
      <c r="R88" s="255"/>
      <c r="S88" s="255">
        <f>SUM(Q88:R88)</f>
        <v>0</v>
      </c>
      <c r="T88" s="255">
        <f>P88-M88+S88</f>
        <v>0</v>
      </c>
      <c r="U88" s="255">
        <f t="shared" si="18"/>
        <v>760000</v>
      </c>
      <c r="V88" s="255">
        <f t="shared" si="19"/>
        <v>410000</v>
      </c>
      <c r="W88" s="255"/>
      <c r="X88" s="255"/>
      <c r="Y88" s="255"/>
      <c r="Z88" s="255">
        <v>350000</v>
      </c>
      <c r="AA88" s="689" t="s">
        <v>1437</v>
      </c>
      <c r="AB88" s="254">
        <v>810000</v>
      </c>
      <c r="AF88" s="258"/>
      <c r="AG88" s="266"/>
      <c r="AH88" s="266"/>
      <c r="AI88" s="266"/>
      <c r="AO88" s="261"/>
    </row>
    <row r="89" spans="1:41" ht="35.15" customHeight="1">
      <c r="A89" s="254">
        <f t="shared" si="20"/>
        <v>83</v>
      </c>
      <c r="B89" s="42">
        <v>2099</v>
      </c>
      <c r="C89" s="254" t="s">
        <v>727</v>
      </c>
      <c r="D89" s="255">
        <v>12000000</v>
      </c>
      <c r="E89" s="255"/>
      <c r="F89" s="255">
        <f t="shared" si="21"/>
        <v>12000000</v>
      </c>
      <c r="G89" s="255"/>
      <c r="H89" s="255"/>
      <c r="I89" s="255"/>
      <c r="J89" s="255"/>
      <c r="K89" s="255">
        <f>SUM(I89:J89)</f>
        <v>0</v>
      </c>
      <c r="L89" s="255">
        <f>K89+H89</f>
        <v>0</v>
      </c>
      <c r="M89" s="255">
        <f>P89+S89</f>
        <v>0</v>
      </c>
      <c r="N89" s="255">
        <f>12000000-6000000</f>
        <v>6000000</v>
      </c>
      <c r="O89" s="255">
        <f t="shared" si="14"/>
        <v>6000000</v>
      </c>
      <c r="P89" s="255">
        <f>G89-L89</f>
        <v>0</v>
      </c>
      <c r="Q89" s="255"/>
      <c r="R89" s="255"/>
      <c r="S89" s="255">
        <f>SUM(Q89:R89)</f>
        <v>0</v>
      </c>
      <c r="T89" s="255">
        <f>P89-M89+S89</f>
        <v>0</v>
      </c>
      <c r="U89" s="255">
        <f t="shared" si="18"/>
        <v>6000000</v>
      </c>
      <c r="V89" s="255">
        <f t="shared" si="19"/>
        <v>6000000</v>
      </c>
      <c r="W89" s="255"/>
      <c r="X89" s="255"/>
      <c r="Y89" s="255"/>
      <c r="Z89" s="254"/>
      <c r="AA89" s="689" t="s">
        <v>1438</v>
      </c>
      <c r="AB89" s="254">
        <v>822000</v>
      </c>
      <c r="AF89" s="258"/>
      <c r="AG89" s="266"/>
      <c r="AH89" s="266"/>
      <c r="AI89" s="266"/>
      <c r="AO89" s="261"/>
    </row>
    <row r="90" spans="1:41" ht="35.15" customHeight="1">
      <c r="A90" s="254">
        <f t="shared" si="20"/>
        <v>84</v>
      </c>
      <c r="B90" s="42">
        <v>2101</v>
      </c>
      <c r="C90" s="254" t="s">
        <v>696</v>
      </c>
      <c r="D90" s="255">
        <v>9850000</v>
      </c>
      <c r="E90" s="255"/>
      <c r="F90" s="255">
        <f t="shared" si="21"/>
        <v>9850000</v>
      </c>
      <c r="G90" s="255"/>
      <c r="H90" s="255"/>
      <c r="I90" s="255"/>
      <c r="J90" s="255"/>
      <c r="K90" s="255"/>
      <c r="L90" s="255"/>
      <c r="M90" s="255"/>
      <c r="N90" s="255"/>
      <c r="O90" s="255">
        <f t="shared" si="14"/>
        <v>9850000</v>
      </c>
      <c r="P90" s="255"/>
      <c r="Q90" s="255"/>
      <c r="R90" s="255"/>
      <c r="S90" s="255"/>
      <c r="T90" s="255"/>
      <c r="U90" s="255">
        <f t="shared" si="18"/>
        <v>0</v>
      </c>
      <c r="V90" s="255">
        <f t="shared" si="19"/>
        <v>0</v>
      </c>
      <c r="W90" s="255"/>
      <c r="X90" s="255"/>
      <c r="Y90" s="255"/>
      <c r="Z90" s="254"/>
      <c r="AA90" s="428"/>
      <c r="AB90" s="254">
        <v>840000</v>
      </c>
      <c r="AF90" s="258"/>
      <c r="AG90" s="266"/>
      <c r="AH90" s="266"/>
      <c r="AI90" s="266"/>
      <c r="AO90" s="261"/>
    </row>
    <row r="91" spans="1:41" ht="35.15" customHeight="1">
      <c r="A91" s="254">
        <f t="shared" si="20"/>
        <v>85</v>
      </c>
      <c r="B91" s="42">
        <v>2102</v>
      </c>
      <c r="C91" s="254" t="s">
        <v>728</v>
      </c>
      <c r="D91" s="255">
        <v>1750000</v>
      </c>
      <c r="E91" s="255"/>
      <c r="F91" s="255">
        <f t="shared" si="21"/>
        <v>1750000</v>
      </c>
      <c r="G91" s="255"/>
      <c r="H91" s="255"/>
      <c r="I91" s="255"/>
      <c r="J91" s="255"/>
      <c r="K91" s="255"/>
      <c r="L91" s="255"/>
      <c r="M91" s="255"/>
      <c r="N91" s="255">
        <v>1750000</v>
      </c>
      <c r="O91" s="255">
        <f t="shared" si="14"/>
        <v>0</v>
      </c>
      <c r="P91" s="255"/>
      <c r="Q91" s="255"/>
      <c r="R91" s="255"/>
      <c r="S91" s="255"/>
      <c r="T91" s="255"/>
      <c r="U91" s="255">
        <f t="shared" si="18"/>
        <v>1750000</v>
      </c>
      <c r="V91" s="255">
        <f t="shared" si="19"/>
        <v>1750000</v>
      </c>
      <c r="W91" s="255"/>
      <c r="X91" s="255"/>
      <c r="Y91" s="255"/>
      <c r="Z91" s="254"/>
      <c r="AA91" s="434" t="s">
        <v>1441</v>
      </c>
      <c r="AB91" s="254">
        <v>822000</v>
      </c>
      <c r="AF91" s="258"/>
      <c r="AG91" s="266"/>
      <c r="AH91" s="266"/>
      <c r="AI91" s="266"/>
      <c r="AO91" s="261"/>
    </row>
    <row r="92" spans="1:41" ht="35.15" customHeight="1">
      <c r="A92" s="254">
        <f t="shared" si="20"/>
        <v>86</v>
      </c>
      <c r="B92" s="42">
        <v>2103</v>
      </c>
      <c r="C92" s="254" t="s">
        <v>1053</v>
      </c>
      <c r="D92" s="255">
        <f>5000000-2500000</f>
        <v>2500000</v>
      </c>
      <c r="E92" s="255"/>
      <c r="F92" s="255">
        <f t="shared" si="21"/>
        <v>2500000</v>
      </c>
      <c r="G92" s="255"/>
      <c r="H92" s="255"/>
      <c r="I92" s="255"/>
      <c r="J92" s="255"/>
      <c r="K92" s="255"/>
      <c r="L92" s="255"/>
      <c r="M92" s="255"/>
      <c r="N92" s="255">
        <f>5000000-2500000</f>
        <v>2500000</v>
      </c>
      <c r="O92" s="255">
        <f t="shared" si="14"/>
        <v>0</v>
      </c>
      <c r="P92" s="255"/>
      <c r="Q92" s="255"/>
      <c r="R92" s="255"/>
      <c r="S92" s="255"/>
      <c r="T92" s="255"/>
      <c r="U92" s="255">
        <f t="shared" si="18"/>
        <v>2500000</v>
      </c>
      <c r="V92" s="255"/>
      <c r="W92" s="255">
        <f>U92-V92</f>
        <v>2500000</v>
      </c>
      <c r="X92" s="255"/>
      <c r="Y92" s="255"/>
      <c r="Z92" s="254"/>
      <c r="AA92" s="434" t="s">
        <v>1547</v>
      </c>
      <c r="AB92" s="254">
        <v>848000</v>
      </c>
      <c r="AF92" s="258"/>
      <c r="AG92" s="266"/>
      <c r="AH92" s="266"/>
      <c r="AI92" s="266"/>
      <c r="AO92" s="261"/>
    </row>
    <row r="93" spans="1:41" s="433" customFormat="1" ht="35.15" customHeight="1">
      <c r="A93" s="260"/>
      <c r="B93" s="431"/>
      <c r="C93" s="260" t="s">
        <v>433</v>
      </c>
      <c r="D93" s="262">
        <f t="shared" ref="D93:Z93" si="22">SUM(D7:D92)</f>
        <v>1505306125</v>
      </c>
      <c r="E93" s="262">
        <f t="shared" si="22"/>
        <v>1403415725</v>
      </c>
      <c r="F93" s="262">
        <f t="shared" si="22"/>
        <v>101890400</v>
      </c>
      <c r="G93" s="262">
        <f t="shared" si="22"/>
        <v>741398988</v>
      </c>
      <c r="H93" s="262">
        <f t="shared" si="22"/>
        <v>601815576.36000013</v>
      </c>
      <c r="I93" s="262">
        <f t="shared" si="22"/>
        <v>970915.6100000001</v>
      </c>
      <c r="J93" s="262">
        <f t="shared" si="22"/>
        <v>80845169.61999999</v>
      </c>
      <c r="K93" s="262">
        <f t="shared" si="22"/>
        <v>81816085.229999989</v>
      </c>
      <c r="L93" s="262">
        <f t="shared" si="22"/>
        <v>683631661.59000015</v>
      </c>
      <c r="M93" s="262">
        <f t="shared" si="22"/>
        <v>174112258.40999994</v>
      </c>
      <c r="N93" s="262">
        <f t="shared" si="22"/>
        <v>212827410</v>
      </c>
      <c r="O93" s="262">
        <f t="shared" si="22"/>
        <v>434734795</v>
      </c>
      <c r="P93" s="262">
        <f t="shared" si="22"/>
        <v>57767326.410000011</v>
      </c>
      <c r="Q93" s="262">
        <f t="shared" si="22"/>
        <v>117479932</v>
      </c>
      <c r="R93" s="262">
        <f t="shared" si="22"/>
        <v>6800000</v>
      </c>
      <c r="S93" s="262">
        <f t="shared" si="22"/>
        <v>124279932</v>
      </c>
      <c r="T93" s="262">
        <f t="shared" si="22"/>
        <v>7935000</v>
      </c>
      <c r="U93" s="262">
        <f t="shared" si="22"/>
        <v>204892410</v>
      </c>
      <c r="V93" s="262">
        <f t="shared" si="22"/>
        <v>193844870</v>
      </c>
      <c r="W93" s="262">
        <f t="shared" si="22"/>
        <v>2500000</v>
      </c>
      <c r="X93" s="262">
        <f t="shared" si="22"/>
        <v>0</v>
      </c>
      <c r="Y93" s="262">
        <f t="shared" si="22"/>
        <v>0</v>
      </c>
      <c r="Z93" s="262">
        <f t="shared" si="22"/>
        <v>8547540</v>
      </c>
      <c r="AA93" s="262">
        <f>SUM(AA7:AA84)</f>
        <v>0</v>
      </c>
      <c r="AB93" s="262"/>
      <c r="AC93" s="420"/>
      <c r="AD93" s="266"/>
      <c r="AE93" s="420"/>
      <c r="AF93" s="420"/>
      <c r="AG93" s="432"/>
      <c r="AH93" s="432"/>
      <c r="AI93" s="432"/>
      <c r="AJ93" s="416"/>
      <c r="AK93" s="416"/>
      <c r="AL93" s="416"/>
      <c r="AO93" s="261"/>
    </row>
    <row r="94" spans="1:41" s="433" customFormat="1" ht="35.15" customHeight="1">
      <c r="A94" s="260"/>
      <c r="B94" s="431"/>
      <c r="C94" s="260"/>
      <c r="D94" s="262"/>
      <c r="E94" s="262"/>
      <c r="F94" s="262"/>
      <c r="G94" s="262"/>
      <c r="H94" s="262"/>
      <c r="I94" s="262"/>
      <c r="J94" s="262"/>
      <c r="K94" s="262"/>
      <c r="L94" s="262"/>
      <c r="M94" s="262"/>
      <c r="N94" s="262"/>
      <c r="O94" s="262"/>
      <c r="P94" s="262"/>
      <c r="Q94" s="262"/>
      <c r="R94" s="262"/>
      <c r="S94" s="262"/>
      <c r="T94" s="262"/>
      <c r="U94" s="262"/>
      <c r="V94" s="262"/>
      <c r="W94" s="262"/>
      <c r="X94" s="262"/>
      <c r="Y94" s="262"/>
      <c r="Z94" s="262"/>
      <c r="AA94" s="262"/>
      <c r="AB94" s="262"/>
      <c r="AC94" s="420"/>
      <c r="AD94" s="266"/>
      <c r="AE94" s="420"/>
      <c r="AF94" s="420"/>
      <c r="AG94" s="432"/>
      <c r="AH94" s="432"/>
      <c r="AI94" s="432"/>
      <c r="AJ94" s="416"/>
      <c r="AK94" s="416"/>
      <c r="AL94" s="416"/>
      <c r="AO94" s="261"/>
    </row>
    <row r="95" spans="1:41" s="433" customFormat="1" ht="35.15" customHeight="1">
      <c r="A95" s="260"/>
      <c r="B95" s="431"/>
      <c r="C95" s="260" t="s">
        <v>298</v>
      </c>
      <c r="D95" s="262"/>
      <c r="E95" s="262"/>
      <c r="F95" s="262"/>
      <c r="G95" s="262"/>
      <c r="H95" s="262"/>
      <c r="I95" s="262"/>
      <c r="J95" s="262"/>
      <c r="K95" s="262"/>
      <c r="L95" s="262"/>
      <c r="M95" s="262"/>
      <c r="N95" s="262"/>
      <c r="O95" s="262"/>
      <c r="P95" s="262"/>
      <c r="Q95" s="262"/>
      <c r="R95" s="262"/>
      <c r="S95" s="262"/>
      <c r="T95" s="262"/>
      <c r="U95" s="262"/>
      <c r="V95" s="262"/>
      <c r="W95" s="262"/>
      <c r="X95" s="262"/>
      <c r="Y95" s="262"/>
      <c r="Z95" s="262"/>
      <c r="AA95" s="250"/>
      <c r="AB95" s="260"/>
      <c r="AC95" s="420"/>
      <c r="AD95" s="266"/>
      <c r="AE95" s="420"/>
      <c r="AF95" s="258"/>
      <c r="AG95" s="432"/>
      <c r="AH95" s="432"/>
      <c r="AI95" s="432"/>
      <c r="AJ95" s="416"/>
      <c r="AK95" s="416"/>
      <c r="AL95" s="416"/>
      <c r="AO95" s="261"/>
    </row>
    <row r="96" spans="1:41" s="258" customFormat="1" ht="42">
      <c r="A96" s="254">
        <f>1+A92</f>
        <v>87</v>
      </c>
      <c r="B96" s="254">
        <v>1547</v>
      </c>
      <c r="C96" s="254" t="s">
        <v>1080</v>
      </c>
      <c r="D96" s="255">
        <v>144000000</v>
      </c>
      <c r="E96" s="255">
        <v>144000000</v>
      </c>
      <c r="F96" s="255">
        <f t="shared" ref="F96:F114" si="23">D96-E96</f>
        <v>0</v>
      </c>
      <c r="G96" s="255">
        <f>78300000+2700000</f>
        <v>81000000</v>
      </c>
      <c r="H96" s="255">
        <v>70046361</v>
      </c>
      <c r="I96" s="255">
        <v>1052805.8700000001</v>
      </c>
      <c r="J96" s="255">
        <v>3992160</v>
      </c>
      <c r="K96" s="255">
        <f>SUM(I96:J96)</f>
        <v>5044965.87</v>
      </c>
      <c r="L96" s="255">
        <f>K96+H96</f>
        <v>75091326.870000005</v>
      </c>
      <c r="M96" s="255">
        <f>P96+S96</f>
        <v>14908673.129999995</v>
      </c>
      <c r="N96" s="255">
        <f>21000000+35700000-2700000</f>
        <v>54000000</v>
      </c>
      <c r="O96" s="255">
        <f>D96-L96-M96-N96</f>
        <v>0</v>
      </c>
      <c r="P96" s="255">
        <f>G96-L96</f>
        <v>5908673.1299999952</v>
      </c>
      <c r="Q96" s="255">
        <f>7000000+2000000</f>
        <v>9000000</v>
      </c>
      <c r="R96" s="255"/>
      <c r="S96" s="255">
        <f>SUM(Q96:R96)</f>
        <v>9000000</v>
      </c>
      <c r="T96" s="255">
        <f>P96-M96+S96</f>
        <v>0</v>
      </c>
      <c r="U96" s="255">
        <f>N96-T96</f>
        <v>54000000</v>
      </c>
      <c r="V96" s="255"/>
      <c r="W96" s="255"/>
      <c r="X96" s="255"/>
      <c r="Y96" s="255">
        <f t="shared" ref="Y96:Y114" si="24">U96-Z96</f>
        <v>25000000</v>
      </c>
      <c r="Z96" s="255">
        <f>21000000+8000000</f>
        <v>29000000</v>
      </c>
      <c r="AA96" s="254" t="s">
        <v>1314</v>
      </c>
      <c r="AB96" s="254">
        <v>742000</v>
      </c>
      <c r="AC96" s="420"/>
      <c r="AD96" s="266"/>
      <c r="AE96" s="425"/>
      <c r="AJ96" s="416"/>
      <c r="AK96" s="416"/>
      <c r="AL96" s="416"/>
      <c r="AO96" s="261"/>
    </row>
    <row r="97" spans="1:41" ht="35.15" customHeight="1">
      <c r="A97" s="254">
        <f t="shared" ref="A97:A114" si="25">1+A96</f>
        <v>88</v>
      </c>
      <c r="B97" s="427">
        <v>1827</v>
      </c>
      <c r="C97" s="254" t="s">
        <v>729</v>
      </c>
      <c r="D97" s="255">
        <v>100000000</v>
      </c>
      <c r="E97" s="255">
        <v>100000000</v>
      </c>
      <c r="F97" s="255">
        <f t="shared" si="23"/>
        <v>0</v>
      </c>
      <c r="G97" s="255">
        <v>51268638</v>
      </c>
      <c r="H97" s="255">
        <v>26567750</v>
      </c>
      <c r="I97" s="255"/>
      <c r="J97" s="255">
        <v>6688669</v>
      </c>
      <c r="K97" s="255">
        <f t="shared" ref="K97:K114" si="26">SUM(I97:J97)</f>
        <v>6688669</v>
      </c>
      <c r="L97" s="255">
        <f t="shared" ref="L97:L114" si="27">K97+H97</f>
        <v>33256419</v>
      </c>
      <c r="M97" s="255">
        <f t="shared" ref="M97:M114" si="28">P97+S97</f>
        <v>18012219</v>
      </c>
      <c r="N97" s="255">
        <f>48371362+360000</f>
        <v>48731362</v>
      </c>
      <c r="O97" s="255">
        <f t="shared" ref="O97:O114" si="29">D97-L97-M97-N97</f>
        <v>0</v>
      </c>
      <c r="P97" s="255">
        <f t="shared" ref="P97:P114" si="30">G97-L97</f>
        <v>18012219</v>
      </c>
      <c r="Q97" s="255"/>
      <c r="R97" s="255"/>
      <c r="S97" s="255">
        <f t="shared" ref="S97:S114" si="31">SUM(Q97:R97)</f>
        <v>0</v>
      </c>
      <c r="T97" s="255">
        <f t="shared" ref="T97:T114" si="32">P97-M97+S97</f>
        <v>0</v>
      </c>
      <c r="U97" s="255">
        <f t="shared" ref="U97:U114" si="33">N97-T97</f>
        <v>48731362</v>
      </c>
      <c r="V97" s="255"/>
      <c r="W97" s="255"/>
      <c r="X97" s="255"/>
      <c r="Y97" s="255">
        <f t="shared" si="24"/>
        <v>12000000</v>
      </c>
      <c r="Z97" s="255">
        <f>70000000-33268638</f>
        <v>36731362</v>
      </c>
      <c r="AA97" s="254" t="s">
        <v>1314</v>
      </c>
      <c r="AB97" s="254">
        <v>746000</v>
      </c>
      <c r="AE97" s="425"/>
      <c r="AF97" s="258"/>
      <c r="AG97" s="266"/>
      <c r="AH97" s="266"/>
      <c r="AI97" s="266"/>
      <c r="AO97" s="261"/>
    </row>
    <row r="98" spans="1:41" s="258" customFormat="1" ht="35.15" customHeight="1">
      <c r="A98" s="254">
        <f t="shared" si="25"/>
        <v>89</v>
      </c>
      <c r="B98" s="254">
        <v>1905</v>
      </c>
      <c r="C98" s="254" t="s">
        <v>205</v>
      </c>
      <c r="D98" s="255">
        <v>3366000</v>
      </c>
      <c r="E98" s="255">
        <v>3366000</v>
      </c>
      <c r="F98" s="255">
        <f t="shared" si="23"/>
        <v>0</v>
      </c>
      <c r="G98" s="255">
        <v>3366000</v>
      </c>
      <c r="H98" s="255">
        <v>0</v>
      </c>
      <c r="I98" s="255"/>
      <c r="J98" s="255"/>
      <c r="K98" s="255">
        <f t="shared" si="26"/>
        <v>0</v>
      </c>
      <c r="L98" s="255">
        <f t="shared" si="27"/>
        <v>0</v>
      </c>
      <c r="M98" s="255">
        <f t="shared" si="28"/>
        <v>3366000</v>
      </c>
      <c r="N98" s="255"/>
      <c r="O98" s="255">
        <f t="shared" si="29"/>
        <v>0</v>
      </c>
      <c r="P98" s="255">
        <f t="shared" si="30"/>
        <v>3366000</v>
      </c>
      <c r="Q98" s="255"/>
      <c r="R98" s="255"/>
      <c r="S98" s="255">
        <f t="shared" si="31"/>
        <v>0</v>
      </c>
      <c r="T98" s="255">
        <f t="shared" si="32"/>
        <v>0</v>
      </c>
      <c r="U98" s="255">
        <f t="shared" si="33"/>
        <v>0</v>
      </c>
      <c r="V98" s="255"/>
      <c r="W98" s="255"/>
      <c r="X98" s="255"/>
      <c r="Y98" s="255">
        <f t="shared" si="24"/>
        <v>0</v>
      </c>
      <c r="Z98" s="255"/>
      <c r="AA98" s="254" t="s">
        <v>1325</v>
      </c>
      <c r="AB98" s="254">
        <v>746000</v>
      </c>
      <c r="AC98" s="420"/>
      <c r="AD98" s="266"/>
      <c r="AE98" s="425"/>
      <c r="AJ98" s="416"/>
      <c r="AK98" s="416"/>
      <c r="AL98" s="416"/>
    </row>
    <row r="99" spans="1:41" s="258" customFormat="1" ht="35.15" customHeight="1">
      <c r="A99" s="254">
        <f t="shared" si="25"/>
        <v>90</v>
      </c>
      <c r="B99" s="254">
        <v>1906</v>
      </c>
      <c r="C99" s="254" t="s">
        <v>500</v>
      </c>
      <c r="D99" s="255">
        <v>10000000</v>
      </c>
      <c r="E99" s="255">
        <v>10000000</v>
      </c>
      <c r="F99" s="255">
        <f t="shared" si="23"/>
        <v>0</v>
      </c>
      <c r="G99" s="255">
        <f>7958844+1750000</f>
        <v>9708844</v>
      </c>
      <c r="H99" s="255">
        <v>6208337</v>
      </c>
      <c r="I99" s="255"/>
      <c r="J99" s="255">
        <v>1750480</v>
      </c>
      <c r="K99" s="255">
        <f t="shared" si="26"/>
        <v>1750480</v>
      </c>
      <c r="L99" s="255">
        <f t="shared" si="27"/>
        <v>7958817</v>
      </c>
      <c r="M99" s="255">
        <f t="shared" si="28"/>
        <v>1750027</v>
      </c>
      <c r="N99" s="255">
        <v>291156</v>
      </c>
      <c r="O99" s="255">
        <f t="shared" si="29"/>
        <v>0</v>
      </c>
      <c r="P99" s="255">
        <f t="shared" si="30"/>
        <v>1750027</v>
      </c>
      <c r="Q99" s="255"/>
      <c r="R99" s="255"/>
      <c r="S99" s="255">
        <f t="shared" si="31"/>
        <v>0</v>
      </c>
      <c r="T99" s="255">
        <f t="shared" si="32"/>
        <v>0</v>
      </c>
      <c r="U99" s="255">
        <f t="shared" si="33"/>
        <v>291156</v>
      </c>
      <c r="V99" s="255"/>
      <c r="W99" s="255"/>
      <c r="X99" s="255"/>
      <c r="Y99" s="255">
        <f t="shared" si="24"/>
        <v>291156</v>
      </c>
      <c r="Z99" s="254"/>
      <c r="AA99" s="254"/>
      <c r="AB99" s="254">
        <v>810000</v>
      </c>
      <c r="AC99" s="420"/>
      <c r="AD99" s="266"/>
      <c r="AE99" s="425"/>
      <c r="AJ99" s="416"/>
      <c r="AK99" s="416"/>
      <c r="AL99" s="416"/>
    </row>
    <row r="100" spans="1:41" s="258" customFormat="1" ht="35.15" customHeight="1">
      <c r="A100" s="254">
        <f t="shared" si="25"/>
        <v>91</v>
      </c>
      <c r="B100" s="254">
        <v>1907</v>
      </c>
      <c r="C100" s="254" t="s">
        <v>203</v>
      </c>
      <c r="D100" s="255">
        <v>10000000</v>
      </c>
      <c r="E100" s="255">
        <v>10000000</v>
      </c>
      <c r="F100" s="255">
        <f t="shared" si="23"/>
        <v>0</v>
      </c>
      <c r="G100" s="255">
        <v>7958844</v>
      </c>
      <c r="H100" s="255">
        <v>5917824</v>
      </c>
      <c r="I100" s="255"/>
      <c r="J100" s="255">
        <v>1253997</v>
      </c>
      <c r="K100" s="255">
        <f t="shared" si="26"/>
        <v>1253997</v>
      </c>
      <c r="L100" s="255">
        <f t="shared" si="27"/>
        <v>7171821</v>
      </c>
      <c r="M100" s="255">
        <f t="shared" si="28"/>
        <v>2537023</v>
      </c>
      <c r="N100" s="255">
        <v>291156</v>
      </c>
      <c r="O100" s="255">
        <f t="shared" si="29"/>
        <v>0</v>
      </c>
      <c r="P100" s="255">
        <f t="shared" si="30"/>
        <v>787023</v>
      </c>
      <c r="Q100" s="255">
        <v>1750000</v>
      </c>
      <c r="R100" s="255"/>
      <c r="S100" s="255">
        <f t="shared" si="31"/>
        <v>1750000</v>
      </c>
      <c r="T100" s="255">
        <f t="shared" si="32"/>
        <v>0</v>
      </c>
      <c r="U100" s="255">
        <f t="shared" si="33"/>
        <v>291156</v>
      </c>
      <c r="V100" s="255"/>
      <c r="W100" s="255"/>
      <c r="X100" s="255"/>
      <c r="Y100" s="255">
        <f t="shared" si="24"/>
        <v>291156</v>
      </c>
      <c r="Z100" s="254"/>
      <c r="AA100" s="254"/>
      <c r="AB100" s="254">
        <v>810000</v>
      </c>
      <c r="AC100" s="420"/>
      <c r="AD100" s="266"/>
      <c r="AE100" s="425"/>
      <c r="AJ100" s="416"/>
      <c r="AK100" s="416"/>
      <c r="AL100" s="416"/>
    </row>
    <row r="101" spans="1:41" s="258" customFormat="1" ht="35.15" customHeight="1">
      <c r="A101" s="254">
        <f t="shared" si="25"/>
        <v>92</v>
      </c>
      <c r="B101" s="254">
        <v>1908</v>
      </c>
      <c r="C101" s="254" t="s">
        <v>249</v>
      </c>
      <c r="D101" s="255">
        <v>16900000</v>
      </c>
      <c r="E101" s="255">
        <v>16900000</v>
      </c>
      <c r="F101" s="255">
        <f t="shared" si="23"/>
        <v>0</v>
      </c>
      <c r="G101" s="255">
        <v>10943329</v>
      </c>
      <c r="H101" s="255">
        <v>250632</v>
      </c>
      <c r="I101" s="255"/>
      <c r="J101" s="255">
        <v>48831.9</v>
      </c>
      <c r="K101" s="255">
        <f t="shared" si="26"/>
        <v>48831.9</v>
      </c>
      <c r="L101" s="255">
        <f t="shared" si="27"/>
        <v>299463.90000000002</v>
      </c>
      <c r="M101" s="255">
        <f t="shared" si="28"/>
        <v>10643865.1</v>
      </c>
      <c r="N101" s="255"/>
      <c r="O101" s="255">
        <f t="shared" si="29"/>
        <v>5956671</v>
      </c>
      <c r="P101" s="255">
        <f t="shared" si="30"/>
        <v>10643865.1</v>
      </c>
      <c r="Q101" s="255"/>
      <c r="R101" s="255"/>
      <c r="S101" s="255">
        <f t="shared" si="31"/>
        <v>0</v>
      </c>
      <c r="T101" s="255">
        <f t="shared" si="32"/>
        <v>0</v>
      </c>
      <c r="U101" s="255">
        <f t="shared" si="33"/>
        <v>0</v>
      </c>
      <c r="V101" s="255"/>
      <c r="W101" s="255"/>
      <c r="X101" s="255"/>
      <c r="Y101" s="255">
        <f t="shared" si="24"/>
        <v>0</v>
      </c>
      <c r="Z101" s="254"/>
      <c r="AA101" s="254"/>
      <c r="AB101" s="254">
        <v>810000</v>
      </c>
      <c r="AC101" s="420"/>
      <c r="AD101" s="266"/>
      <c r="AE101" s="425"/>
      <c r="AJ101" s="416"/>
      <c r="AK101" s="416"/>
      <c r="AL101" s="416"/>
    </row>
    <row r="102" spans="1:41" ht="42">
      <c r="A102" s="254">
        <f t="shared" si="25"/>
        <v>93</v>
      </c>
      <c r="B102" s="427">
        <v>1909</v>
      </c>
      <c r="C102" s="434" t="s">
        <v>730</v>
      </c>
      <c r="D102" s="255">
        <v>147000000</v>
      </c>
      <c r="E102" s="255">
        <v>12500000</v>
      </c>
      <c r="F102" s="255">
        <f t="shared" si="23"/>
        <v>134500000</v>
      </c>
      <c r="G102" s="255">
        <v>1650000</v>
      </c>
      <c r="H102" s="255">
        <f>36475+186030</f>
        <v>222505</v>
      </c>
      <c r="I102" s="255"/>
      <c r="J102" s="255">
        <v>53298.879999999997</v>
      </c>
      <c r="K102" s="255">
        <f t="shared" si="26"/>
        <v>53298.879999999997</v>
      </c>
      <c r="L102" s="255">
        <f t="shared" si="27"/>
        <v>275803.88</v>
      </c>
      <c r="M102" s="255">
        <f t="shared" si="28"/>
        <v>1374196.12</v>
      </c>
      <c r="N102" s="255"/>
      <c r="O102" s="255">
        <f t="shared" si="29"/>
        <v>145350000</v>
      </c>
      <c r="P102" s="255">
        <f t="shared" si="30"/>
        <v>1374196.12</v>
      </c>
      <c r="Q102" s="255"/>
      <c r="R102" s="255"/>
      <c r="S102" s="255">
        <f t="shared" si="31"/>
        <v>0</v>
      </c>
      <c r="T102" s="255">
        <f t="shared" si="32"/>
        <v>0</v>
      </c>
      <c r="U102" s="255">
        <f t="shared" si="33"/>
        <v>0</v>
      </c>
      <c r="V102" s="255"/>
      <c r="W102" s="255"/>
      <c r="X102" s="255"/>
      <c r="Y102" s="255">
        <f t="shared" si="24"/>
        <v>0</v>
      </c>
      <c r="Z102" s="254"/>
      <c r="AA102" s="428"/>
      <c r="AB102" s="254">
        <v>810000</v>
      </c>
      <c r="AE102" s="425"/>
      <c r="AF102" s="258"/>
      <c r="AG102" s="266"/>
      <c r="AH102" s="266"/>
      <c r="AI102" s="266"/>
    </row>
    <row r="103" spans="1:41" ht="56">
      <c r="A103" s="254">
        <f t="shared" si="25"/>
        <v>94</v>
      </c>
      <c r="B103" s="427">
        <v>1910</v>
      </c>
      <c r="C103" s="434" t="s">
        <v>731</v>
      </c>
      <c r="D103" s="255">
        <f>650000-650000</f>
        <v>0</v>
      </c>
      <c r="E103" s="255">
        <v>650000</v>
      </c>
      <c r="F103" s="255">
        <f t="shared" si="23"/>
        <v>-650000</v>
      </c>
      <c r="G103" s="255">
        <v>650000</v>
      </c>
      <c r="H103" s="255">
        <v>0</v>
      </c>
      <c r="I103" s="255"/>
      <c r="J103" s="255"/>
      <c r="K103" s="255">
        <f t="shared" si="26"/>
        <v>0</v>
      </c>
      <c r="L103" s="255">
        <f t="shared" si="27"/>
        <v>0</v>
      </c>
      <c r="M103" s="255">
        <f>P103+S103-650000</f>
        <v>0</v>
      </c>
      <c r="N103" s="255"/>
      <c r="O103" s="255">
        <f t="shared" si="29"/>
        <v>0</v>
      </c>
      <c r="P103" s="255">
        <f t="shared" si="30"/>
        <v>650000</v>
      </c>
      <c r="Q103" s="255"/>
      <c r="R103" s="255"/>
      <c r="S103" s="255">
        <f t="shared" si="31"/>
        <v>0</v>
      </c>
      <c r="T103" s="255">
        <f t="shared" si="32"/>
        <v>650000</v>
      </c>
      <c r="U103" s="255">
        <f t="shared" si="33"/>
        <v>-650000</v>
      </c>
      <c r="V103" s="255">
        <f t="shared" ref="V103:V114" si="34">U103-Y103-X103-Z103</f>
        <v>0</v>
      </c>
      <c r="W103" s="255"/>
      <c r="X103" s="255"/>
      <c r="Y103" s="255">
        <f t="shared" si="24"/>
        <v>-650000</v>
      </c>
      <c r="Z103" s="254"/>
      <c r="AA103" s="428"/>
      <c r="AB103" s="254">
        <v>823000</v>
      </c>
      <c r="AE103" s="425"/>
      <c r="AF103" s="258"/>
      <c r="AG103" s="266"/>
      <c r="AH103" s="266"/>
      <c r="AI103" s="266"/>
    </row>
    <row r="104" spans="1:41" ht="35.15" customHeight="1">
      <c r="A104" s="254">
        <f t="shared" si="25"/>
        <v>95</v>
      </c>
      <c r="B104" s="427">
        <v>1911</v>
      </c>
      <c r="C104" s="254" t="s">
        <v>732</v>
      </c>
      <c r="D104" s="255">
        <v>27500000</v>
      </c>
      <c r="E104" s="255">
        <v>27500000</v>
      </c>
      <c r="F104" s="255">
        <f t="shared" si="23"/>
        <v>0</v>
      </c>
      <c r="G104" s="255">
        <v>9182067</v>
      </c>
      <c r="H104" s="255">
        <v>207473</v>
      </c>
      <c r="I104" s="255"/>
      <c r="J104" s="255">
        <v>969131.9</v>
      </c>
      <c r="K104" s="255">
        <f t="shared" si="26"/>
        <v>969131.9</v>
      </c>
      <c r="L104" s="255">
        <f t="shared" si="27"/>
        <v>1176604.8999999999</v>
      </c>
      <c r="M104" s="255">
        <f t="shared" si="28"/>
        <v>8005462.0999999996</v>
      </c>
      <c r="N104" s="255"/>
      <c r="O104" s="255">
        <f t="shared" si="29"/>
        <v>18317933</v>
      </c>
      <c r="P104" s="255">
        <f t="shared" si="30"/>
        <v>8005462.0999999996</v>
      </c>
      <c r="Q104" s="255"/>
      <c r="R104" s="255"/>
      <c r="S104" s="255">
        <f t="shared" si="31"/>
        <v>0</v>
      </c>
      <c r="T104" s="255">
        <f t="shared" si="32"/>
        <v>0</v>
      </c>
      <c r="U104" s="255">
        <f t="shared" si="33"/>
        <v>0</v>
      </c>
      <c r="V104" s="255">
        <f t="shared" si="34"/>
        <v>0</v>
      </c>
      <c r="W104" s="255"/>
      <c r="X104" s="255"/>
      <c r="Y104" s="255">
        <f t="shared" si="24"/>
        <v>0</v>
      </c>
      <c r="Z104" s="254"/>
      <c r="AA104" s="428"/>
      <c r="AB104" s="254">
        <v>810000</v>
      </c>
      <c r="AE104" s="425"/>
      <c r="AF104" s="258"/>
      <c r="AG104" s="266"/>
      <c r="AH104" s="266"/>
      <c r="AI104" s="266"/>
      <c r="AO104" s="261"/>
    </row>
    <row r="105" spans="1:41" ht="42">
      <c r="A105" s="254">
        <f t="shared" si="25"/>
        <v>96</v>
      </c>
      <c r="B105" s="427">
        <v>1912</v>
      </c>
      <c r="C105" s="254" t="s">
        <v>733</v>
      </c>
      <c r="D105" s="255">
        <v>310000000</v>
      </c>
      <c r="E105" s="255">
        <v>100000000</v>
      </c>
      <c r="F105" s="255">
        <f t="shared" si="23"/>
        <v>210000000</v>
      </c>
      <c r="G105" s="255">
        <v>2000000</v>
      </c>
      <c r="H105" s="255">
        <v>552753</v>
      </c>
      <c r="I105" s="255"/>
      <c r="J105" s="255">
        <v>442405.78</v>
      </c>
      <c r="K105" s="255">
        <f t="shared" si="26"/>
        <v>442405.78</v>
      </c>
      <c r="L105" s="255">
        <f t="shared" si="27"/>
        <v>995158.78</v>
      </c>
      <c r="M105" s="255">
        <f t="shared" si="28"/>
        <v>4004841.2199999997</v>
      </c>
      <c r="N105" s="255"/>
      <c r="O105" s="255">
        <f t="shared" si="29"/>
        <v>305000000</v>
      </c>
      <c r="P105" s="255">
        <f t="shared" si="30"/>
        <v>1004841.22</v>
      </c>
      <c r="Q105" s="255">
        <v>3000000</v>
      </c>
      <c r="R105" s="255"/>
      <c r="S105" s="255">
        <f t="shared" si="31"/>
        <v>3000000</v>
      </c>
      <c r="T105" s="255">
        <f t="shared" si="32"/>
        <v>0</v>
      </c>
      <c r="U105" s="255">
        <f t="shared" si="33"/>
        <v>0</v>
      </c>
      <c r="V105" s="255">
        <f t="shared" si="34"/>
        <v>0</v>
      </c>
      <c r="W105" s="255"/>
      <c r="X105" s="255"/>
      <c r="Y105" s="255">
        <f t="shared" si="24"/>
        <v>0</v>
      </c>
      <c r="Z105" s="254"/>
      <c r="AA105" s="428"/>
      <c r="AB105" s="254">
        <v>810000</v>
      </c>
      <c r="AE105" s="425"/>
      <c r="AF105" s="258"/>
      <c r="AG105" s="266"/>
      <c r="AH105" s="266"/>
      <c r="AI105" s="266"/>
      <c r="AO105" s="261"/>
    </row>
    <row r="106" spans="1:41" ht="56">
      <c r="A106" s="254">
        <f t="shared" si="25"/>
        <v>97</v>
      </c>
      <c r="B106" s="427">
        <v>1913</v>
      </c>
      <c r="C106" s="254" t="s">
        <v>734</v>
      </c>
      <c r="D106" s="255">
        <f>400000-400000</f>
        <v>0</v>
      </c>
      <c r="E106" s="255">
        <v>400000</v>
      </c>
      <c r="F106" s="255">
        <f t="shared" si="23"/>
        <v>-400000</v>
      </c>
      <c r="G106" s="255">
        <v>400000</v>
      </c>
      <c r="H106" s="255">
        <v>0</v>
      </c>
      <c r="I106" s="255"/>
      <c r="J106" s="255"/>
      <c r="K106" s="255">
        <f t="shared" si="26"/>
        <v>0</v>
      </c>
      <c r="L106" s="255">
        <f t="shared" si="27"/>
        <v>0</v>
      </c>
      <c r="M106" s="255">
        <f>P106+S106-400000</f>
        <v>0</v>
      </c>
      <c r="N106" s="255"/>
      <c r="O106" s="255">
        <f t="shared" si="29"/>
        <v>0</v>
      </c>
      <c r="P106" s="255">
        <f t="shared" si="30"/>
        <v>400000</v>
      </c>
      <c r="Q106" s="255"/>
      <c r="R106" s="255"/>
      <c r="S106" s="255">
        <f t="shared" si="31"/>
        <v>0</v>
      </c>
      <c r="T106" s="255">
        <f t="shared" si="32"/>
        <v>400000</v>
      </c>
      <c r="U106" s="255">
        <f t="shared" si="33"/>
        <v>-400000</v>
      </c>
      <c r="V106" s="255">
        <f t="shared" si="34"/>
        <v>0</v>
      </c>
      <c r="W106" s="255"/>
      <c r="X106" s="255"/>
      <c r="Y106" s="255">
        <f t="shared" si="24"/>
        <v>-400000</v>
      </c>
      <c r="Z106" s="254"/>
      <c r="AA106" s="428"/>
      <c r="AB106" s="254">
        <v>823000</v>
      </c>
      <c r="AE106" s="425"/>
      <c r="AF106" s="258"/>
      <c r="AG106" s="266"/>
      <c r="AH106" s="266"/>
      <c r="AI106" s="266"/>
      <c r="AO106" s="248"/>
    </row>
    <row r="107" spans="1:41" ht="35.15" customHeight="1">
      <c r="A107" s="254">
        <f t="shared" si="25"/>
        <v>98</v>
      </c>
      <c r="B107" s="427">
        <v>1914</v>
      </c>
      <c r="C107" s="254" t="s">
        <v>248</v>
      </c>
      <c r="D107" s="255">
        <v>7700000</v>
      </c>
      <c r="E107" s="255">
        <v>7700000</v>
      </c>
      <c r="F107" s="255">
        <f t="shared" si="23"/>
        <v>0</v>
      </c>
      <c r="G107" s="255">
        <v>1300000</v>
      </c>
      <c r="H107" s="255">
        <v>146399</v>
      </c>
      <c r="I107" s="255"/>
      <c r="J107" s="255">
        <v>53600.37</v>
      </c>
      <c r="K107" s="255">
        <f t="shared" si="26"/>
        <v>53600.37</v>
      </c>
      <c r="L107" s="255">
        <f t="shared" si="27"/>
        <v>199999.37</v>
      </c>
      <c r="M107" s="255">
        <f t="shared" si="28"/>
        <v>1100000.6299999999</v>
      </c>
      <c r="N107" s="255"/>
      <c r="O107" s="255">
        <f t="shared" si="29"/>
        <v>6400000</v>
      </c>
      <c r="P107" s="255">
        <f t="shared" si="30"/>
        <v>1100000.6299999999</v>
      </c>
      <c r="Q107" s="255"/>
      <c r="R107" s="255"/>
      <c r="S107" s="255">
        <f t="shared" si="31"/>
        <v>0</v>
      </c>
      <c r="T107" s="255">
        <f t="shared" si="32"/>
        <v>0</v>
      </c>
      <c r="U107" s="255">
        <f t="shared" si="33"/>
        <v>0</v>
      </c>
      <c r="V107" s="255">
        <f t="shared" si="34"/>
        <v>0</v>
      </c>
      <c r="W107" s="255"/>
      <c r="X107" s="255"/>
      <c r="Y107" s="255">
        <f t="shared" si="24"/>
        <v>0</v>
      </c>
      <c r="Z107" s="254"/>
      <c r="AA107" s="428"/>
      <c r="AB107" s="254">
        <v>810000</v>
      </c>
      <c r="AE107" s="425"/>
      <c r="AF107" s="258"/>
      <c r="AG107" s="266"/>
      <c r="AH107" s="266"/>
      <c r="AI107" s="266"/>
    </row>
    <row r="108" spans="1:41" ht="35.15" customHeight="1">
      <c r="A108" s="254">
        <f t="shared" si="25"/>
        <v>99</v>
      </c>
      <c r="B108" s="427">
        <v>1919</v>
      </c>
      <c r="C108" s="254" t="s">
        <v>214</v>
      </c>
      <c r="D108" s="255">
        <v>135100000</v>
      </c>
      <c r="E108" s="255">
        <v>135100000</v>
      </c>
      <c r="F108" s="255">
        <f t="shared" si="23"/>
        <v>0</v>
      </c>
      <c r="G108" s="255">
        <v>33902858</v>
      </c>
      <c r="H108" s="255">
        <v>14793296</v>
      </c>
      <c r="I108" s="255"/>
      <c r="J108" s="255">
        <v>7517279</v>
      </c>
      <c r="K108" s="255">
        <f t="shared" si="26"/>
        <v>7517279</v>
      </c>
      <c r="L108" s="255">
        <f t="shared" si="27"/>
        <v>22310575</v>
      </c>
      <c r="M108" s="255">
        <f t="shared" si="28"/>
        <v>17787952</v>
      </c>
      <c r="N108" s="255">
        <f>6701920-6195669</f>
        <v>506251</v>
      </c>
      <c r="O108" s="255">
        <f t="shared" si="29"/>
        <v>94495222</v>
      </c>
      <c r="P108" s="255">
        <f t="shared" si="30"/>
        <v>11592283</v>
      </c>
      <c r="Q108" s="255">
        <v>6195669</v>
      </c>
      <c r="R108" s="255"/>
      <c r="S108" s="255">
        <f t="shared" si="31"/>
        <v>6195669</v>
      </c>
      <c r="T108" s="255">
        <f t="shared" si="32"/>
        <v>0</v>
      </c>
      <c r="U108" s="255">
        <f t="shared" si="33"/>
        <v>506251</v>
      </c>
      <c r="V108" s="255">
        <f t="shared" si="34"/>
        <v>0</v>
      </c>
      <c r="W108" s="255"/>
      <c r="X108" s="255"/>
      <c r="Y108" s="255">
        <f t="shared" si="24"/>
        <v>0</v>
      </c>
      <c r="Z108" s="255">
        <v>506251</v>
      </c>
      <c r="AA108" s="254" t="s">
        <v>1314</v>
      </c>
      <c r="AB108" s="254">
        <v>742000</v>
      </c>
      <c r="AE108" s="425"/>
      <c r="AF108" s="258"/>
      <c r="AG108" s="266"/>
      <c r="AH108" s="266"/>
      <c r="AI108" s="266"/>
      <c r="AO108" s="248"/>
    </row>
    <row r="109" spans="1:41" ht="56">
      <c r="A109" s="254">
        <f t="shared" si="25"/>
        <v>100</v>
      </c>
      <c r="B109" s="427">
        <v>1959</v>
      </c>
      <c r="C109" s="254" t="s">
        <v>735</v>
      </c>
      <c r="D109" s="255">
        <f>35000000-35000000</f>
        <v>0</v>
      </c>
      <c r="E109" s="255">
        <v>35000000</v>
      </c>
      <c r="F109" s="255">
        <f t="shared" si="23"/>
        <v>-35000000</v>
      </c>
      <c r="G109" s="255">
        <v>1500000</v>
      </c>
      <c r="H109" s="255">
        <f>186030-186030</f>
        <v>0</v>
      </c>
      <c r="I109" s="255"/>
      <c r="J109" s="255">
        <f>813945.6-813945.6</f>
        <v>0</v>
      </c>
      <c r="K109" s="255">
        <f t="shared" si="26"/>
        <v>0</v>
      </c>
      <c r="L109" s="255">
        <f t="shared" si="27"/>
        <v>0</v>
      </c>
      <c r="M109" s="255">
        <f>P109+S109-1500000</f>
        <v>0</v>
      </c>
      <c r="N109" s="255"/>
      <c r="O109" s="255">
        <f t="shared" si="29"/>
        <v>0</v>
      </c>
      <c r="P109" s="255">
        <f t="shared" si="30"/>
        <v>1500000</v>
      </c>
      <c r="Q109" s="255"/>
      <c r="R109" s="255"/>
      <c r="S109" s="255">
        <f t="shared" si="31"/>
        <v>0</v>
      </c>
      <c r="T109" s="255">
        <f t="shared" si="32"/>
        <v>1500000</v>
      </c>
      <c r="U109" s="255">
        <f t="shared" si="33"/>
        <v>-1500000</v>
      </c>
      <c r="V109" s="255">
        <f t="shared" si="34"/>
        <v>0</v>
      </c>
      <c r="W109" s="255"/>
      <c r="X109" s="255"/>
      <c r="Y109" s="255">
        <f t="shared" si="24"/>
        <v>-1500000</v>
      </c>
      <c r="Z109" s="254"/>
      <c r="AA109" s="428"/>
      <c r="AB109" s="254">
        <v>810000</v>
      </c>
      <c r="AE109" s="425"/>
      <c r="AF109" s="258"/>
      <c r="AG109" s="266"/>
      <c r="AH109" s="266"/>
      <c r="AI109" s="266"/>
    </row>
    <row r="110" spans="1:41" ht="35.15" customHeight="1">
      <c r="A110" s="254">
        <f t="shared" si="25"/>
        <v>101</v>
      </c>
      <c r="B110" s="427">
        <v>1960</v>
      </c>
      <c r="C110" s="254" t="s">
        <v>736</v>
      </c>
      <c r="D110" s="255">
        <f>7700000+14600000</f>
        <v>22300000</v>
      </c>
      <c r="E110" s="255">
        <v>7700000</v>
      </c>
      <c r="F110" s="255">
        <f t="shared" si="23"/>
        <v>14600000</v>
      </c>
      <c r="G110" s="255">
        <v>750000</v>
      </c>
      <c r="H110" s="255">
        <v>115104</v>
      </c>
      <c r="I110" s="255"/>
      <c r="J110" s="255">
        <v>84895.88</v>
      </c>
      <c r="K110" s="255">
        <f t="shared" si="26"/>
        <v>84895.88</v>
      </c>
      <c r="L110" s="255">
        <f t="shared" si="27"/>
        <v>199999.88</v>
      </c>
      <c r="M110" s="255">
        <f t="shared" si="28"/>
        <v>550000.12</v>
      </c>
      <c r="N110" s="255">
        <v>3400000</v>
      </c>
      <c r="O110" s="255">
        <f t="shared" si="29"/>
        <v>18150000</v>
      </c>
      <c r="P110" s="255">
        <f t="shared" si="30"/>
        <v>550000.12</v>
      </c>
      <c r="Q110" s="255"/>
      <c r="R110" s="255"/>
      <c r="S110" s="255">
        <f t="shared" si="31"/>
        <v>0</v>
      </c>
      <c r="T110" s="255">
        <f t="shared" si="32"/>
        <v>0</v>
      </c>
      <c r="U110" s="255">
        <f t="shared" si="33"/>
        <v>3400000</v>
      </c>
      <c r="V110" s="255">
        <f t="shared" si="34"/>
        <v>0</v>
      </c>
      <c r="W110" s="255"/>
      <c r="X110" s="255"/>
      <c r="Y110" s="255">
        <f t="shared" si="24"/>
        <v>0</v>
      </c>
      <c r="Z110" s="255">
        <v>3400000</v>
      </c>
      <c r="AA110" s="428" t="s">
        <v>1315</v>
      </c>
      <c r="AB110" s="254">
        <v>810000</v>
      </c>
      <c r="AE110" s="425"/>
      <c r="AF110" s="258"/>
      <c r="AG110" s="266"/>
      <c r="AH110" s="266"/>
      <c r="AI110" s="266"/>
      <c r="AO110" s="261"/>
    </row>
    <row r="111" spans="1:41" ht="35.15" customHeight="1">
      <c r="A111" s="254">
        <f t="shared" si="25"/>
        <v>102</v>
      </c>
      <c r="B111" s="427">
        <v>1961</v>
      </c>
      <c r="C111" s="254" t="s">
        <v>288</v>
      </c>
      <c r="D111" s="255">
        <v>3000000</v>
      </c>
      <c r="E111" s="255">
        <v>3000000</v>
      </c>
      <c r="F111" s="255">
        <f t="shared" si="23"/>
        <v>0</v>
      </c>
      <c r="G111" s="255">
        <v>1500000</v>
      </c>
      <c r="H111" s="255">
        <v>0</v>
      </c>
      <c r="I111" s="255"/>
      <c r="J111" s="255"/>
      <c r="K111" s="255">
        <f t="shared" si="26"/>
        <v>0</v>
      </c>
      <c r="L111" s="255">
        <f t="shared" si="27"/>
        <v>0</v>
      </c>
      <c r="M111" s="255">
        <f t="shared" si="28"/>
        <v>1500000</v>
      </c>
      <c r="N111" s="255"/>
      <c r="O111" s="255">
        <f t="shared" si="29"/>
        <v>1500000</v>
      </c>
      <c r="P111" s="255">
        <f t="shared" si="30"/>
        <v>1500000</v>
      </c>
      <c r="Q111" s="255"/>
      <c r="R111" s="255"/>
      <c r="S111" s="255">
        <f t="shared" si="31"/>
        <v>0</v>
      </c>
      <c r="T111" s="255">
        <f t="shared" si="32"/>
        <v>0</v>
      </c>
      <c r="U111" s="255">
        <f t="shared" si="33"/>
        <v>0</v>
      </c>
      <c r="V111" s="255">
        <f t="shared" si="34"/>
        <v>0</v>
      </c>
      <c r="W111" s="255"/>
      <c r="X111" s="255"/>
      <c r="Y111" s="255">
        <f t="shared" si="24"/>
        <v>0</v>
      </c>
      <c r="Z111" s="254"/>
      <c r="AA111" s="428"/>
      <c r="AB111" s="254">
        <v>742000</v>
      </c>
      <c r="AE111" s="425"/>
      <c r="AF111" s="258"/>
      <c r="AG111" s="266"/>
      <c r="AH111" s="266"/>
      <c r="AI111" s="266"/>
      <c r="AO111" s="261"/>
    </row>
    <row r="112" spans="1:41" ht="35.15" customHeight="1">
      <c r="A112" s="254">
        <f t="shared" si="25"/>
        <v>103</v>
      </c>
      <c r="B112" s="427">
        <v>1962</v>
      </c>
      <c r="C112" s="254" t="s">
        <v>289</v>
      </c>
      <c r="D112" s="255">
        <v>20000000</v>
      </c>
      <c r="E112" s="255">
        <v>20000000</v>
      </c>
      <c r="F112" s="255">
        <f t="shared" si="23"/>
        <v>0</v>
      </c>
      <c r="G112" s="255">
        <v>1000000</v>
      </c>
      <c r="H112" s="255">
        <v>0</v>
      </c>
      <c r="I112" s="255"/>
      <c r="J112" s="255"/>
      <c r="K112" s="255">
        <f t="shared" si="26"/>
        <v>0</v>
      </c>
      <c r="L112" s="255">
        <f t="shared" si="27"/>
        <v>0</v>
      </c>
      <c r="M112" s="255">
        <f t="shared" si="28"/>
        <v>1000000</v>
      </c>
      <c r="N112" s="255"/>
      <c r="O112" s="255">
        <f t="shared" si="29"/>
        <v>19000000</v>
      </c>
      <c r="P112" s="255">
        <f t="shared" si="30"/>
        <v>1000000</v>
      </c>
      <c r="Q112" s="255"/>
      <c r="R112" s="255"/>
      <c r="S112" s="255">
        <f t="shared" si="31"/>
        <v>0</v>
      </c>
      <c r="T112" s="255">
        <f t="shared" si="32"/>
        <v>0</v>
      </c>
      <c r="U112" s="255">
        <f t="shared" si="33"/>
        <v>0</v>
      </c>
      <c r="V112" s="255">
        <f t="shared" si="34"/>
        <v>0</v>
      </c>
      <c r="W112" s="255"/>
      <c r="X112" s="255"/>
      <c r="Y112" s="255">
        <f t="shared" si="24"/>
        <v>0</v>
      </c>
      <c r="Z112" s="254"/>
      <c r="AA112" s="428"/>
      <c r="AB112" s="254">
        <v>742000</v>
      </c>
      <c r="AE112" s="425"/>
      <c r="AF112" s="258"/>
      <c r="AG112" s="266"/>
      <c r="AH112" s="266"/>
      <c r="AI112" s="266"/>
      <c r="AO112" s="248"/>
    </row>
    <row r="113" spans="1:41" ht="56">
      <c r="A113" s="254">
        <f t="shared" si="25"/>
        <v>104</v>
      </c>
      <c r="B113" s="427">
        <v>1963</v>
      </c>
      <c r="C113" s="254" t="s">
        <v>1081</v>
      </c>
      <c r="D113" s="255">
        <v>2800000</v>
      </c>
      <c r="E113" s="255">
        <v>2800000</v>
      </c>
      <c r="F113" s="255">
        <f t="shared" si="23"/>
        <v>0</v>
      </c>
      <c r="G113" s="255">
        <v>309655</v>
      </c>
      <c r="H113" s="255">
        <v>0</v>
      </c>
      <c r="I113" s="255"/>
      <c r="J113" s="255"/>
      <c r="K113" s="255">
        <f t="shared" si="26"/>
        <v>0</v>
      </c>
      <c r="L113" s="255">
        <f t="shared" si="27"/>
        <v>0</v>
      </c>
      <c r="M113" s="255">
        <f>P113+S113-309655</f>
        <v>0</v>
      </c>
      <c r="N113" s="255"/>
      <c r="O113" s="255">
        <f t="shared" si="29"/>
        <v>2800000</v>
      </c>
      <c r="P113" s="255">
        <f t="shared" si="30"/>
        <v>309655</v>
      </c>
      <c r="Q113" s="423">
        <f>2490345-2490345</f>
        <v>0</v>
      </c>
      <c r="R113" s="255"/>
      <c r="S113" s="255">
        <f t="shared" si="31"/>
        <v>0</v>
      </c>
      <c r="T113" s="255">
        <f t="shared" si="32"/>
        <v>309655</v>
      </c>
      <c r="U113" s="255">
        <f t="shared" si="33"/>
        <v>-309655</v>
      </c>
      <c r="V113" s="255">
        <f t="shared" si="34"/>
        <v>0</v>
      </c>
      <c r="W113" s="255"/>
      <c r="X113" s="255"/>
      <c r="Y113" s="255">
        <f t="shared" si="24"/>
        <v>-309655</v>
      </c>
      <c r="Z113" s="254"/>
      <c r="AA113" s="254"/>
      <c r="AB113" s="254">
        <v>742000</v>
      </c>
      <c r="AE113" s="425"/>
      <c r="AF113" s="258"/>
      <c r="AG113" s="266"/>
      <c r="AH113" s="266"/>
      <c r="AI113" s="266"/>
    </row>
    <row r="114" spans="1:41" ht="35.15" customHeight="1">
      <c r="A114" s="254">
        <f t="shared" si="25"/>
        <v>105</v>
      </c>
      <c r="B114" s="254">
        <v>1965</v>
      </c>
      <c r="C114" s="254" t="s">
        <v>737</v>
      </c>
      <c r="D114" s="255">
        <v>35000000</v>
      </c>
      <c r="E114" s="255">
        <v>35000000</v>
      </c>
      <c r="F114" s="255">
        <f t="shared" si="23"/>
        <v>0</v>
      </c>
      <c r="G114" s="255">
        <v>100000</v>
      </c>
      <c r="H114" s="255">
        <v>0</v>
      </c>
      <c r="I114" s="255"/>
      <c r="J114" s="255"/>
      <c r="K114" s="255">
        <f t="shared" si="26"/>
        <v>0</v>
      </c>
      <c r="L114" s="255">
        <f t="shared" si="27"/>
        <v>0</v>
      </c>
      <c r="M114" s="255">
        <f t="shared" si="28"/>
        <v>100000</v>
      </c>
      <c r="N114" s="255"/>
      <c r="O114" s="255">
        <f t="shared" si="29"/>
        <v>34900000</v>
      </c>
      <c r="P114" s="255">
        <f t="shared" si="30"/>
        <v>100000</v>
      </c>
      <c r="Q114" s="255"/>
      <c r="R114" s="255"/>
      <c r="S114" s="255">
        <f t="shared" si="31"/>
        <v>0</v>
      </c>
      <c r="T114" s="255">
        <f t="shared" si="32"/>
        <v>0</v>
      </c>
      <c r="U114" s="255">
        <f t="shared" si="33"/>
        <v>0</v>
      </c>
      <c r="V114" s="255">
        <f t="shared" si="34"/>
        <v>0</v>
      </c>
      <c r="W114" s="255"/>
      <c r="X114" s="255"/>
      <c r="Y114" s="255">
        <f t="shared" si="24"/>
        <v>0</v>
      </c>
      <c r="Z114" s="254"/>
      <c r="AA114" s="428"/>
      <c r="AB114" s="254">
        <v>810000</v>
      </c>
      <c r="AE114" s="425"/>
      <c r="AF114" s="258"/>
      <c r="AG114" s="266"/>
      <c r="AH114" s="266"/>
      <c r="AI114" s="266"/>
      <c r="AO114" s="248"/>
    </row>
    <row r="115" spans="1:41" s="433" customFormat="1" ht="35.15" customHeight="1">
      <c r="A115" s="260"/>
      <c r="B115" s="431"/>
      <c r="C115" s="260" t="s">
        <v>738</v>
      </c>
      <c r="D115" s="262">
        <f t="shared" ref="D115:Z115" si="35">SUM(D96:D114)</f>
        <v>994666000</v>
      </c>
      <c r="E115" s="262">
        <f t="shared" si="35"/>
        <v>671616000</v>
      </c>
      <c r="F115" s="262">
        <f t="shared" si="35"/>
        <v>323050000</v>
      </c>
      <c r="G115" s="262">
        <f t="shared" si="35"/>
        <v>218490235</v>
      </c>
      <c r="H115" s="262">
        <f t="shared" si="35"/>
        <v>125028434</v>
      </c>
      <c r="I115" s="262">
        <f t="shared" si="35"/>
        <v>1052805.8700000001</v>
      </c>
      <c r="J115" s="262">
        <f t="shared" si="35"/>
        <v>22854749.709999997</v>
      </c>
      <c r="K115" s="262">
        <f t="shared" si="35"/>
        <v>23907555.580000002</v>
      </c>
      <c r="L115" s="262">
        <f t="shared" si="35"/>
        <v>148935989.58000001</v>
      </c>
      <c r="M115" s="262">
        <f t="shared" si="35"/>
        <v>86640259.420000002</v>
      </c>
      <c r="N115" s="262">
        <f t="shared" si="35"/>
        <v>107219925</v>
      </c>
      <c r="O115" s="262">
        <f t="shared" si="35"/>
        <v>651869826</v>
      </c>
      <c r="P115" s="262">
        <f t="shared" si="35"/>
        <v>69554245.419999987</v>
      </c>
      <c r="Q115" s="262">
        <f t="shared" si="35"/>
        <v>19945669</v>
      </c>
      <c r="R115" s="262">
        <f t="shared" si="35"/>
        <v>0</v>
      </c>
      <c r="S115" s="262">
        <f t="shared" si="35"/>
        <v>19945669</v>
      </c>
      <c r="T115" s="262">
        <f t="shared" si="35"/>
        <v>2859655</v>
      </c>
      <c r="U115" s="262">
        <f t="shared" si="35"/>
        <v>104360270</v>
      </c>
      <c r="V115" s="262">
        <f t="shared" si="35"/>
        <v>0</v>
      </c>
      <c r="W115" s="262">
        <f>SUM(W96:W114)</f>
        <v>0</v>
      </c>
      <c r="X115" s="262">
        <f>SUM(X96:X114)</f>
        <v>0</v>
      </c>
      <c r="Y115" s="262">
        <f t="shared" si="35"/>
        <v>34722657</v>
      </c>
      <c r="Z115" s="262">
        <f t="shared" si="35"/>
        <v>69637613</v>
      </c>
      <c r="AA115" s="250"/>
      <c r="AB115" s="260"/>
      <c r="AC115" s="420"/>
      <c r="AD115" s="274"/>
      <c r="AE115" s="420"/>
      <c r="AF115" s="258"/>
      <c r="AG115" s="432"/>
      <c r="AH115" s="432"/>
      <c r="AI115" s="432"/>
      <c r="AJ115" s="416"/>
      <c r="AK115" s="416"/>
      <c r="AL115" s="416"/>
    </row>
    <row r="116" spans="1:41" s="433" customFormat="1" ht="35.15" customHeight="1">
      <c r="A116" s="260"/>
      <c r="B116" s="431"/>
      <c r="C116" s="260"/>
      <c r="D116" s="262"/>
      <c r="E116" s="262"/>
      <c r="F116" s="262"/>
      <c r="G116" s="262"/>
      <c r="H116" s="262"/>
      <c r="I116" s="262"/>
      <c r="J116" s="262"/>
      <c r="K116" s="262"/>
      <c r="L116" s="262"/>
      <c r="M116" s="262"/>
      <c r="N116" s="262"/>
      <c r="O116" s="262"/>
      <c r="P116" s="262"/>
      <c r="Q116" s="262"/>
      <c r="R116" s="262"/>
      <c r="S116" s="262"/>
      <c r="T116" s="262"/>
      <c r="U116" s="262"/>
      <c r="V116" s="262"/>
      <c r="W116" s="262"/>
      <c r="X116" s="262"/>
      <c r="Y116" s="262"/>
      <c r="Z116" s="262"/>
      <c r="AA116" s="250"/>
      <c r="AB116" s="260"/>
      <c r="AC116" s="420"/>
      <c r="AD116" s="274"/>
      <c r="AE116" s="420"/>
      <c r="AF116" s="258"/>
      <c r="AG116" s="432"/>
      <c r="AH116" s="432"/>
      <c r="AI116" s="432"/>
      <c r="AJ116" s="416"/>
      <c r="AK116" s="416"/>
      <c r="AL116" s="416"/>
    </row>
    <row r="117" spans="1:41" s="433" customFormat="1" ht="35.15" customHeight="1">
      <c r="A117" s="262">
        <f>A114</f>
        <v>105</v>
      </c>
      <c r="B117" s="431"/>
      <c r="C117" s="270" t="s">
        <v>137</v>
      </c>
      <c r="D117" s="262">
        <f t="shared" ref="D117:Z117" si="36">D115+D93</f>
        <v>2499972125</v>
      </c>
      <c r="E117" s="262">
        <f t="shared" si="36"/>
        <v>2075031725</v>
      </c>
      <c r="F117" s="262">
        <f t="shared" si="36"/>
        <v>424940400</v>
      </c>
      <c r="G117" s="262">
        <f t="shared" si="36"/>
        <v>959889223</v>
      </c>
      <c r="H117" s="262">
        <f t="shared" si="36"/>
        <v>726844010.36000013</v>
      </c>
      <c r="I117" s="262">
        <f t="shared" si="36"/>
        <v>2023721.4800000002</v>
      </c>
      <c r="J117" s="262">
        <f t="shared" si="36"/>
        <v>103699919.32999998</v>
      </c>
      <c r="K117" s="262">
        <f t="shared" si="36"/>
        <v>105723640.80999999</v>
      </c>
      <c r="L117" s="262">
        <f t="shared" si="36"/>
        <v>832567651.1700002</v>
      </c>
      <c r="M117" s="262">
        <f t="shared" si="36"/>
        <v>260752517.82999992</v>
      </c>
      <c r="N117" s="262">
        <f t="shared" si="36"/>
        <v>320047335</v>
      </c>
      <c r="O117" s="262">
        <f t="shared" si="36"/>
        <v>1086604621</v>
      </c>
      <c r="P117" s="262">
        <f t="shared" si="36"/>
        <v>127321571.83</v>
      </c>
      <c r="Q117" s="262">
        <f t="shared" si="36"/>
        <v>137425601</v>
      </c>
      <c r="R117" s="262">
        <f t="shared" si="36"/>
        <v>6800000</v>
      </c>
      <c r="S117" s="262">
        <f t="shared" si="36"/>
        <v>144225601</v>
      </c>
      <c r="T117" s="262">
        <f t="shared" si="36"/>
        <v>10794655</v>
      </c>
      <c r="U117" s="262">
        <f t="shared" si="36"/>
        <v>309252680</v>
      </c>
      <c r="V117" s="262">
        <f t="shared" si="36"/>
        <v>193844870</v>
      </c>
      <c r="W117" s="262">
        <f t="shared" si="36"/>
        <v>2500000</v>
      </c>
      <c r="X117" s="262">
        <f t="shared" si="36"/>
        <v>0</v>
      </c>
      <c r="Y117" s="262">
        <f t="shared" si="36"/>
        <v>34722657</v>
      </c>
      <c r="Z117" s="262">
        <f t="shared" si="36"/>
        <v>78185153</v>
      </c>
      <c r="AA117" s="250"/>
      <c r="AB117" s="260"/>
      <c r="AC117" s="420"/>
      <c r="AD117" s="266"/>
      <c r="AE117" s="420"/>
      <c r="AF117" s="258"/>
      <c r="AG117" s="432"/>
      <c r="AH117" s="432"/>
      <c r="AI117" s="432"/>
      <c r="AJ117" s="416"/>
      <c r="AK117" s="416"/>
      <c r="AL117" s="416"/>
    </row>
    <row r="118" spans="1:41" hidden="1">
      <c r="B118" s="258"/>
      <c r="D118" s="274"/>
      <c r="E118" s="274"/>
      <c r="F118" s="274"/>
      <c r="G118" s="274"/>
      <c r="H118" s="274"/>
      <c r="I118" s="274"/>
      <c r="J118" s="274"/>
      <c r="K118" s="274"/>
      <c r="L118" s="24">
        <f>H117+K117</f>
        <v>832567651.17000008</v>
      </c>
      <c r="M118" s="24">
        <f>P117+S117-T117</f>
        <v>260752517.82999998</v>
      </c>
      <c r="N118" s="274"/>
      <c r="O118" s="274"/>
      <c r="P118" s="24">
        <f>G117-L117</f>
        <v>127321571.8299998</v>
      </c>
      <c r="Q118" s="274"/>
      <c r="R118" s="274"/>
      <c r="S118" s="274"/>
      <c r="U118" s="24">
        <f>N117-T117</f>
        <v>309252680</v>
      </c>
      <c r="V118" s="277"/>
      <c r="W118" s="277"/>
      <c r="X118" s="277"/>
      <c r="AA118" s="590"/>
      <c r="AB118" s="266"/>
      <c r="AF118" s="258"/>
    </row>
    <row r="119" spans="1:41">
      <c r="B119" s="258"/>
      <c r="C119" s="594"/>
      <c r="D119" s="274"/>
      <c r="E119" s="274"/>
      <c r="F119" s="274"/>
      <c r="G119" s="274"/>
      <c r="H119" s="274"/>
      <c r="I119" s="274"/>
      <c r="J119" s="274"/>
      <c r="K119" s="274"/>
      <c r="L119" s="274"/>
      <c r="M119" s="274"/>
      <c r="N119" s="274"/>
      <c r="O119" s="274"/>
      <c r="Q119" s="274"/>
      <c r="R119" s="274"/>
      <c r="S119" s="274"/>
      <c r="U119" s="266"/>
      <c r="V119" s="266"/>
      <c r="W119" s="266"/>
      <c r="X119" s="266"/>
      <c r="Y119" s="266"/>
      <c r="AB119" s="266"/>
      <c r="AF119" s="258"/>
    </row>
    <row r="120" spans="1:41">
      <c r="C120" s="594"/>
      <c r="D120" s="438"/>
      <c r="E120" s="438"/>
      <c r="F120" s="438"/>
      <c r="G120" s="438"/>
      <c r="H120" s="438"/>
      <c r="I120" s="438"/>
      <c r="J120" s="438"/>
      <c r="K120" s="438"/>
      <c r="L120" s="438"/>
      <c r="M120" s="438"/>
      <c r="N120" s="437"/>
      <c r="O120" s="437"/>
      <c r="P120" s="438"/>
      <c r="Q120" s="438"/>
      <c r="R120" s="438"/>
      <c r="S120" s="438"/>
      <c r="W120" s="248"/>
      <c r="X120" s="248"/>
      <c r="AF120" s="258"/>
    </row>
    <row r="121" spans="1:41">
      <c r="C121" s="594"/>
      <c r="D121" s="438"/>
      <c r="E121" s="438"/>
      <c r="F121" s="438"/>
      <c r="G121" s="438"/>
      <c r="H121" s="438"/>
      <c r="I121" s="438"/>
      <c r="J121" s="438"/>
      <c r="K121" s="438"/>
      <c r="L121" s="438"/>
      <c r="M121" s="438"/>
      <c r="N121" s="437"/>
      <c r="O121" s="437"/>
      <c r="P121" s="438"/>
      <c r="Q121" s="438"/>
      <c r="R121" s="438"/>
      <c r="S121" s="438"/>
      <c r="U121" s="248"/>
      <c r="AF121" s="258"/>
    </row>
    <row r="122" spans="1:41">
      <c r="C122" s="594"/>
      <c r="D122" s="438"/>
      <c r="E122" s="438"/>
      <c r="F122" s="438"/>
      <c r="G122" s="438"/>
      <c r="H122" s="438"/>
      <c r="I122" s="438"/>
      <c r="J122" s="438"/>
      <c r="K122" s="438"/>
      <c r="L122" s="438"/>
      <c r="M122" s="438"/>
      <c r="N122" s="437"/>
      <c r="O122" s="437"/>
      <c r="P122" s="438"/>
      <c r="Q122" s="438"/>
      <c r="R122" s="438"/>
      <c r="S122" s="438"/>
      <c r="AF122" s="258"/>
    </row>
    <row r="123" spans="1:41">
      <c r="C123" s="594"/>
      <c r="D123" s="438"/>
      <c r="E123" s="438"/>
      <c r="F123" s="438"/>
      <c r="G123" s="438"/>
      <c r="H123" s="438"/>
      <c r="I123" s="438"/>
      <c r="J123" s="438"/>
      <c r="K123" s="438"/>
      <c r="L123" s="438"/>
      <c r="M123" s="438"/>
      <c r="N123" s="438"/>
      <c r="O123" s="438"/>
      <c r="P123" s="438"/>
      <c r="Q123" s="438"/>
      <c r="R123" s="438"/>
      <c r="S123" s="438"/>
      <c r="AF123" s="258"/>
    </row>
    <row r="124" spans="1:41">
      <c r="C124" s="594"/>
      <c r="D124" s="438"/>
      <c r="E124" s="438"/>
      <c r="F124" s="438"/>
      <c r="G124" s="438"/>
      <c r="H124" s="438"/>
      <c r="I124" s="438"/>
      <c r="J124" s="438"/>
      <c r="K124" s="438"/>
      <c r="L124" s="438"/>
      <c r="M124" s="438"/>
      <c r="N124" s="438"/>
      <c r="O124" s="438"/>
      <c r="P124" s="438"/>
      <c r="Q124" s="438"/>
      <c r="R124" s="438"/>
      <c r="S124" s="438"/>
      <c r="AF124" s="258"/>
    </row>
    <row r="125" spans="1:41">
      <c r="C125" s="594"/>
      <c r="D125" s="438"/>
      <c r="E125" s="438"/>
      <c r="F125" s="438"/>
      <c r="G125" s="438"/>
      <c r="H125" s="438"/>
      <c r="I125" s="438"/>
      <c r="J125" s="438"/>
      <c r="K125" s="438"/>
      <c r="L125" s="438"/>
      <c r="M125" s="438"/>
      <c r="N125" s="438"/>
      <c r="O125" s="438"/>
      <c r="P125" s="438"/>
      <c r="Q125" s="438"/>
      <c r="R125" s="438"/>
      <c r="S125" s="438"/>
      <c r="AF125" s="258"/>
    </row>
    <row r="126" spans="1:41">
      <c r="C126" s="594"/>
      <c r="D126" s="438"/>
      <c r="E126" s="438"/>
      <c r="F126" s="438"/>
      <c r="G126" s="438"/>
      <c r="H126" s="438"/>
      <c r="I126" s="438"/>
      <c r="J126" s="438"/>
      <c r="K126" s="438"/>
      <c r="L126" s="438"/>
      <c r="M126" s="438"/>
      <c r="N126" s="438"/>
      <c r="O126" s="438"/>
      <c r="P126" s="438"/>
      <c r="Q126" s="438"/>
      <c r="R126" s="438"/>
      <c r="S126" s="438"/>
    </row>
    <row r="127" spans="1:41">
      <c r="C127" s="594"/>
      <c r="D127" s="438"/>
      <c r="E127" s="438"/>
      <c r="F127" s="438"/>
      <c r="G127" s="438"/>
      <c r="H127" s="438"/>
      <c r="I127" s="438"/>
      <c r="J127" s="438"/>
      <c r="K127" s="438"/>
      <c r="L127" s="438"/>
      <c r="M127" s="438"/>
      <c r="N127" s="438"/>
      <c r="O127" s="438"/>
      <c r="P127" s="438"/>
      <c r="Q127" s="438"/>
      <c r="R127" s="438"/>
      <c r="S127" s="438"/>
      <c r="AG127" s="248"/>
    </row>
    <row r="128" spans="1:41">
      <c r="C128" s="594"/>
      <c r="D128" s="438"/>
      <c r="E128" s="438"/>
      <c r="F128" s="438"/>
      <c r="G128" s="438"/>
      <c r="H128" s="438"/>
      <c r="I128" s="438"/>
      <c r="J128" s="438"/>
      <c r="K128" s="438"/>
      <c r="L128" s="438"/>
      <c r="M128" s="438"/>
      <c r="N128" s="438"/>
      <c r="O128" s="438"/>
      <c r="P128" s="438"/>
      <c r="Q128" s="438"/>
      <c r="R128" s="438"/>
      <c r="S128" s="438"/>
    </row>
    <row r="129" spans="3:20">
      <c r="C129" s="594"/>
      <c r="D129" s="438"/>
      <c r="E129" s="438"/>
      <c r="F129" s="438"/>
      <c r="G129" s="438"/>
      <c r="H129" s="438"/>
      <c r="I129" s="438"/>
      <c r="J129" s="438"/>
      <c r="K129" s="438"/>
      <c r="L129" s="438"/>
      <c r="M129" s="438"/>
      <c r="N129" s="438"/>
      <c r="O129" s="438"/>
      <c r="P129" s="438"/>
      <c r="Q129" s="438"/>
      <c r="R129" s="438"/>
      <c r="S129" s="438"/>
    </row>
    <row r="130" spans="3:20">
      <c r="C130" s="594"/>
      <c r="D130" s="438"/>
      <c r="E130" s="438"/>
      <c r="F130" s="438"/>
      <c r="G130" s="438"/>
      <c r="H130" s="438"/>
      <c r="I130" s="438"/>
      <c r="J130" s="438"/>
      <c r="K130" s="438"/>
      <c r="L130" s="438"/>
      <c r="M130" s="438"/>
      <c r="N130" s="438"/>
      <c r="O130" s="438"/>
      <c r="P130" s="438"/>
      <c r="Q130" s="439"/>
      <c r="R130" s="438"/>
      <c r="S130" s="438"/>
    </row>
    <row r="131" spans="3:20">
      <c r="C131" s="594"/>
      <c r="D131" s="438"/>
      <c r="E131" s="438"/>
      <c r="F131" s="438"/>
      <c r="G131" s="438"/>
      <c r="H131" s="438"/>
      <c r="I131" s="438"/>
      <c r="J131" s="438"/>
      <c r="K131" s="438"/>
      <c r="L131" s="438"/>
      <c r="M131" s="438"/>
      <c r="N131" s="437"/>
      <c r="O131" s="437"/>
      <c r="P131" s="438"/>
      <c r="Q131" s="438"/>
      <c r="R131" s="438"/>
      <c r="S131" s="438"/>
    </row>
    <row r="132" spans="3:20">
      <c r="C132" s="594"/>
      <c r="D132" s="438"/>
      <c r="E132" s="438"/>
      <c r="F132" s="438"/>
      <c r="G132" s="438"/>
      <c r="H132" s="438"/>
      <c r="I132" s="438"/>
      <c r="J132" s="438"/>
      <c r="K132" s="438"/>
      <c r="L132" s="438"/>
      <c r="M132" s="438"/>
      <c r="N132" s="438"/>
      <c r="O132" s="438"/>
      <c r="P132" s="437"/>
      <c r="Q132" s="437"/>
      <c r="R132" s="438"/>
      <c r="S132" s="438"/>
    </row>
    <row r="133" spans="3:20">
      <c r="F133" s="438"/>
      <c r="G133" s="438"/>
      <c r="H133" s="438"/>
      <c r="I133" s="438"/>
      <c r="J133" s="438"/>
      <c r="K133" s="438"/>
      <c r="L133" s="438"/>
      <c r="M133" s="438"/>
      <c r="N133" s="438"/>
      <c r="O133" s="438"/>
      <c r="P133" s="437"/>
      <c r="Q133" s="437"/>
      <c r="R133" s="438"/>
      <c r="S133" s="438"/>
      <c r="T133" s="438"/>
    </row>
    <row r="134" spans="3:20">
      <c r="F134" s="438"/>
      <c r="G134" s="438"/>
      <c r="H134" s="438"/>
      <c r="I134" s="438"/>
      <c r="J134" s="438"/>
      <c r="K134" s="438"/>
      <c r="L134" s="438"/>
      <c r="M134" s="438"/>
      <c r="N134" s="438"/>
      <c r="O134" s="438"/>
      <c r="P134" s="438"/>
      <c r="Q134" s="438"/>
      <c r="R134" s="437"/>
      <c r="S134" s="438"/>
      <c r="T134" s="438"/>
    </row>
    <row r="135" spans="3:20">
      <c r="F135" s="438"/>
      <c r="G135" s="438"/>
      <c r="H135" s="438"/>
      <c r="I135" s="438"/>
      <c r="J135" s="438"/>
      <c r="K135" s="438"/>
      <c r="L135" s="438"/>
      <c r="M135" s="438"/>
      <c r="N135" s="438"/>
      <c r="O135" s="438"/>
      <c r="P135" s="438"/>
      <c r="Q135" s="438"/>
      <c r="R135" s="437"/>
      <c r="S135" s="438"/>
      <c r="T135" s="438"/>
    </row>
    <row r="136" spans="3:20">
      <c r="F136" s="438"/>
      <c r="G136" s="438"/>
      <c r="H136" s="438"/>
      <c r="I136" s="438"/>
      <c r="J136" s="438"/>
      <c r="K136" s="438"/>
      <c r="L136" s="438"/>
      <c r="M136" s="438"/>
      <c r="N136" s="438"/>
      <c r="O136" s="438"/>
      <c r="P136" s="438"/>
      <c r="Q136" s="438"/>
      <c r="R136" s="437"/>
      <c r="S136" s="438"/>
      <c r="T136" s="438"/>
    </row>
    <row r="137" spans="3:20">
      <c r="F137" s="438"/>
      <c r="G137" s="438"/>
      <c r="H137" s="438"/>
      <c r="I137" s="438"/>
      <c r="J137" s="438"/>
      <c r="K137" s="438"/>
      <c r="L137" s="438"/>
      <c r="M137" s="438"/>
      <c r="N137" s="438"/>
      <c r="O137" s="438"/>
      <c r="P137" s="438"/>
      <c r="Q137" s="438"/>
      <c r="R137" s="437"/>
      <c r="S137" s="438"/>
      <c r="T137" s="438"/>
    </row>
    <row r="138" spans="3:20">
      <c r="F138" s="438"/>
      <c r="G138" s="438"/>
      <c r="H138" s="438"/>
      <c r="I138" s="438"/>
      <c r="J138" s="438"/>
      <c r="K138" s="438"/>
      <c r="L138" s="438"/>
      <c r="M138" s="438"/>
      <c r="N138" s="438"/>
      <c r="O138" s="438"/>
      <c r="P138" s="438"/>
      <c r="Q138" s="438"/>
      <c r="R138" s="438"/>
      <c r="S138" s="438"/>
      <c r="T138" s="438"/>
    </row>
    <row r="139" spans="3:20">
      <c r="F139" s="438"/>
      <c r="G139" s="438"/>
      <c r="H139" s="438"/>
      <c r="I139" s="438"/>
      <c r="J139" s="438"/>
      <c r="K139" s="438"/>
      <c r="L139" s="438"/>
      <c r="M139" s="438"/>
      <c r="N139" s="438"/>
      <c r="O139" s="438"/>
      <c r="P139" s="438"/>
      <c r="Q139" s="438"/>
      <c r="R139" s="439"/>
      <c r="S139" s="438"/>
      <c r="T139" s="438"/>
    </row>
    <row r="140" spans="3:20">
      <c r="F140" s="438"/>
      <c r="G140" s="438"/>
      <c r="H140" s="438"/>
      <c r="I140" s="438"/>
      <c r="J140" s="438"/>
      <c r="K140" s="438"/>
      <c r="L140" s="438"/>
      <c r="M140" s="438"/>
      <c r="N140" s="438"/>
      <c r="O140" s="438"/>
      <c r="P140" s="438"/>
      <c r="Q140" s="438"/>
      <c r="R140" s="438"/>
      <c r="S140" s="438"/>
      <c r="T140" s="438"/>
    </row>
    <row r="141" spans="3:20">
      <c r="F141" s="438"/>
      <c r="G141" s="438"/>
      <c r="H141" s="438"/>
      <c r="I141" s="438"/>
      <c r="J141" s="438"/>
      <c r="K141" s="438"/>
      <c r="L141" s="438"/>
      <c r="M141" s="438"/>
      <c r="N141" s="438"/>
      <c r="O141" s="438"/>
      <c r="P141" s="438"/>
      <c r="Q141" s="438"/>
      <c r="R141" s="438"/>
      <c r="S141" s="438"/>
      <c r="T141" s="438"/>
    </row>
    <row r="142" spans="3:20">
      <c r="F142" s="438"/>
      <c r="G142" s="438"/>
      <c r="H142" s="438"/>
      <c r="I142" s="438"/>
      <c r="J142" s="438"/>
      <c r="K142" s="438"/>
      <c r="L142" s="438"/>
      <c r="M142" s="438"/>
      <c r="N142" s="438"/>
      <c r="O142" s="438"/>
      <c r="P142" s="438"/>
      <c r="Q142" s="438"/>
      <c r="R142" s="438"/>
      <c r="S142" s="438"/>
      <c r="T142" s="438"/>
    </row>
    <row r="143" spans="3:20">
      <c r="F143" s="438"/>
      <c r="G143" s="438"/>
      <c r="H143" s="438"/>
      <c r="I143" s="438"/>
      <c r="J143" s="438"/>
      <c r="K143" s="438"/>
      <c r="L143" s="438"/>
      <c r="M143" s="438"/>
      <c r="N143" s="438"/>
      <c r="O143" s="438"/>
      <c r="P143" s="438"/>
      <c r="Q143" s="261"/>
      <c r="R143" s="438"/>
      <c r="S143" s="438"/>
      <c r="T143" s="438"/>
    </row>
    <row r="144" spans="3:20">
      <c r="F144" s="438"/>
      <c r="G144" s="438"/>
      <c r="H144" s="438"/>
      <c r="I144" s="438"/>
      <c r="J144" s="438"/>
      <c r="K144" s="438"/>
      <c r="L144" s="438"/>
      <c r="M144" s="438"/>
      <c r="N144" s="438"/>
      <c r="O144" s="438"/>
      <c r="P144" s="438"/>
      <c r="Q144" s="438"/>
      <c r="R144" s="438"/>
      <c r="S144" s="438"/>
      <c r="T144" s="438"/>
    </row>
    <row r="145" spans="6:20">
      <c r="F145" s="438"/>
      <c r="G145" s="438"/>
      <c r="H145" s="438"/>
      <c r="I145" s="438"/>
      <c r="J145" s="438"/>
      <c r="K145" s="438"/>
      <c r="L145" s="438"/>
      <c r="M145" s="438"/>
      <c r="N145" s="438"/>
      <c r="O145" s="438"/>
      <c r="P145" s="438"/>
      <c r="Q145" s="438"/>
      <c r="R145" s="438"/>
      <c r="S145" s="438"/>
      <c r="T145" s="438"/>
    </row>
    <row r="146" spans="6:20">
      <c r="F146" s="438"/>
      <c r="G146" s="438"/>
      <c r="H146" s="438"/>
      <c r="I146" s="438"/>
      <c r="J146" s="438"/>
      <c r="K146" s="438"/>
      <c r="L146" s="438"/>
      <c r="M146" s="438"/>
      <c r="N146" s="438"/>
      <c r="O146" s="438"/>
      <c r="P146" s="438"/>
      <c r="Q146" s="438"/>
      <c r="R146" s="438"/>
      <c r="S146" s="438"/>
      <c r="T146" s="438"/>
    </row>
    <row r="147" spans="6:20">
      <c r="F147" s="438"/>
      <c r="G147" s="438"/>
      <c r="H147" s="438"/>
      <c r="I147" s="438"/>
      <c r="J147" s="438"/>
      <c r="K147" s="438"/>
      <c r="L147" s="438"/>
      <c r="M147" s="438"/>
      <c r="N147" s="438"/>
      <c r="O147" s="438"/>
      <c r="P147" s="438"/>
      <c r="Q147" s="438"/>
      <c r="R147" s="261"/>
      <c r="S147" s="438"/>
      <c r="T147" s="438"/>
    </row>
    <row r="148" spans="6:20">
      <c r="F148" s="438"/>
      <c r="G148" s="438"/>
      <c r="H148" s="438"/>
      <c r="I148" s="438"/>
      <c r="J148" s="438"/>
      <c r="K148" s="438"/>
      <c r="L148" s="438"/>
      <c r="M148" s="438"/>
      <c r="N148" s="438"/>
      <c r="O148" s="438"/>
      <c r="P148" s="438"/>
      <c r="Q148" s="438"/>
      <c r="R148" s="438"/>
      <c r="S148" s="438"/>
      <c r="T148" s="438"/>
    </row>
    <row r="149" spans="6:20">
      <c r="F149" s="438"/>
      <c r="G149" s="438"/>
      <c r="H149" s="438"/>
      <c r="I149" s="438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</row>
    <row r="150" spans="6:20">
      <c r="F150" s="438"/>
      <c r="G150" s="438"/>
      <c r="H150" s="438"/>
      <c r="I150" s="438"/>
      <c r="J150" s="438"/>
      <c r="K150" s="438"/>
      <c r="L150" s="438"/>
      <c r="M150" s="438"/>
      <c r="N150" s="438"/>
      <c r="O150" s="438"/>
      <c r="P150" s="438"/>
      <c r="Q150" s="438"/>
      <c r="R150" s="438"/>
      <c r="S150" s="438"/>
      <c r="T150" s="438"/>
    </row>
    <row r="151" spans="6:20">
      <c r="F151" s="438"/>
      <c r="G151" s="438"/>
      <c r="H151" s="438"/>
      <c r="I151" s="438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</row>
  </sheetData>
  <sheetProtection formatCells="0" formatColumns="0" formatRows="0" insertColumns="0" insertRows="0" insertHyperlinks="0" deleteColumns="0" deleteRows="0" sort="0" autoFilter="0" pivotTables="0"/>
  <conditionalFormatting sqref="AA5">
    <cfRule type="cellIs" dxfId="284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6"/>
  <sheetViews>
    <sheetView rightToLeft="1" topLeftCell="A7" zoomScaleNormal="100" workbookViewId="0">
      <selection activeCell="T20" sqref="T20"/>
    </sheetView>
  </sheetViews>
  <sheetFormatPr defaultColWidth="9.1796875" defaultRowHeight="14"/>
  <cols>
    <col min="1" max="3" width="4.1796875" style="353" customWidth="1"/>
    <col min="4" max="4" width="38.81640625" style="353" customWidth="1"/>
    <col min="5" max="5" width="30.453125" style="353" customWidth="1"/>
    <col min="6" max="6" width="10.81640625" style="353" customWidth="1"/>
    <col min="7" max="7" width="5.54296875" style="353" customWidth="1"/>
    <col min="8" max="9" width="12.1796875" style="353" customWidth="1"/>
    <col min="10" max="10" width="7.81640625" style="353" customWidth="1"/>
    <col min="11" max="16384" width="9.1796875" style="353"/>
  </cols>
  <sheetData>
    <row r="2" spans="1:17" ht="20.5">
      <c r="E2" s="354"/>
    </row>
    <row r="3" spans="1:17" ht="20.5">
      <c r="A3" s="352"/>
      <c r="C3" s="354" t="s">
        <v>356</v>
      </c>
      <c r="D3" s="352"/>
      <c r="E3" s="352"/>
      <c r="F3" s="352"/>
      <c r="G3" s="352"/>
      <c r="H3" s="352"/>
      <c r="I3" s="352"/>
      <c r="J3" s="352"/>
      <c r="K3" s="352"/>
      <c r="L3" s="352"/>
    </row>
    <row r="4" spans="1:17" ht="21" thickBot="1">
      <c r="A4" s="352"/>
      <c r="C4" s="354"/>
      <c r="D4" s="352"/>
      <c r="E4" s="352"/>
      <c r="F4" s="352"/>
      <c r="G4" s="352"/>
      <c r="H4" s="352"/>
      <c r="I4" s="352"/>
      <c r="J4" s="352"/>
      <c r="K4" s="352"/>
      <c r="L4" s="352"/>
    </row>
    <row r="5" spans="1:17" ht="16" thickBot="1">
      <c r="A5" s="352"/>
      <c r="B5" s="355" t="s">
        <v>344</v>
      </c>
      <c r="C5" s="352" t="s">
        <v>1205</v>
      </c>
      <c r="D5" s="352"/>
      <c r="E5" s="352"/>
      <c r="F5" s="356">
        <f>'תקציב אגף ת.ב.ל 2019'!U70</f>
        <v>49451300</v>
      </c>
      <c r="I5" s="352"/>
      <c r="J5" s="352"/>
      <c r="K5" s="352"/>
      <c r="L5" s="352"/>
    </row>
    <row r="6" spans="1:17" ht="15" customHeight="1" thickBot="1">
      <c r="A6" s="352"/>
      <c r="C6" s="354"/>
      <c r="D6" s="352"/>
      <c r="E6" s="352"/>
      <c r="F6" s="352"/>
      <c r="H6" s="352"/>
      <c r="I6" s="352"/>
      <c r="J6" s="352"/>
      <c r="K6" s="352"/>
      <c r="L6" s="352"/>
    </row>
    <row r="7" spans="1:17" ht="16" thickBot="1">
      <c r="B7" s="355" t="s">
        <v>344</v>
      </c>
      <c r="C7" s="352" t="s">
        <v>557</v>
      </c>
      <c r="D7" s="352"/>
      <c r="F7" s="364">
        <f>'תקציב אגף ת.ב.ל 2019'!A70</f>
        <v>64</v>
      </c>
      <c r="I7" s="352"/>
      <c r="J7" s="352"/>
      <c r="K7" s="352"/>
      <c r="L7" s="352"/>
      <c r="M7" s="352"/>
      <c r="N7" s="352"/>
      <c r="O7" s="352"/>
      <c r="P7" s="352"/>
      <c r="Q7" s="352"/>
    </row>
    <row r="8" spans="1:17" ht="15.5">
      <c r="B8" s="355"/>
      <c r="C8" s="352"/>
      <c r="D8" s="352"/>
      <c r="E8" s="352"/>
      <c r="F8" s="352"/>
      <c r="H8" s="352"/>
      <c r="I8" s="352"/>
      <c r="J8" s="352"/>
      <c r="K8" s="352"/>
      <c r="L8" s="352"/>
      <c r="M8" s="352"/>
      <c r="N8" s="352"/>
      <c r="O8" s="352"/>
      <c r="P8" s="352"/>
      <c r="Q8" s="352"/>
    </row>
    <row r="9" spans="1:17" ht="15.5">
      <c r="B9" s="355" t="s">
        <v>344</v>
      </c>
      <c r="C9" s="352" t="s">
        <v>547</v>
      </c>
      <c r="D9" s="352"/>
      <c r="E9" s="352"/>
      <c r="F9" s="352"/>
      <c r="G9" s="352"/>
      <c r="H9" s="352"/>
      <c r="I9" s="352"/>
      <c r="J9" s="352"/>
      <c r="K9" s="352"/>
      <c r="L9" s="352"/>
    </row>
    <row r="10" spans="1:17" ht="16" thickBot="1">
      <c r="B10" s="352"/>
      <c r="C10" s="352"/>
      <c r="D10" s="352"/>
      <c r="E10" s="352"/>
      <c r="F10" s="352"/>
      <c r="G10" s="352"/>
      <c r="H10" s="352"/>
      <c r="I10" s="352"/>
      <c r="J10" s="352"/>
      <c r="K10" s="352"/>
      <c r="L10" s="352"/>
      <c r="M10" s="352"/>
      <c r="N10" s="352"/>
      <c r="O10" s="352"/>
      <c r="P10" s="352"/>
      <c r="Q10" s="352"/>
    </row>
    <row r="11" spans="1:17" ht="15.5">
      <c r="D11" s="365" t="s">
        <v>548</v>
      </c>
      <c r="E11" s="366" t="s">
        <v>549</v>
      </c>
      <c r="F11" s="367" t="s">
        <v>551</v>
      </c>
      <c r="G11" s="352"/>
      <c r="H11" s="352"/>
      <c r="I11" s="352"/>
      <c r="J11" s="352"/>
      <c r="K11" s="352"/>
      <c r="L11" s="352"/>
      <c r="M11" s="352"/>
      <c r="N11" s="352"/>
      <c r="O11" s="352"/>
      <c r="P11" s="352"/>
      <c r="Q11" s="352"/>
    </row>
    <row r="12" spans="1:17" ht="15.5">
      <c r="C12" s="355"/>
      <c r="D12" s="359" t="s">
        <v>13</v>
      </c>
      <c r="E12" s="368">
        <f>'תקציב אגף ת.ב.ל 2019'!V70</f>
        <v>25230000</v>
      </c>
      <c r="F12" s="401">
        <f>E12/$E$15</f>
        <v>0.51019892298079117</v>
      </c>
      <c r="G12" s="352"/>
      <c r="H12" s="352"/>
      <c r="I12" s="352"/>
      <c r="J12" s="352"/>
      <c r="K12" s="352"/>
      <c r="L12" s="352"/>
      <c r="M12" s="352"/>
      <c r="N12" s="352"/>
      <c r="O12" s="352"/>
      <c r="P12" s="352"/>
      <c r="Q12" s="352"/>
    </row>
    <row r="13" spans="1:17" ht="15.5">
      <c r="C13" s="355"/>
      <c r="D13" s="359" t="s">
        <v>14</v>
      </c>
      <c r="E13" s="368">
        <f>'תקציב אגף ת.ב.ל 2019'!W70</f>
        <v>15000000</v>
      </c>
      <c r="F13" s="401">
        <f>E13/$E$15</f>
        <v>0.30332872947728373</v>
      </c>
      <c r="G13" s="352"/>
      <c r="H13" s="352"/>
      <c r="I13" s="352"/>
      <c r="J13" s="352"/>
      <c r="K13" s="352"/>
      <c r="L13" s="352"/>
      <c r="M13" s="352"/>
      <c r="N13" s="352"/>
      <c r="O13" s="352"/>
      <c r="P13" s="352"/>
      <c r="Q13" s="352"/>
    </row>
    <row r="14" spans="1:17" ht="15.5">
      <c r="C14" s="355"/>
      <c r="D14" s="359" t="s">
        <v>140</v>
      </c>
      <c r="E14" s="368">
        <f>'תקציב אגף ת.ב.ל 2019'!Z70</f>
        <v>9221300</v>
      </c>
      <c r="F14" s="401">
        <f>E14/$E$15</f>
        <v>0.1864723475419251</v>
      </c>
      <c r="G14" s="352"/>
      <c r="H14" s="352"/>
      <c r="I14" s="352"/>
      <c r="J14" s="352"/>
      <c r="K14" s="352"/>
      <c r="L14" s="352"/>
      <c r="M14" s="352"/>
      <c r="N14" s="352"/>
      <c r="O14" s="352"/>
      <c r="P14" s="352"/>
      <c r="Q14" s="352"/>
    </row>
    <row r="15" spans="1:17" ht="16" thickBot="1">
      <c r="C15" s="355"/>
      <c r="D15" s="362" t="s">
        <v>160</v>
      </c>
      <c r="E15" s="370">
        <f>SUM(E12:E14)</f>
        <v>49451300</v>
      </c>
      <c r="F15" s="653">
        <f>SUM(F12:F14)</f>
        <v>1</v>
      </c>
      <c r="G15" s="352"/>
      <c r="H15" s="352"/>
      <c r="I15" s="352"/>
      <c r="J15" s="352"/>
      <c r="K15" s="352"/>
      <c r="L15" s="352"/>
      <c r="M15" s="352"/>
      <c r="N15" s="352"/>
      <c r="O15" s="352"/>
      <c r="P15" s="352"/>
      <c r="Q15" s="352"/>
    </row>
    <row r="16" spans="1:17" ht="15.5">
      <c r="B16" s="355"/>
      <c r="C16" s="352"/>
      <c r="D16" s="352"/>
      <c r="E16" s="352"/>
      <c r="F16" s="352"/>
      <c r="G16" s="352"/>
      <c r="H16" s="352"/>
      <c r="I16" s="352"/>
      <c r="J16" s="352"/>
      <c r="K16" s="352"/>
      <c r="L16" s="352"/>
      <c r="M16" s="352"/>
      <c r="N16" s="352"/>
      <c r="O16" s="352"/>
      <c r="P16" s="352"/>
      <c r="Q16" s="352"/>
    </row>
    <row r="17" spans="1:17" ht="15.5">
      <c r="C17" s="355"/>
      <c r="D17" s="352"/>
      <c r="E17" s="352"/>
      <c r="F17" s="352"/>
      <c r="G17" s="352"/>
      <c r="H17" s="352"/>
      <c r="I17" s="352"/>
      <c r="J17" s="352"/>
      <c r="K17" s="352"/>
      <c r="L17" s="352"/>
      <c r="M17" s="352"/>
      <c r="N17" s="352"/>
      <c r="O17" s="352"/>
      <c r="P17" s="352"/>
      <c r="Q17" s="352"/>
    </row>
    <row r="18" spans="1:17" s="628" customFormat="1" ht="15.5">
      <c r="C18" s="630" t="s">
        <v>344</v>
      </c>
      <c r="D18" s="627" t="s">
        <v>1478</v>
      </c>
      <c r="E18" s="627"/>
      <c r="F18" s="627"/>
      <c r="G18" s="627"/>
      <c r="H18" s="627"/>
      <c r="I18" s="627"/>
      <c r="J18" s="627"/>
      <c r="K18" s="627"/>
      <c r="L18" s="627"/>
      <c r="M18" s="627"/>
      <c r="N18" s="627"/>
      <c r="O18" s="627"/>
      <c r="P18" s="627"/>
      <c r="Q18" s="627"/>
    </row>
    <row r="19" spans="1:17" s="628" customFormat="1" ht="15.5">
      <c r="A19" s="627"/>
      <c r="B19" s="627"/>
      <c r="C19" s="627"/>
      <c r="D19" s="627"/>
      <c r="E19" s="627"/>
      <c r="F19" s="627"/>
      <c r="G19" s="627"/>
      <c r="H19" s="627"/>
      <c r="I19" s="627"/>
      <c r="J19" s="627"/>
      <c r="K19" s="627"/>
      <c r="L19" s="627"/>
      <c r="M19" s="627"/>
      <c r="N19" s="627"/>
      <c r="O19" s="627"/>
      <c r="P19" s="627"/>
      <c r="Q19" s="627"/>
    </row>
    <row r="20" spans="1:17" s="628" customFormat="1" ht="15.5">
      <c r="A20" s="627"/>
      <c r="B20" s="627"/>
      <c r="C20" s="627"/>
      <c r="D20" s="627" t="s">
        <v>1231</v>
      </c>
      <c r="E20" s="627"/>
      <c r="F20" s="627"/>
      <c r="G20" s="627"/>
      <c r="H20" s="627"/>
      <c r="I20" s="627"/>
      <c r="J20" s="627"/>
      <c r="K20" s="627"/>
      <c r="L20" s="627"/>
      <c r="M20" s="627"/>
      <c r="N20" s="627"/>
      <c r="O20" s="627"/>
      <c r="P20" s="627"/>
      <c r="Q20" s="627"/>
    </row>
    <row r="21" spans="1:17" ht="15.5">
      <c r="A21" s="363"/>
      <c r="B21" s="378"/>
    </row>
    <row r="22" spans="1:17" ht="15.5">
      <c r="A22" s="352"/>
      <c r="B22" s="352"/>
      <c r="C22" s="352"/>
      <c r="D22" s="352"/>
      <c r="E22" s="352"/>
      <c r="F22" s="352"/>
      <c r="G22" s="352"/>
      <c r="H22" s="352"/>
      <c r="I22" s="352"/>
      <c r="J22" s="352"/>
      <c r="K22" s="352"/>
      <c r="L22" s="352"/>
      <c r="M22" s="352"/>
      <c r="N22" s="352"/>
      <c r="O22" s="352"/>
      <c r="P22" s="352"/>
      <c r="Q22" s="352"/>
    </row>
    <row r="23" spans="1:17" s="685" customFormat="1" ht="15.5">
      <c r="C23" s="686" t="s">
        <v>344</v>
      </c>
      <c r="D23" s="687" t="s">
        <v>1449</v>
      </c>
      <c r="E23" s="687"/>
      <c r="F23" s="687"/>
      <c r="G23" s="687"/>
      <c r="H23" s="687"/>
      <c r="I23" s="687"/>
      <c r="J23" s="687"/>
      <c r="K23" s="687"/>
      <c r="L23" s="687"/>
      <c r="M23" s="687"/>
      <c r="N23" s="687"/>
      <c r="O23" s="687"/>
      <c r="P23" s="687"/>
      <c r="Q23" s="687"/>
    </row>
    <row r="24" spans="1:17" ht="15.5">
      <c r="A24" s="352"/>
      <c r="B24" s="352"/>
      <c r="C24" s="352"/>
      <c r="D24" s="352"/>
      <c r="E24" s="352"/>
      <c r="F24" s="352"/>
      <c r="G24" s="352"/>
      <c r="H24" s="352"/>
      <c r="I24" s="352"/>
      <c r="J24" s="352"/>
      <c r="K24" s="352"/>
      <c r="L24" s="352"/>
      <c r="M24" s="352"/>
      <c r="N24" s="352"/>
      <c r="O24" s="352"/>
      <c r="P24" s="352"/>
      <c r="Q24" s="352"/>
    </row>
    <row r="25" spans="1:17" ht="15.5">
      <c r="C25" s="352"/>
      <c r="D25" s="352"/>
      <c r="E25" s="352"/>
      <c r="F25" s="352"/>
      <c r="H25" s="352"/>
      <c r="I25" s="352"/>
      <c r="J25" s="352"/>
      <c r="K25" s="352"/>
      <c r="L25" s="352"/>
    </row>
    <row r="26" spans="1:17" ht="15.5">
      <c r="B26" s="355"/>
      <c r="C26" s="352"/>
      <c r="D26" s="352"/>
      <c r="E26" s="352"/>
      <c r="F26" s="352"/>
      <c r="G26" s="352"/>
      <c r="H26" s="352"/>
      <c r="I26" s="352"/>
      <c r="J26" s="352"/>
      <c r="K26" s="352"/>
      <c r="L26" s="352"/>
      <c r="M26" s="352"/>
      <c r="N26" s="352"/>
      <c r="O26" s="352"/>
      <c r="P26" s="352"/>
      <c r="Q26" s="352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3"/>
  <sheetViews>
    <sheetView rightToLeft="1" zoomScaleNormal="100" workbookViewId="0">
      <selection activeCell="T20" sqref="T20"/>
    </sheetView>
  </sheetViews>
  <sheetFormatPr defaultColWidth="9.1796875" defaultRowHeight="14"/>
  <cols>
    <col min="1" max="3" width="4.1796875" style="353" customWidth="1"/>
    <col min="4" max="4" width="38.81640625" style="353" customWidth="1"/>
    <col min="5" max="5" width="30.453125" style="353" customWidth="1"/>
    <col min="6" max="6" width="10.81640625" style="353" customWidth="1"/>
    <col min="7" max="7" width="5.54296875" style="353" customWidth="1"/>
    <col min="8" max="9" width="12.1796875" style="353" customWidth="1"/>
    <col min="10" max="10" width="7.81640625" style="353" customWidth="1"/>
    <col min="11" max="16384" width="9.1796875" style="353"/>
  </cols>
  <sheetData>
    <row r="2" spans="1:17" ht="20.5">
      <c r="E2" s="354"/>
    </row>
    <row r="3" spans="1:17" ht="20.5">
      <c r="A3" s="352"/>
      <c r="C3" s="354" t="s">
        <v>356</v>
      </c>
      <c r="D3" s="352"/>
      <c r="E3" s="352"/>
      <c r="F3" s="352"/>
      <c r="G3" s="352"/>
      <c r="H3" s="352"/>
      <c r="I3" s="352"/>
      <c r="J3" s="352"/>
      <c r="K3" s="352"/>
      <c r="L3" s="352"/>
    </row>
    <row r="4" spans="1:17" ht="20.5">
      <c r="A4" s="352"/>
      <c r="C4" s="354"/>
      <c r="D4" s="352"/>
      <c r="E4" s="352"/>
      <c r="F4" s="352"/>
      <c r="G4" s="352"/>
      <c r="H4" s="352"/>
      <c r="I4" s="352"/>
      <c r="J4" s="352"/>
      <c r="K4" s="352"/>
      <c r="L4" s="352"/>
    </row>
    <row r="5" spans="1:17" ht="15.5">
      <c r="B5" s="355" t="s">
        <v>344</v>
      </c>
      <c r="C5" s="352" t="s">
        <v>1200</v>
      </c>
      <c r="D5" s="352"/>
      <c r="E5" s="352"/>
      <c r="F5" s="352"/>
      <c r="H5" s="361"/>
      <c r="I5" s="352"/>
      <c r="J5" s="352"/>
      <c r="K5" s="352"/>
      <c r="L5" s="352"/>
      <c r="M5" s="352"/>
      <c r="N5" s="352"/>
      <c r="O5" s="352"/>
      <c r="P5" s="352"/>
      <c r="Q5" s="352"/>
    </row>
    <row r="6" spans="1:17" ht="16" thickBot="1">
      <c r="C6" s="352"/>
      <c r="D6" s="352"/>
      <c r="E6" s="352"/>
      <c r="F6" s="352"/>
      <c r="H6" s="352"/>
      <c r="I6" s="352"/>
      <c r="J6" s="352"/>
      <c r="K6" s="352"/>
      <c r="L6" s="352"/>
    </row>
    <row r="7" spans="1:17" ht="15.5">
      <c r="D7" s="365" t="s">
        <v>552</v>
      </c>
      <c r="E7" s="357" t="s">
        <v>549</v>
      </c>
      <c r="F7" s="358"/>
      <c r="G7" s="352"/>
      <c r="H7" s="352"/>
      <c r="I7" s="352"/>
      <c r="J7" s="352"/>
      <c r="K7" s="352"/>
      <c r="L7" s="352"/>
      <c r="M7" s="352"/>
      <c r="N7" s="352"/>
      <c r="O7" s="352"/>
      <c r="P7" s="352"/>
      <c r="Q7" s="352"/>
    </row>
    <row r="8" spans="1:17" ht="15.5">
      <c r="C8" s="355"/>
      <c r="D8" s="706" t="s">
        <v>1225</v>
      </c>
      <c r="E8" s="360">
        <f>'תקציב אגף ת.ב.ל 2019'!U58</f>
        <v>9001300</v>
      </c>
      <c r="F8" s="361"/>
      <c r="G8" s="352"/>
      <c r="H8" s="352"/>
      <c r="I8" s="352"/>
      <c r="J8" s="352"/>
      <c r="K8" s="352"/>
      <c r="L8" s="352"/>
      <c r="M8" s="352"/>
      <c r="N8" s="352"/>
      <c r="O8" s="352"/>
      <c r="P8" s="352"/>
      <c r="Q8" s="352"/>
    </row>
    <row r="9" spans="1:17" ht="15.5">
      <c r="C9" s="355"/>
      <c r="D9" s="359" t="s">
        <v>593</v>
      </c>
      <c r="E9" s="360">
        <f>'תקציב אגף ת.ב.ל 2019'!U45</f>
        <v>8000000</v>
      </c>
      <c r="F9" s="361"/>
      <c r="G9" s="352"/>
      <c r="H9" s="352"/>
      <c r="I9" s="352"/>
      <c r="J9" s="352"/>
      <c r="K9" s="352"/>
      <c r="L9" s="352"/>
      <c r="M9" s="352"/>
      <c r="N9" s="352"/>
      <c r="O9" s="352"/>
      <c r="P9" s="352"/>
      <c r="Q9" s="352"/>
    </row>
    <row r="10" spans="1:17" ht="15.5">
      <c r="C10" s="355"/>
      <c r="D10" s="372" t="s">
        <v>580</v>
      </c>
      <c r="E10" s="373">
        <f>'תקציב אגף ת.ב.ל 2019'!U62</f>
        <v>8000000</v>
      </c>
      <c r="F10" s="361"/>
      <c r="G10" s="352"/>
      <c r="H10" s="352"/>
      <c r="I10" s="352"/>
      <c r="J10" s="352"/>
      <c r="K10" s="352"/>
      <c r="L10" s="352"/>
      <c r="M10" s="352"/>
      <c r="N10" s="352"/>
      <c r="O10" s="352"/>
      <c r="P10" s="352"/>
      <c r="Q10" s="352"/>
    </row>
    <row r="11" spans="1:17" ht="15.5">
      <c r="C11" s="355"/>
      <c r="D11" s="377" t="s">
        <v>1450</v>
      </c>
      <c r="E11" s="373">
        <f>'תקציב אגף ת.ב.ל 2019'!U56</f>
        <v>6000000</v>
      </c>
      <c r="F11" s="361"/>
      <c r="G11" s="352"/>
      <c r="H11" s="352"/>
      <c r="I11" s="352"/>
      <c r="J11" s="352"/>
      <c r="K11" s="352"/>
      <c r="L11" s="352"/>
      <c r="M11" s="352"/>
      <c r="N11" s="352"/>
      <c r="O11" s="352"/>
      <c r="P11" s="352"/>
      <c r="Q11" s="352"/>
    </row>
    <row r="12" spans="1:17" ht="15.5">
      <c r="C12" s="355"/>
      <c r="D12" s="372" t="s">
        <v>1509</v>
      </c>
      <c r="E12" s="373">
        <f>'תקציב אגף ת.ב.ל 2019'!U22</f>
        <v>4000000</v>
      </c>
      <c r="F12" s="361"/>
      <c r="G12" s="352"/>
      <c r="H12" s="352"/>
      <c r="I12" s="352"/>
      <c r="J12" s="352"/>
      <c r="K12" s="352"/>
      <c r="L12" s="352"/>
      <c r="M12" s="352"/>
      <c r="N12" s="352"/>
      <c r="O12" s="352"/>
      <c r="P12" s="352"/>
      <c r="Q12" s="352"/>
    </row>
    <row r="13" spans="1:17" ht="16" thickBot="1">
      <c r="C13" s="355"/>
      <c r="D13" s="374" t="s">
        <v>1224</v>
      </c>
      <c r="E13" s="375">
        <f>'תקציב אגף ת.ב.ל 2019'!U53</f>
        <v>3380000</v>
      </c>
      <c r="F13" s="361"/>
      <c r="G13" s="352"/>
      <c r="H13" s="352"/>
      <c r="I13" s="352"/>
      <c r="J13" s="352"/>
      <c r="K13" s="352"/>
      <c r="L13" s="352"/>
      <c r="M13" s="352"/>
      <c r="N13" s="352"/>
      <c r="O13" s="352"/>
      <c r="P13" s="352"/>
      <c r="Q13" s="352"/>
    </row>
    <row r="14" spans="1:17" ht="15.5">
      <c r="B14" s="355"/>
      <c r="C14" s="352"/>
      <c r="D14" s="352"/>
      <c r="E14" s="352"/>
      <c r="F14" s="352"/>
      <c r="G14" s="352"/>
      <c r="H14" s="352"/>
      <c r="I14" s="352"/>
      <c r="J14" s="352"/>
      <c r="K14" s="352"/>
      <c r="L14" s="352"/>
      <c r="M14" s="352"/>
      <c r="N14" s="352"/>
      <c r="O14" s="352"/>
      <c r="P14" s="352"/>
      <c r="Q14" s="352"/>
    </row>
    <row r="15" spans="1:17" ht="15.5">
      <c r="B15" s="355"/>
      <c r="C15" s="352"/>
      <c r="D15" s="352"/>
      <c r="E15" s="352"/>
      <c r="F15" s="352"/>
      <c r="G15" s="352"/>
      <c r="H15" s="352"/>
      <c r="I15" s="352"/>
      <c r="J15" s="352"/>
      <c r="K15" s="352"/>
      <c r="L15" s="352"/>
      <c r="M15" s="352"/>
      <c r="N15" s="352"/>
      <c r="O15" s="352"/>
      <c r="P15" s="352"/>
      <c r="Q15" s="352"/>
    </row>
    <row r="16" spans="1:17" ht="15.5">
      <c r="A16" s="363"/>
      <c r="B16" s="378"/>
    </row>
    <row r="17" spans="1:17" ht="15.5">
      <c r="A17" s="352"/>
      <c r="B17" s="352"/>
      <c r="C17" s="352"/>
      <c r="D17" s="352"/>
      <c r="E17" s="352"/>
      <c r="F17" s="352"/>
      <c r="G17" s="352"/>
      <c r="H17" s="352"/>
      <c r="I17" s="352"/>
      <c r="J17" s="352"/>
      <c r="K17" s="352"/>
      <c r="L17" s="352"/>
      <c r="M17" s="352"/>
      <c r="N17" s="352"/>
      <c r="O17" s="352"/>
      <c r="P17" s="352"/>
      <c r="Q17" s="352"/>
    </row>
    <row r="18" spans="1:17" ht="15.5">
      <c r="A18" s="352"/>
      <c r="B18" s="352"/>
      <c r="C18" s="352"/>
      <c r="D18" s="668" t="s">
        <v>1230</v>
      </c>
      <c r="E18" s="352"/>
      <c r="F18" s="352"/>
      <c r="G18" s="352"/>
      <c r="H18" s="352"/>
      <c r="I18" s="352"/>
      <c r="J18" s="352"/>
      <c r="K18" s="352"/>
      <c r="L18" s="352"/>
      <c r="M18" s="352"/>
      <c r="N18" s="352"/>
      <c r="O18" s="352"/>
      <c r="P18" s="352"/>
      <c r="Q18" s="352"/>
    </row>
    <row r="19" spans="1:17" ht="15.5">
      <c r="B19" s="355"/>
      <c r="C19" s="352"/>
      <c r="D19" s="352"/>
      <c r="E19" s="352"/>
      <c r="F19" s="352"/>
      <c r="G19" s="352"/>
      <c r="H19" s="352"/>
      <c r="I19" s="352"/>
      <c r="J19" s="352"/>
      <c r="K19" s="352"/>
      <c r="L19" s="352"/>
      <c r="M19" s="352"/>
      <c r="N19" s="352"/>
      <c r="O19" s="352"/>
      <c r="P19" s="352"/>
      <c r="Q19" s="352"/>
    </row>
    <row r="33" spans="4:4" ht="15.5">
      <c r="D33" s="352" t="s">
        <v>1232</v>
      </c>
    </row>
  </sheetData>
  <sortState ref="A8:Q13">
    <sortCondition descending="1" ref="E8:E13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97"/>
  <sheetViews>
    <sheetView showZeros="0" rightToLeft="1" zoomScaleNormal="100" workbookViewId="0">
      <pane xSplit="5" ySplit="5" topLeftCell="F66" activePane="bottomRight" state="frozen"/>
      <selection activeCell="T20" sqref="T20"/>
      <selection pane="topRight" activeCell="T20" sqref="T20"/>
      <selection pane="bottomLeft" activeCell="T20" sqref="T20"/>
      <selection pane="bottomRight" activeCell="T20" sqref="T20"/>
    </sheetView>
  </sheetViews>
  <sheetFormatPr defaultColWidth="9.1796875" defaultRowHeight="14"/>
  <cols>
    <col min="1" max="1" width="5.26953125" style="40" customWidth="1"/>
    <col min="2" max="2" width="6.7265625" style="15" customWidth="1"/>
    <col min="3" max="3" width="25.54296875" style="15" customWidth="1"/>
    <col min="4" max="4" width="11.26953125" style="17" customWidth="1"/>
    <col min="5" max="5" width="11" style="17" customWidth="1"/>
    <col min="6" max="6" width="11.26953125" style="17" customWidth="1"/>
    <col min="7" max="10" width="12.7265625" style="17" hidden="1" customWidth="1"/>
    <col min="11" max="11" width="11.26953125" style="17" hidden="1" customWidth="1"/>
    <col min="12" max="12" width="10.81640625" style="17" customWidth="1"/>
    <col min="13" max="13" width="10.1796875" style="17" customWidth="1"/>
    <col min="14" max="14" width="10.26953125" style="17" customWidth="1"/>
    <col min="15" max="15" width="11.1796875" style="17" customWidth="1"/>
    <col min="16" max="17" width="11.1796875" style="17" hidden="1" customWidth="1"/>
    <col min="18" max="19" width="12" style="17" hidden="1" customWidth="1"/>
    <col min="20" max="20" width="7.26953125" style="17" customWidth="1"/>
    <col min="21" max="21" width="10.81640625" style="15" customWidth="1"/>
    <col min="22" max="22" width="10.1796875" style="15" customWidth="1"/>
    <col min="23" max="23" width="10.7265625" style="15" customWidth="1"/>
    <col min="24" max="25" width="4.7265625" style="15" hidden="1" customWidth="1"/>
    <col min="26" max="26" width="9.81640625" style="15" customWidth="1"/>
    <col min="27" max="27" width="24.81640625" style="40" hidden="1" customWidth="1"/>
    <col min="28" max="28" width="7.81640625" style="15" hidden="1" customWidth="1"/>
    <col min="29" max="29" width="20" style="266" customWidth="1"/>
    <col min="30" max="30" width="10" style="247" customWidth="1"/>
    <col min="31" max="31" width="16.7265625" style="247" customWidth="1"/>
    <col min="32" max="32" width="10.1796875" style="247" customWidth="1"/>
    <col min="33" max="33" width="9.453125" style="34" customWidth="1"/>
    <col min="34" max="34" width="15" style="440" customWidth="1"/>
    <col min="35" max="35" width="11.453125" style="440" customWidth="1"/>
    <col min="36" max="36" width="10.1796875" style="441" customWidth="1"/>
    <col min="37" max="37" width="9.1796875" style="454" customWidth="1"/>
    <col min="38" max="39" width="9.1796875" style="20" customWidth="1"/>
    <col min="40" max="40" width="2.1796875" style="20" customWidth="1"/>
    <col min="41" max="41" width="9.1796875" style="20" customWidth="1"/>
    <col min="42" max="42" width="10.1796875" style="20" customWidth="1"/>
    <col min="43" max="43" width="10.1796875" style="15" customWidth="1"/>
    <col min="44" max="16384" width="9.1796875" style="15"/>
  </cols>
  <sheetData>
    <row r="1" spans="1:42" s="416" customFormat="1" ht="18">
      <c r="A1" s="414"/>
      <c r="B1" s="414"/>
      <c r="C1" s="414"/>
      <c r="D1" s="414"/>
      <c r="E1" s="414"/>
      <c r="F1" s="414"/>
      <c r="G1" s="414"/>
      <c r="H1" s="414"/>
      <c r="I1" s="414"/>
      <c r="J1" s="414"/>
      <c r="K1" s="414"/>
      <c r="L1" s="414"/>
      <c r="M1" s="414"/>
      <c r="N1" s="414"/>
      <c r="O1" s="414"/>
      <c r="P1" s="414"/>
      <c r="Q1" s="414"/>
      <c r="R1" s="414"/>
      <c r="S1" s="414"/>
      <c r="T1" s="414"/>
      <c r="U1" s="414"/>
      <c r="V1" s="414"/>
      <c r="W1" s="414"/>
      <c r="X1" s="414"/>
      <c r="Y1" s="414"/>
      <c r="Z1" s="414"/>
      <c r="AA1" s="415"/>
      <c r="AC1" s="266"/>
      <c r="AD1" s="247"/>
      <c r="AE1" s="247"/>
      <c r="AF1" s="247"/>
      <c r="AG1" s="34"/>
      <c r="AH1" s="442"/>
      <c r="AI1" s="443"/>
      <c r="AJ1" s="444"/>
      <c r="AK1" s="444"/>
    </row>
    <row r="2" spans="1:42" s="247" customFormat="1" ht="18">
      <c r="A2" s="414" t="s">
        <v>356</v>
      </c>
      <c r="B2" s="414"/>
      <c r="C2" s="414"/>
      <c r="D2" s="414"/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414"/>
      <c r="R2" s="414"/>
      <c r="S2" s="414"/>
      <c r="T2" s="414"/>
      <c r="U2" s="414"/>
      <c r="V2" s="414"/>
      <c r="W2" s="414"/>
      <c r="X2" s="414"/>
      <c r="Y2" s="414"/>
      <c r="Z2" s="414"/>
      <c r="AA2" s="418"/>
      <c r="AC2" s="266"/>
      <c r="AG2" s="34"/>
      <c r="AH2" s="442"/>
      <c r="AI2" s="443"/>
      <c r="AJ2" s="444"/>
      <c r="AK2" s="444"/>
    </row>
    <row r="4" spans="1:42" s="34" customFormat="1" ht="70">
      <c r="A4" s="19" t="s">
        <v>0</v>
      </c>
      <c r="B4" s="19" t="s">
        <v>1</v>
      </c>
      <c r="C4" s="19" t="s">
        <v>2</v>
      </c>
      <c r="D4" s="19" t="s">
        <v>3</v>
      </c>
      <c r="E4" s="19" t="s">
        <v>4</v>
      </c>
      <c r="F4" s="19" t="s">
        <v>5</v>
      </c>
      <c r="G4" s="19" t="s">
        <v>6</v>
      </c>
      <c r="H4" s="19" t="s">
        <v>7</v>
      </c>
      <c r="I4" s="19" t="s">
        <v>9</v>
      </c>
      <c r="J4" s="19" t="s">
        <v>318</v>
      </c>
      <c r="K4" s="19" t="s">
        <v>10</v>
      </c>
      <c r="L4" s="19" t="s">
        <v>11</v>
      </c>
      <c r="M4" s="11" t="s">
        <v>627</v>
      </c>
      <c r="N4" s="19" t="s">
        <v>628</v>
      </c>
      <c r="O4" s="19" t="s">
        <v>629</v>
      </c>
      <c r="P4" s="19" t="s">
        <v>12</v>
      </c>
      <c r="Q4" s="19" t="s">
        <v>739</v>
      </c>
      <c r="R4" s="19" t="s">
        <v>740</v>
      </c>
      <c r="S4" s="19" t="s">
        <v>632</v>
      </c>
      <c r="T4" s="19" t="s">
        <v>633</v>
      </c>
      <c r="U4" s="19" t="s">
        <v>634</v>
      </c>
      <c r="V4" s="19" t="s">
        <v>13</v>
      </c>
      <c r="W4" s="19" t="s">
        <v>14</v>
      </c>
      <c r="X4" s="19" t="s">
        <v>15</v>
      </c>
      <c r="Y4" s="19" t="s">
        <v>523</v>
      </c>
      <c r="Z4" s="19" t="s">
        <v>140</v>
      </c>
      <c r="AA4" s="707" t="s">
        <v>635</v>
      </c>
      <c r="AB4" s="19" t="s">
        <v>16</v>
      </c>
      <c r="AC4" s="266"/>
      <c r="AD4" s="247"/>
      <c r="AE4" s="247"/>
      <c r="AF4" s="247"/>
      <c r="AJ4" s="441"/>
      <c r="AK4" s="445"/>
    </row>
    <row r="5" spans="1:42" s="5" customFormat="1" ht="18" customHeight="1">
      <c r="A5" s="3"/>
      <c r="B5" s="3"/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3"/>
      <c r="AA5" s="408"/>
      <c r="AB5" s="3"/>
      <c r="AC5" s="266"/>
      <c r="AD5" s="247"/>
      <c r="AE5" s="247"/>
      <c r="AF5" s="247"/>
      <c r="AG5" s="34"/>
      <c r="AH5" s="440"/>
      <c r="AI5" s="440"/>
      <c r="AJ5" s="441"/>
      <c r="AK5" s="446"/>
      <c r="AL5" s="31"/>
      <c r="AM5" s="31"/>
      <c r="AN5" s="31"/>
      <c r="AO5" s="31"/>
      <c r="AP5" s="31"/>
    </row>
    <row r="6" spans="1:42" s="5" customFormat="1" ht="30" customHeight="1">
      <c r="A6" s="3">
        <v>1</v>
      </c>
      <c r="B6" s="3">
        <v>1247</v>
      </c>
      <c r="C6" s="3" t="s">
        <v>68</v>
      </c>
      <c r="D6" s="4">
        <v>9500000</v>
      </c>
      <c r="E6" s="4">
        <v>9500000</v>
      </c>
      <c r="F6" s="4">
        <f t="shared" ref="F6:F38" si="0">D6-E6</f>
        <v>0</v>
      </c>
      <c r="G6" s="4">
        <v>8650000</v>
      </c>
      <c r="H6" s="4">
        <v>8115411.5999999996</v>
      </c>
      <c r="I6" s="4">
        <v>0.68</v>
      </c>
      <c r="J6" s="4">
        <v>269816.13</v>
      </c>
      <c r="K6" s="4">
        <f>SUM(I6:J6)</f>
        <v>269816.81</v>
      </c>
      <c r="L6" s="4">
        <f>K6+H6</f>
        <v>8385228.4099999992</v>
      </c>
      <c r="M6" s="4">
        <f>P6+S6</f>
        <v>264771.59000000078</v>
      </c>
      <c r="N6" s="4">
        <f>500000-300000</f>
        <v>200000</v>
      </c>
      <c r="O6" s="4">
        <f>D6-L6-M6-N6</f>
        <v>650000</v>
      </c>
      <c r="P6" s="4">
        <f>G6-L6</f>
        <v>264771.59000000078</v>
      </c>
      <c r="Q6" s="4"/>
      <c r="R6" s="4"/>
      <c r="S6" s="4">
        <f>SUM(Q6:R6)</f>
        <v>0</v>
      </c>
      <c r="T6" s="4">
        <f>P6-M6+S6</f>
        <v>0</v>
      </c>
      <c r="U6" s="4">
        <f t="shared" ref="U6:U66" si="1">N6-T6</f>
        <v>200000</v>
      </c>
      <c r="V6" s="4">
        <f>U6-W6-X6-Y6-Z6</f>
        <v>200000</v>
      </c>
      <c r="W6" s="4"/>
      <c r="X6" s="4"/>
      <c r="Y6" s="4"/>
      <c r="Z6" s="3"/>
      <c r="AA6" s="408" t="s">
        <v>741</v>
      </c>
      <c r="AB6" s="3">
        <v>732000</v>
      </c>
      <c r="AC6" s="266"/>
      <c r="AD6" s="247"/>
      <c r="AE6" s="247"/>
      <c r="AF6" s="247"/>
      <c r="AG6" s="34"/>
      <c r="AH6" s="30"/>
      <c r="AI6" s="447"/>
      <c r="AJ6" s="448"/>
      <c r="AK6" s="449"/>
      <c r="AL6" s="31"/>
      <c r="AM6" s="31"/>
      <c r="AN6" s="31"/>
      <c r="AO6" s="31"/>
      <c r="AP6" s="30"/>
    </row>
    <row r="7" spans="1:42" s="5" customFormat="1" ht="30" customHeight="1">
      <c r="A7" s="3">
        <f>A6+1</f>
        <v>2</v>
      </c>
      <c r="B7" s="3">
        <v>1250</v>
      </c>
      <c r="C7" s="3" t="s">
        <v>69</v>
      </c>
      <c r="D7" s="4">
        <f>1950000-500000</f>
        <v>1450000</v>
      </c>
      <c r="E7" s="4">
        <v>1450000</v>
      </c>
      <c r="F7" s="4">
        <f t="shared" si="0"/>
        <v>0</v>
      </c>
      <c r="G7" s="4">
        <v>1000000</v>
      </c>
      <c r="H7" s="4">
        <v>813458.48</v>
      </c>
      <c r="I7" s="4"/>
      <c r="J7" s="4">
        <v>25937.46</v>
      </c>
      <c r="K7" s="4">
        <f t="shared" ref="K7:K62" si="2">SUM(I7:J7)</f>
        <v>25937.46</v>
      </c>
      <c r="L7" s="4">
        <f t="shared" ref="L7:L66" si="3">K7+H7</f>
        <v>839395.94</v>
      </c>
      <c r="M7" s="4">
        <f t="shared" ref="M7:M66" si="4">P7+S7</f>
        <v>160604.06000000006</v>
      </c>
      <c r="N7" s="4">
        <f>950000-550000</f>
        <v>400000</v>
      </c>
      <c r="O7" s="4">
        <f t="shared" ref="O7:O66" si="5">D7-L7-M7-N7</f>
        <v>50000</v>
      </c>
      <c r="P7" s="4">
        <f t="shared" ref="P7:P66" si="6">G7-L7</f>
        <v>160604.06000000006</v>
      </c>
      <c r="Q7" s="4"/>
      <c r="R7" s="4"/>
      <c r="S7" s="4">
        <f t="shared" ref="S7:S66" si="7">SUM(Q7:R7)</f>
        <v>0</v>
      </c>
      <c r="T7" s="4">
        <f t="shared" ref="T7:T66" si="8">P7-M7+S7</f>
        <v>0</v>
      </c>
      <c r="U7" s="4">
        <f t="shared" si="1"/>
        <v>400000</v>
      </c>
      <c r="V7" s="4"/>
      <c r="W7" s="4">
        <f t="shared" ref="W7:W66" si="9">U7-V7-Y7-Z7</f>
        <v>400000</v>
      </c>
      <c r="X7" s="4"/>
      <c r="Y7" s="4"/>
      <c r="Z7" s="3"/>
      <c r="AA7" s="408" t="s">
        <v>742</v>
      </c>
      <c r="AB7" s="3">
        <v>749000</v>
      </c>
      <c r="AC7" s="266"/>
      <c r="AD7" s="247"/>
      <c r="AE7" s="247"/>
      <c r="AF7" s="247"/>
      <c r="AG7" s="34"/>
      <c r="AH7" s="30"/>
      <c r="AI7" s="447"/>
      <c r="AJ7" s="448"/>
      <c r="AK7" s="449"/>
      <c r="AL7" s="31"/>
      <c r="AM7" s="31"/>
      <c r="AN7" s="31"/>
      <c r="AO7" s="31"/>
      <c r="AP7" s="30"/>
    </row>
    <row r="8" spans="1:42" s="5" customFormat="1" ht="30" customHeight="1">
      <c r="A8" s="3">
        <f t="shared" ref="A8:A69" si="10">A7+1</f>
        <v>3</v>
      </c>
      <c r="B8" s="3">
        <v>1253</v>
      </c>
      <c r="C8" s="3" t="s">
        <v>70</v>
      </c>
      <c r="D8" s="4">
        <v>4700000</v>
      </c>
      <c r="E8" s="4">
        <v>4200000</v>
      </c>
      <c r="F8" s="4">
        <f t="shared" si="0"/>
        <v>500000</v>
      </c>
      <c r="G8" s="4">
        <v>4200000</v>
      </c>
      <c r="H8" s="4">
        <v>3608560.68</v>
      </c>
      <c r="I8" s="4"/>
      <c r="J8" s="4">
        <v>566005.72</v>
      </c>
      <c r="K8" s="4">
        <f t="shared" si="2"/>
        <v>566005.72</v>
      </c>
      <c r="L8" s="4">
        <f t="shared" si="3"/>
        <v>4174566.4000000004</v>
      </c>
      <c r="M8" s="4">
        <f t="shared" si="4"/>
        <v>25433.599999999627</v>
      </c>
      <c r="N8" s="4">
        <v>500000</v>
      </c>
      <c r="O8" s="4">
        <f t="shared" si="5"/>
        <v>0</v>
      </c>
      <c r="P8" s="4">
        <f t="shared" si="6"/>
        <v>25433.599999999627</v>
      </c>
      <c r="Q8" s="4"/>
      <c r="R8" s="4"/>
      <c r="S8" s="4">
        <f t="shared" si="7"/>
        <v>0</v>
      </c>
      <c r="T8" s="4">
        <f t="shared" si="8"/>
        <v>0</v>
      </c>
      <c r="U8" s="4">
        <f t="shared" si="1"/>
        <v>500000</v>
      </c>
      <c r="V8" s="4"/>
      <c r="W8" s="4">
        <f t="shared" si="9"/>
        <v>500000</v>
      </c>
      <c r="X8" s="4"/>
      <c r="Y8" s="4"/>
      <c r="Z8" s="3"/>
      <c r="AA8" s="408" t="s">
        <v>743</v>
      </c>
      <c r="AB8" s="3">
        <v>850000</v>
      </c>
      <c r="AC8" s="266"/>
      <c r="AD8" s="247"/>
      <c r="AE8" s="247"/>
      <c r="AF8" s="247"/>
      <c r="AG8" s="34"/>
      <c r="AH8" s="30"/>
      <c r="AI8" s="447"/>
      <c r="AJ8" s="448"/>
      <c r="AK8" s="449"/>
      <c r="AL8" s="31"/>
      <c r="AM8" s="31"/>
      <c r="AN8" s="31"/>
      <c r="AO8" s="31"/>
      <c r="AP8" s="30"/>
    </row>
    <row r="9" spans="1:42" s="5" customFormat="1" ht="30" customHeight="1">
      <c r="A9" s="3">
        <f t="shared" si="10"/>
        <v>4</v>
      </c>
      <c r="B9" s="3">
        <v>1281</v>
      </c>
      <c r="C9" s="3" t="s">
        <v>71</v>
      </c>
      <c r="D9" s="4">
        <v>213755840</v>
      </c>
      <c r="E9" s="4">
        <v>213755840</v>
      </c>
      <c r="F9" s="4">
        <f t="shared" si="0"/>
        <v>0</v>
      </c>
      <c r="G9" s="4">
        <v>213755840</v>
      </c>
      <c r="H9" s="4">
        <v>212539376.11000001</v>
      </c>
      <c r="I9" s="4">
        <v>508824.28</v>
      </c>
      <c r="J9" s="4">
        <v>666378.97</v>
      </c>
      <c r="K9" s="4">
        <f t="shared" si="2"/>
        <v>1175203.25</v>
      </c>
      <c r="L9" s="4">
        <f t="shared" si="3"/>
        <v>213714579.36000001</v>
      </c>
      <c r="M9" s="4">
        <f t="shared" si="4"/>
        <v>41260.639999985695</v>
      </c>
      <c r="N9" s="4"/>
      <c r="O9" s="4">
        <f t="shared" si="5"/>
        <v>0</v>
      </c>
      <c r="P9" s="4">
        <f t="shared" si="6"/>
        <v>41260.639999985695</v>
      </c>
      <c r="Q9" s="4"/>
      <c r="R9" s="4"/>
      <c r="S9" s="4">
        <f t="shared" si="7"/>
        <v>0</v>
      </c>
      <c r="T9" s="4">
        <f t="shared" si="8"/>
        <v>0</v>
      </c>
      <c r="U9" s="4">
        <f t="shared" si="1"/>
        <v>0</v>
      </c>
      <c r="V9" s="4"/>
      <c r="W9" s="4">
        <f t="shared" si="9"/>
        <v>0</v>
      </c>
      <c r="X9" s="4"/>
      <c r="Y9" s="4"/>
      <c r="Z9" s="3"/>
      <c r="AA9" s="408"/>
      <c r="AB9" s="3">
        <v>810000</v>
      </c>
      <c r="AC9" s="266"/>
      <c r="AD9" s="247"/>
      <c r="AE9" s="247"/>
      <c r="AF9" s="247"/>
      <c r="AG9" s="34"/>
      <c r="AH9" s="30"/>
      <c r="AI9" s="447"/>
      <c r="AJ9" s="448"/>
      <c r="AK9" s="449"/>
      <c r="AL9" s="31"/>
      <c r="AM9" s="31"/>
      <c r="AN9" s="31"/>
      <c r="AO9" s="31"/>
      <c r="AP9" s="30"/>
    </row>
    <row r="10" spans="1:42" s="5" customFormat="1" ht="30" customHeight="1">
      <c r="A10" s="3">
        <f t="shared" si="10"/>
        <v>5</v>
      </c>
      <c r="B10" s="3">
        <v>1372</v>
      </c>
      <c r="C10" s="3" t="s">
        <v>72</v>
      </c>
      <c r="D10" s="4">
        <f>2900000-1400000</f>
        <v>1500000</v>
      </c>
      <c r="E10" s="4">
        <v>2900000</v>
      </c>
      <c r="F10" s="4">
        <f t="shared" si="0"/>
        <v>-1400000</v>
      </c>
      <c r="G10" s="4">
        <v>1500000</v>
      </c>
      <c r="H10" s="4">
        <v>1488243.38</v>
      </c>
      <c r="I10" s="4"/>
      <c r="J10" s="4">
        <v>11535</v>
      </c>
      <c r="K10" s="4">
        <f t="shared" si="2"/>
        <v>11535</v>
      </c>
      <c r="L10" s="4">
        <f t="shared" si="3"/>
        <v>1499778.38</v>
      </c>
      <c r="M10" s="4">
        <f t="shared" si="4"/>
        <v>221.62000000011176</v>
      </c>
      <c r="N10" s="4"/>
      <c r="O10" s="4">
        <f t="shared" si="5"/>
        <v>0</v>
      </c>
      <c r="P10" s="4">
        <f t="shared" si="6"/>
        <v>221.62000000011176</v>
      </c>
      <c r="Q10" s="4"/>
      <c r="R10" s="4"/>
      <c r="S10" s="4">
        <f t="shared" si="7"/>
        <v>0</v>
      </c>
      <c r="T10" s="4">
        <f t="shared" si="8"/>
        <v>0</v>
      </c>
      <c r="U10" s="4">
        <f t="shared" si="1"/>
        <v>0</v>
      </c>
      <c r="V10" s="4"/>
      <c r="W10" s="4">
        <f t="shared" si="9"/>
        <v>0</v>
      </c>
      <c r="X10" s="4"/>
      <c r="Y10" s="4"/>
      <c r="Z10" s="3"/>
      <c r="AA10" s="408"/>
      <c r="AB10" s="3">
        <v>810000</v>
      </c>
      <c r="AC10" s="266"/>
      <c r="AD10" s="247"/>
      <c r="AE10" s="247"/>
      <c r="AF10" s="247"/>
      <c r="AG10" s="34"/>
      <c r="AH10" s="30"/>
      <c r="AI10" s="447"/>
      <c r="AJ10" s="448"/>
      <c r="AK10" s="449"/>
      <c r="AL10" s="31"/>
      <c r="AM10" s="31"/>
      <c r="AN10" s="31"/>
      <c r="AO10" s="31"/>
      <c r="AP10" s="30"/>
    </row>
    <row r="11" spans="1:42" s="5" customFormat="1" ht="30" customHeight="1">
      <c r="A11" s="3">
        <f t="shared" si="10"/>
        <v>6</v>
      </c>
      <c r="B11" s="3">
        <v>1415</v>
      </c>
      <c r="C11" s="3" t="s">
        <v>1517</v>
      </c>
      <c r="D11" s="4">
        <f>1600000-450000</f>
        <v>1150000</v>
      </c>
      <c r="E11" s="4">
        <v>1150000</v>
      </c>
      <c r="F11" s="4">
        <f t="shared" si="0"/>
        <v>0</v>
      </c>
      <c r="G11" s="4">
        <v>1000000</v>
      </c>
      <c r="H11" s="4">
        <v>957150.93</v>
      </c>
      <c r="I11" s="4"/>
      <c r="J11" s="4">
        <v>19423</v>
      </c>
      <c r="K11" s="4">
        <f t="shared" si="2"/>
        <v>19423</v>
      </c>
      <c r="L11" s="4">
        <f t="shared" si="3"/>
        <v>976573.93</v>
      </c>
      <c r="M11" s="4">
        <f t="shared" si="4"/>
        <v>23426.069999999949</v>
      </c>
      <c r="N11" s="4">
        <f>200000-100000</f>
        <v>100000</v>
      </c>
      <c r="O11" s="4">
        <f t="shared" si="5"/>
        <v>50000</v>
      </c>
      <c r="P11" s="4">
        <f t="shared" si="6"/>
        <v>23426.069999999949</v>
      </c>
      <c r="Q11" s="4"/>
      <c r="R11" s="4"/>
      <c r="S11" s="4">
        <f t="shared" si="7"/>
        <v>0</v>
      </c>
      <c r="T11" s="4">
        <f t="shared" si="8"/>
        <v>0</v>
      </c>
      <c r="U11" s="4">
        <f t="shared" si="1"/>
        <v>100000</v>
      </c>
      <c r="V11" s="4"/>
      <c r="W11" s="4">
        <f t="shared" si="9"/>
        <v>100000</v>
      </c>
      <c r="X11" s="4"/>
      <c r="Y11" s="4"/>
      <c r="Z11" s="3"/>
      <c r="AA11" s="408" t="s">
        <v>744</v>
      </c>
      <c r="AB11" s="3">
        <v>930000</v>
      </c>
      <c r="AC11" s="266"/>
      <c r="AD11" s="247"/>
      <c r="AE11" s="247"/>
      <c r="AF11" s="247"/>
      <c r="AG11" s="34"/>
      <c r="AH11" s="30"/>
      <c r="AI11" s="447"/>
      <c r="AJ11" s="448"/>
      <c r="AK11" s="449"/>
      <c r="AL11" s="31"/>
      <c r="AM11" s="31"/>
      <c r="AN11" s="31"/>
      <c r="AO11" s="31"/>
      <c r="AP11" s="30"/>
    </row>
    <row r="12" spans="1:42" s="5" customFormat="1" ht="30" customHeight="1">
      <c r="A12" s="3">
        <f t="shared" si="10"/>
        <v>7</v>
      </c>
      <c r="B12" s="3">
        <v>1416</v>
      </c>
      <c r="C12" s="3" t="s">
        <v>178</v>
      </c>
      <c r="D12" s="4">
        <f>2000000-300000</f>
        <v>1700000</v>
      </c>
      <c r="E12" s="4">
        <v>1700000</v>
      </c>
      <c r="F12" s="4">
        <f t="shared" si="0"/>
        <v>0</v>
      </c>
      <c r="G12" s="4">
        <v>1350000</v>
      </c>
      <c r="H12" s="4">
        <v>1284229</v>
      </c>
      <c r="I12" s="4"/>
      <c r="J12" s="4">
        <v>64188</v>
      </c>
      <c r="K12" s="4">
        <f t="shared" si="2"/>
        <v>64188</v>
      </c>
      <c r="L12" s="4">
        <f t="shared" si="3"/>
        <v>1348417</v>
      </c>
      <c r="M12" s="4">
        <f t="shared" si="4"/>
        <v>1583</v>
      </c>
      <c r="N12" s="4">
        <f>300000-150000</f>
        <v>150000</v>
      </c>
      <c r="O12" s="4">
        <f t="shared" si="5"/>
        <v>200000</v>
      </c>
      <c r="P12" s="4">
        <f t="shared" si="6"/>
        <v>1583</v>
      </c>
      <c r="Q12" s="4"/>
      <c r="R12" s="4"/>
      <c r="S12" s="4">
        <f t="shared" si="7"/>
        <v>0</v>
      </c>
      <c r="T12" s="4">
        <f t="shared" si="8"/>
        <v>0</v>
      </c>
      <c r="U12" s="4">
        <f t="shared" si="1"/>
        <v>150000</v>
      </c>
      <c r="V12" s="4"/>
      <c r="W12" s="4">
        <f t="shared" si="9"/>
        <v>150000</v>
      </c>
      <c r="X12" s="4"/>
      <c r="Y12" s="4"/>
      <c r="Z12" s="3"/>
      <c r="AA12" s="408" t="s">
        <v>745</v>
      </c>
      <c r="AB12" s="3">
        <v>930000</v>
      </c>
      <c r="AC12" s="266"/>
      <c r="AD12" s="247"/>
      <c r="AE12" s="247"/>
      <c r="AF12" s="247"/>
      <c r="AG12" s="34"/>
      <c r="AH12" s="30"/>
      <c r="AI12" s="447"/>
      <c r="AJ12" s="448"/>
      <c r="AK12" s="449"/>
      <c r="AL12" s="31"/>
      <c r="AM12" s="31"/>
      <c r="AN12" s="31"/>
      <c r="AO12" s="31"/>
      <c r="AP12" s="30"/>
    </row>
    <row r="13" spans="1:42" s="5" customFormat="1" ht="30" customHeight="1">
      <c r="A13" s="3">
        <f t="shared" si="10"/>
        <v>8</v>
      </c>
      <c r="B13" s="3">
        <v>1472</v>
      </c>
      <c r="C13" s="3" t="s">
        <v>74</v>
      </c>
      <c r="D13" s="4">
        <f>12000000-650000</f>
        <v>11350000</v>
      </c>
      <c r="E13" s="4">
        <v>11350000</v>
      </c>
      <c r="F13" s="4">
        <f t="shared" si="0"/>
        <v>0</v>
      </c>
      <c r="G13" s="4">
        <v>11106096</v>
      </c>
      <c r="H13" s="4">
        <v>11063444.289999999</v>
      </c>
      <c r="I13" s="4"/>
      <c r="J13" s="4"/>
      <c r="K13" s="4">
        <f t="shared" si="2"/>
        <v>0</v>
      </c>
      <c r="L13" s="4">
        <f t="shared" si="3"/>
        <v>11063444.289999999</v>
      </c>
      <c r="M13" s="4">
        <f t="shared" si="4"/>
        <v>42651.710000000894</v>
      </c>
      <c r="N13" s="4">
        <f>500000-200000-200000</f>
        <v>100000</v>
      </c>
      <c r="O13" s="4">
        <f t="shared" si="5"/>
        <v>143904</v>
      </c>
      <c r="P13" s="4">
        <f t="shared" si="6"/>
        <v>42651.710000000894</v>
      </c>
      <c r="Q13" s="4"/>
      <c r="R13" s="4"/>
      <c r="S13" s="4">
        <f t="shared" si="7"/>
        <v>0</v>
      </c>
      <c r="T13" s="4">
        <f t="shared" si="8"/>
        <v>0</v>
      </c>
      <c r="U13" s="4">
        <f t="shared" si="1"/>
        <v>100000</v>
      </c>
      <c r="V13" s="4"/>
      <c r="W13" s="4">
        <f t="shared" si="9"/>
        <v>100000</v>
      </c>
      <c r="X13" s="4"/>
      <c r="Y13" s="4"/>
      <c r="Z13" s="3"/>
      <c r="AA13" s="408" t="s">
        <v>744</v>
      </c>
      <c r="AB13" s="3">
        <v>810000</v>
      </c>
      <c r="AC13" s="266"/>
      <c r="AD13" s="247"/>
      <c r="AE13" s="247"/>
      <c r="AF13" s="247"/>
      <c r="AG13" s="34"/>
      <c r="AH13" s="30"/>
      <c r="AI13" s="447"/>
      <c r="AJ13" s="448"/>
      <c r="AK13" s="449"/>
      <c r="AL13" s="31"/>
      <c r="AM13" s="31"/>
      <c r="AN13" s="31"/>
      <c r="AO13" s="31"/>
      <c r="AP13" s="30"/>
    </row>
    <row r="14" spans="1:42" s="5" customFormat="1" ht="30" customHeight="1">
      <c r="A14" s="3">
        <f t="shared" si="10"/>
        <v>9</v>
      </c>
      <c r="B14" s="3">
        <v>1476</v>
      </c>
      <c r="C14" s="3" t="s">
        <v>290</v>
      </c>
      <c r="D14" s="4">
        <v>900000</v>
      </c>
      <c r="E14" s="4">
        <v>900000</v>
      </c>
      <c r="F14" s="4">
        <f t="shared" si="0"/>
        <v>0</v>
      </c>
      <c r="G14" s="4">
        <v>900000</v>
      </c>
      <c r="H14" s="4">
        <v>842544.93</v>
      </c>
      <c r="I14" s="4"/>
      <c r="J14" s="4">
        <v>47985.91</v>
      </c>
      <c r="K14" s="4">
        <f t="shared" si="2"/>
        <v>47985.91</v>
      </c>
      <c r="L14" s="4">
        <f t="shared" si="3"/>
        <v>890530.84000000008</v>
      </c>
      <c r="M14" s="4">
        <f t="shared" si="4"/>
        <v>9469.1599999999162</v>
      </c>
      <c r="N14" s="4"/>
      <c r="O14" s="4">
        <f t="shared" si="5"/>
        <v>0</v>
      </c>
      <c r="P14" s="4">
        <f t="shared" si="6"/>
        <v>9469.1599999999162</v>
      </c>
      <c r="Q14" s="4"/>
      <c r="R14" s="4"/>
      <c r="S14" s="4">
        <f t="shared" si="7"/>
        <v>0</v>
      </c>
      <c r="T14" s="4">
        <f t="shared" si="8"/>
        <v>0</v>
      </c>
      <c r="U14" s="4">
        <f t="shared" si="1"/>
        <v>0</v>
      </c>
      <c r="V14" s="4"/>
      <c r="W14" s="4">
        <f t="shared" si="9"/>
        <v>0</v>
      </c>
      <c r="X14" s="4"/>
      <c r="Y14" s="4"/>
      <c r="Z14" s="3"/>
      <c r="AA14" s="408"/>
      <c r="AB14" s="3">
        <v>810000</v>
      </c>
      <c r="AC14" s="266"/>
      <c r="AD14" s="247"/>
      <c r="AE14" s="247"/>
      <c r="AF14" s="247"/>
      <c r="AG14" s="34"/>
      <c r="AH14" s="30"/>
      <c r="AI14" s="447"/>
      <c r="AJ14" s="448"/>
      <c r="AK14" s="449"/>
      <c r="AL14" s="31"/>
      <c r="AM14" s="31"/>
      <c r="AN14" s="31"/>
      <c r="AO14" s="31"/>
      <c r="AP14" s="30"/>
    </row>
    <row r="15" spans="1:42" s="5" customFormat="1" ht="30" customHeight="1">
      <c r="A15" s="3">
        <f t="shared" si="10"/>
        <v>10</v>
      </c>
      <c r="B15" s="3">
        <v>1477</v>
      </c>
      <c r="C15" s="3" t="s">
        <v>746</v>
      </c>
      <c r="D15" s="4">
        <f>2200000+3600000+3550000</f>
        <v>9350000</v>
      </c>
      <c r="E15" s="4">
        <v>2200000</v>
      </c>
      <c r="F15" s="4">
        <f t="shared" si="0"/>
        <v>7150000</v>
      </c>
      <c r="G15" s="4">
        <v>2200000</v>
      </c>
      <c r="H15" s="4">
        <v>2134839.7000000002</v>
      </c>
      <c r="I15" s="4"/>
      <c r="J15" s="4">
        <v>45936.03</v>
      </c>
      <c r="K15" s="4">
        <f t="shared" si="2"/>
        <v>45936.03</v>
      </c>
      <c r="L15" s="4">
        <f t="shared" si="3"/>
        <v>2180775.73</v>
      </c>
      <c r="M15" s="4">
        <f t="shared" si="4"/>
        <v>19224.270000000019</v>
      </c>
      <c r="N15" s="4">
        <v>1650000</v>
      </c>
      <c r="O15" s="4">
        <f t="shared" si="5"/>
        <v>5500000</v>
      </c>
      <c r="P15" s="4">
        <f t="shared" si="6"/>
        <v>19224.270000000019</v>
      </c>
      <c r="Q15" s="4"/>
      <c r="R15" s="4"/>
      <c r="S15" s="4">
        <f t="shared" si="7"/>
        <v>0</v>
      </c>
      <c r="T15" s="4">
        <f t="shared" si="8"/>
        <v>0</v>
      </c>
      <c r="U15" s="4">
        <f t="shared" si="1"/>
        <v>1650000</v>
      </c>
      <c r="V15" s="4">
        <f>U15-W15-X15-Y15-Z15</f>
        <v>1650000</v>
      </c>
      <c r="W15" s="4"/>
      <c r="X15" s="4"/>
      <c r="Y15" s="4"/>
      <c r="Z15" s="3"/>
      <c r="AA15" s="408" t="s">
        <v>1131</v>
      </c>
      <c r="AB15" s="3">
        <v>810000</v>
      </c>
      <c r="AC15" s="266"/>
      <c r="AD15" s="247"/>
      <c r="AE15" s="247"/>
      <c r="AF15" s="247"/>
      <c r="AG15" s="34"/>
      <c r="AH15" s="30"/>
      <c r="AI15" s="447"/>
      <c r="AJ15" s="448"/>
      <c r="AK15" s="449"/>
      <c r="AL15" s="31"/>
      <c r="AM15" s="31"/>
      <c r="AN15" s="31"/>
      <c r="AO15" s="31"/>
      <c r="AP15" s="30"/>
    </row>
    <row r="16" spans="1:42" s="5" customFormat="1" ht="30" customHeight="1">
      <c r="A16" s="3">
        <f t="shared" si="10"/>
        <v>11</v>
      </c>
      <c r="B16" s="3">
        <v>1478</v>
      </c>
      <c r="C16" s="3" t="s">
        <v>1518</v>
      </c>
      <c r="D16" s="4">
        <v>1800000</v>
      </c>
      <c r="E16" s="4">
        <v>1800000</v>
      </c>
      <c r="F16" s="4">
        <f t="shared" si="0"/>
        <v>0</v>
      </c>
      <c r="G16" s="4">
        <v>1800000</v>
      </c>
      <c r="H16" s="4">
        <v>1771495.78</v>
      </c>
      <c r="I16" s="4"/>
      <c r="J16" s="4">
        <v>27334</v>
      </c>
      <c r="K16" s="4">
        <f t="shared" si="2"/>
        <v>27334</v>
      </c>
      <c r="L16" s="4">
        <f t="shared" si="3"/>
        <v>1798829.78</v>
      </c>
      <c r="M16" s="4">
        <f t="shared" si="4"/>
        <v>1170.2199999999721</v>
      </c>
      <c r="N16" s="4"/>
      <c r="O16" s="4">
        <f t="shared" si="5"/>
        <v>0</v>
      </c>
      <c r="P16" s="4">
        <f t="shared" si="6"/>
        <v>1170.2199999999721</v>
      </c>
      <c r="Q16" s="4"/>
      <c r="R16" s="4"/>
      <c r="S16" s="4">
        <f t="shared" si="7"/>
        <v>0</v>
      </c>
      <c r="T16" s="4">
        <f t="shared" si="8"/>
        <v>0</v>
      </c>
      <c r="U16" s="4">
        <f t="shared" si="1"/>
        <v>0</v>
      </c>
      <c r="V16" s="4"/>
      <c r="W16" s="4">
        <f t="shared" si="9"/>
        <v>0</v>
      </c>
      <c r="X16" s="4"/>
      <c r="Y16" s="4"/>
      <c r="Z16" s="3"/>
      <c r="AA16" s="408" t="s">
        <v>747</v>
      </c>
      <c r="AB16" s="3">
        <v>930000</v>
      </c>
      <c r="AC16" s="266"/>
      <c r="AD16" s="247"/>
      <c r="AE16" s="247"/>
      <c r="AF16" s="247"/>
      <c r="AG16" s="34"/>
      <c r="AH16" s="30"/>
      <c r="AI16" s="447"/>
      <c r="AJ16" s="448"/>
      <c r="AK16" s="449"/>
      <c r="AL16" s="31"/>
      <c r="AM16" s="31"/>
      <c r="AN16" s="31"/>
      <c r="AO16" s="31"/>
      <c r="AP16" s="30"/>
    </row>
    <row r="17" spans="1:42" s="5" customFormat="1" ht="30" customHeight="1">
      <c r="A17" s="3">
        <f t="shared" si="10"/>
        <v>12</v>
      </c>
      <c r="B17" s="3">
        <v>1479</v>
      </c>
      <c r="C17" s="3" t="s">
        <v>76</v>
      </c>
      <c r="D17" s="4">
        <v>1400000</v>
      </c>
      <c r="E17" s="4">
        <v>1400000</v>
      </c>
      <c r="F17" s="4">
        <f t="shared" si="0"/>
        <v>0</v>
      </c>
      <c r="G17" s="4">
        <v>1400000</v>
      </c>
      <c r="H17" s="4">
        <v>1372325.72</v>
      </c>
      <c r="I17" s="4"/>
      <c r="J17" s="4">
        <v>12373.96</v>
      </c>
      <c r="K17" s="4">
        <f t="shared" si="2"/>
        <v>12373.96</v>
      </c>
      <c r="L17" s="4">
        <f t="shared" si="3"/>
        <v>1384699.68</v>
      </c>
      <c r="M17" s="4">
        <f t="shared" si="4"/>
        <v>15300.320000000065</v>
      </c>
      <c r="N17" s="4"/>
      <c r="O17" s="4">
        <f t="shared" si="5"/>
        <v>0</v>
      </c>
      <c r="P17" s="4">
        <f t="shared" si="6"/>
        <v>15300.320000000065</v>
      </c>
      <c r="Q17" s="4"/>
      <c r="R17" s="4"/>
      <c r="S17" s="4">
        <f t="shared" si="7"/>
        <v>0</v>
      </c>
      <c r="T17" s="4">
        <f t="shared" si="8"/>
        <v>0</v>
      </c>
      <c r="U17" s="4">
        <f t="shared" si="1"/>
        <v>0</v>
      </c>
      <c r="V17" s="4"/>
      <c r="W17" s="4">
        <f t="shared" si="9"/>
        <v>0</v>
      </c>
      <c r="X17" s="4"/>
      <c r="Y17" s="4"/>
      <c r="Z17" s="3"/>
      <c r="AA17" s="408"/>
      <c r="AB17" s="3">
        <v>810000</v>
      </c>
      <c r="AC17" s="266"/>
      <c r="AD17" s="247"/>
      <c r="AE17" s="247"/>
      <c r="AF17" s="247"/>
      <c r="AG17" s="34"/>
      <c r="AH17" s="30"/>
      <c r="AI17" s="447"/>
      <c r="AJ17" s="448"/>
      <c r="AK17" s="449"/>
      <c r="AL17" s="31"/>
      <c r="AM17" s="31"/>
      <c r="AN17" s="31"/>
      <c r="AO17" s="31"/>
      <c r="AP17" s="30"/>
    </row>
    <row r="18" spans="1:42" s="5" customFormat="1" ht="30" customHeight="1">
      <c r="A18" s="3">
        <f t="shared" si="10"/>
        <v>13</v>
      </c>
      <c r="B18" s="3">
        <v>1480</v>
      </c>
      <c r="C18" s="3" t="s">
        <v>77</v>
      </c>
      <c r="D18" s="4">
        <f>4500000-1000000</f>
        <v>3500000</v>
      </c>
      <c r="E18" s="4">
        <v>4500000</v>
      </c>
      <c r="F18" s="4">
        <f t="shared" si="0"/>
        <v>-1000000</v>
      </c>
      <c r="G18" s="4">
        <v>3500000</v>
      </c>
      <c r="H18" s="4">
        <v>3168200.37</v>
      </c>
      <c r="I18" s="4"/>
      <c r="J18" s="4">
        <v>313331</v>
      </c>
      <c r="K18" s="4">
        <f t="shared" si="2"/>
        <v>313331</v>
      </c>
      <c r="L18" s="4">
        <f t="shared" si="3"/>
        <v>3481531.37</v>
      </c>
      <c r="M18" s="4">
        <f t="shared" si="4"/>
        <v>18468.629999999888</v>
      </c>
      <c r="N18" s="4">
        <f>500000-500000</f>
        <v>0</v>
      </c>
      <c r="O18" s="4">
        <f t="shared" si="5"/>
        <v>0</v>
      </c>
      <c r="P18" s="4">
        <f t="shared" si="6"/>
        <v>18468.629999999888</v>
      </c>
      <c r="Q18" s="4"/>
      <c r="R18" s="4"/>
      <c r="S18" s="4">
        <f t="shared" si="7"/>
        <v>0</v>
      </c>
      <c r="T18" s="4">
        <f t="shared" si="8"/>
        <v>0</v>
      </c>
      <c r="U18" s="4">
        <f t="shared" si="1"/>
        <v>0</v>
      </c>
      <c r="V18" s="4"/>
      <c r="W18" s="4">
        <f t="shared" si="9"/>
        <v>0</v>
      </c>
      <c r="X18" s="4"/>
      <c r="Y18" s="4"/>
      <c r="Z18" s="3"/>
      <c r="AA18" s="408" t="s">
        <v>748</v>
      </c>
      <c r="AB18" s="3">
        <v>810000</v>
      </c>
      <c r="AC18" s="266"/>
      <c r="AD18" s="247"/>
      <c r="AE18" s="247"/>
      <c r="AF18" s="247"/>
      <c r="AG18" s="34"/>
      <c r="AH18" s="30"/>
      <c r="AI18" s="447"/>
      <c r="AJ18" s="448"/>
      <c r="AK18" s="449"/>
      <c r="AL18" s="31"/>
      <c r="AM18" s="31"/>
      <c r="AN18" s="31"/>
      <c r="AO18" s="31"/>
      <c r="AP18" s="30"/>
    </row>
    <row r="19" spans="1:42" s="5" customFormat="1" ht="30" customHeight="1">
      <c r="A19" s="3">
        <f t="shared" si="10"/>
        <v>14</v>
      </c>
      <c r="B19" s="3">
        <v>1481</v>
      </c>
      <c r="C19" s="3" t="s">
        <v>291</v>
      </c>
      <c r="D19" s="4">
        <v>6980000</v>
      </c>
      <c r="E19" s="4">
        <v>6980000</v>
      </c>
      <c r="F19" s="4">
        <f t="shared" si="0"/>
        <v>0</v>
      </c>
      <c r="G19" s="4">
        <v>6980000</v>
      </c>
      <c r="H19" s="4">
        <v>6730488.3799999999</v>
      </c>
      <c r="I19" s="4"/>
      <c r="J19" s="4">
        <v>24359</v>
      </c>
      <c r="K19" s="4">
        <f t="shared" si="2"/>
        <v>24359</v>
      </c>
      <c r="L19" s="4">
        <f t="shared" si="3"/>
        <v>6754847.3799999999</v>
      </c>
      <c r="M19" s="4">
        <f t="shared" si="4"/>
        <v>225152.62000000011</v>
      </c>
      <c r="N19" s="4"/>
      <c r="O19" s="4">
        <f t="shared" si="5"/>
        <v>0</v>
      </c>
      <c r="P19" s="4">
        <f t="shared" si="6"/>
        <v>225152.62000000011</v>
      </c>
      <c r="Q19" s="4"/>
      <c r="R19" s="4"/>
      <c r="S19" s="4">
        <f t="shared" si="7"/>
        <v>0</v>
      </c>
      <c r="T19" s="4">
        <f t="shared" si="8"/>
        <v>0</v>
      </c>
      <c r="U19" s="4">
        <f t="shared" si="1"/>
        <v>0</v>
      </c>
      <c r="V19" s="4"/>
      <c r="W19" s="4">
        <f t="shared" si="9"/>
        <v>0</v>
      </c>
      <c r="X19" s="4"/>
      <c r="Y19" s="4"/>
      <c r="Z19" s="3"/>
      <c r="AA19" s="408"/>
      <c r="AB19" s="3">
        <v>743000</v>
      </c>
      <c r="AC19" s="266"/>
      <c r="AD19" s="247"/>
      <c r="AE19" s="247"/>
      <c r="AF19" s="247"/>
      <c r="AG19" s="34"/>
      <c r="AH19" s="30"/>
      <c r="AI19" s="447"/>
      <c r="AJ19" s="448"/>
      <c r="AK19" s="449"/>
      <c r="AL19" s="31"/>
      <c r="AM19" s="31"/>
      <c r="AN19" s="31"/>
      <c r="AO19" s="31"/>
      <c r="AP19" s="30"/>
    </row>
    <row r="20" spans="1:42" s="5" customFormat="1" ht="30" customHeight="1">
      <c r="A20" s="3">
        <f t="shared" si="10"/>
        <v>15</v>
      </c>
      <c r="B20" s="3">
        <v>1482</v>
      </c>
      <c r="C20" s="3" t="s">
        <v>78</v>
      </c>
      <c r="D20" s="4">
        <v>1450000</v>
      </c>
      <c r="E20" s="4">
        <v>1450000</v>
      </c>
      <c r="F20" s="4">
        <f t="shared" si="0"/>
        <v>0</v>
      </c>
      <c r="G20" s="4">
        <v>1450000</v>
      </c>
      <c r="H20" s="4">
        <v>1391606.01</v>
      </c>
      <c r="I20" s="4"/>
      <c r="J20" s="4">
        <v>17207.22</v>
      </c>
      <c r="K20" s="4">
        <f t="shared" si="2"/>
        <v>17207.22</v>
      </c>
      <c r="L20" s="4">
        <f t="shared" si="3"/>
        <v>1408813.23</v>
      </c>
      <c r="M20" s="4">
        <f t="shared" si="4"/>
        <v>41186.770000000019</v>
      </c>
      <c r="N20" s="4"/>
      <c r="O20" s="4">
        <f t="shared" si="5"/>
        <v>0</v>
      </c>
      <c r="P20" s="4">
        <f t="shared" si="6"/>
        <v>41186.770000000019</v>
      </c>
      <c r="Q20" s="4"/>
      <c r="R20" s="4"/>
      <c r="S20" s="4">
        <f t="shared" si="7"/>
        <v>0</v>
      </c>
      <c r="T20" s="4">
        <f t="shared" si="8"/>
        <v>0</v>
      </c>
      <c r="U20" s="4">
        <f t="shared" si="1"/>
        <v>0</v>
      </c>
      <c r="V20" s="4"/>
      <c r="W20" s="4">
        <f t="shared" si="9"/>
        <v>0</v>
      </c>
      <c r="X20" s="4"/>
      <c r="Y20" s="4"/>
      <c r="Z20" s="3"/>
      <c r="AA20" s="408"/>
      <c r="AB20" s="3">
        <v>810000</v>
      </c>
      <c r="AC20" s="266"/>
      <c r="AD20" s="247"/>
      <c r="AE20" s="247"/>
      <c r="AF20" s="247"/>
      <c r="AG20" s="34"/>
      <c r="AH20" s="30"/>
      <c r="AI20" s="447"/>
      <c r="AJ20" s="448"/>
      <c r="AK20" s="449"/>
      <c r="AL20" s="31"/>
      <c r="AM20" s="31"/>
      <c r="AN20" s="31"/>
      <c r="AO20" s="31"/>
      <c r="AP20" s="30"/>
    </row>
    <row r="21" spans="1:42" s="5" customFormat="1" ht="30" customHeight="1">
      <c r="A21" s="3">
        <f t="shared" si="10"/>
        <v>16</v>
      </c>
      <c r="B21" s="3">
        <v>1483</v>
      </c>
      <c r="C21" s="3" t="s">
        <v>79</v>
      </c>
      <c r="D21" s="4">
        <v>2700000</v>
      </c>
      <c r="E21" s="4">
        <v>2700000</v>
      </c>
      <c r="F21" s="4">
        <f t="shared" si="0"/>
        <v>0</v>
      </c>
      <c r="G21" s="4">
        <v>1800000</v>
      </c>
      <c r="H21" s="4">
        <v>1506475.21</v>
      </c>
      <c r="I21" s="4"/>
      <c r="J21" s="4">
        <v>293000</v>
      </c>
      <c r="K21" s="4">
        <f t="shared" si="2"/>
        <v>293000</v>
      </c>
      <c r="L21" s="4">
        <f t="shared" si="3"/>
        <v>1799475.21</v>
      </c>
      <c r="M21" s="4">
        <f t="shared" si="4"/>
        <v>524.79000000003725</v>
      </c>
      <c r="N21" s="4">
        <v>300000</v>
      </c>
      <c r="O21" s="4">
        <f t="shared" si="5"/>
        <v>600000</v>
      </c>
      <c r="P21" s="4">
        <f t="shared" si="6"/>
        <v>524.79000000003725</v>
      </c>
      <c r="Q21" s="4"/>
      <c r="R21" s="4"/>
      <c r="S21" s="4">
        <f t="shared" si="7"/>
        <v>0</v>
      </c>
      <c r="T21" s="4">
        <f t="shared" si="8"/>
        <v>0</v>
      </c>
      <c r="U21" s="4">
        <f t="shared" si="1"/>
        <v>300000</v>
      </c>
      <c r="V21" s="4"/>
      <c r="W21" s="4">
        <f t="shared" si="9"/>
        <v>300000</v>
      </c>
      <c r="X21" s="4"/>
      <c r="Y21" s="4"/>
      <c r="Z21" s="3"/>
      <c r="AA21" s="408" t="s">
        <v>749</v>
      </c>
      <c r="AB21" s="3">
        <v>812000</v>
      </c>
      <c r="AC21" s="266"/>
      <c r="AD21" s="247"/>
      <c r="AE21" s="247"/>
      <c r="AF21" s="247"/>
      <c r="AG21" s="34"/>
      <c r="AH21" s="30"/>
      <c r="AI21" s="447"/>
      <c r="AJ21" s="448"/>
      <c r="AK21" s="449"/>
      <c r="AL21" s="31"/>
      <c r="AM21" s="31"/>
      <c r="AN21" s="31"/>
      <c r="AO21" s="31"/>
      <c r="AP21" s="30"/>
    </row>
    <row r="22" spans="1:42" s="5" customFormat="1" ht="30" customHeight="1">
      <c r="A22" s="3">
        <f t="shared" si="10"/>
        <v>17</v>
      </c>
      <c r="B22" s="3">
        <v>1489</v>
      </c>
      <c r="C22" s="3" t="s">
        <v>750</v>
      </c>
      <c r="D22" s="4">
        <f>46200000+3800000-3800000</f>
        <v>46200000</v>
      </c>
      <c r="E22" s="4">
        <v>46200000</v>
      </c>
      <c r="F22" s="4">
        <f t="shared" si="0"/>
        <v>0</v>
      </c>
      <c r="G22" s="4">
        <v>40000000</v>
      </c>
      <c r="H22" s="4">
        <v>28740714.640000001</v>
      </c>
      <c r="I22" s="4"/>
      <c r="J22" s="4">
        <v>9135671</v>
      </c>
      <c r="K22" s="4">
        <f t="shared" si="2"/>
        <v>9135671</v>
      </c>
      <c r="L22" s="4">
        <f t="shared" si="3"/>
        <v>37876385.640000001</v>
      </c>
      <c r="M22" s="4">
        <f t="shared" si="4"/>
        <v>2123614.3599999994</v>
      </c>
      <c r="N22" s="4">
        <f>10000000-3000000-3000000</f>
        <v>4000000</v>
      </c>
      <c r="O22" s="4">
        <f t="shared" si="5"/>
        <v>2200000</v>
      </c>
      <c r="P22" s="4">
        <f t="shared" si="6"/>
        <v>2123614.3599999994</v>
      </c>
      <c r="Q22" s="4"/>
      <c r="R22" s="4"/>
      <c r="S22" s="4">
        <f t="shared" si="7"/>
        <v>0</v>
      </c>
      <c r="T22" s="4">
        <f t="shared" si="8"/>
        <v>0</v>
      </c>
      <c r="U22" s="4">
        <f t="shared" si="1"/>
        <v>4000000</v>
      </c>
      <c r="V22" s="4"/>
      <c r="W22" s="4">
        <f t="shared" si="9"/>
        <v>4000000</v>
      </c>
      <c r="X22" s="4"/>
      <c r="Y22" s="4"/>
      <c r="Z22" s="3"/>
      <c r="AA22" s="408" t="s">
        <v>1331</v>
      </c>
      <c r="AB22" s="3">
        <v>742000</v>
      </c>
      <c r="AC22" s="266"/>
      <c r="AD22" s="247"/>
      <c r="AE22" s="247"/>
      <c r="AF22" s="247"/>
      <c r="AG22" s="34"/>
      <c r="AH22" s="30"/>
      <c r="AI22" s="447"/>
      <c r="AJ22" s="448"/>
      <c r="AK22" s="449"/>
      <c r="AL22" s="31"/>
      <c r="AM22" s="31"/>
      <c r="AN22" s="31"/>
      <c r="AO22" s="31"/>
      <c r="AP22" s="30"/>
    </row>
    <row r="23" spans="1:42" s="5" customFormat="1" ht="30" customHeight="1">
      <c r="A23" s="3">
        <f t="shared" si="10"/>
        <v>18</v>
      </c>
      <c r="B23" s="3">
        <v>1560</v>
      </c>
      <c r="C23" s="3" t="s">
        <v>81</v>
      </c>
      <c r="D23" s="4">
        <f>3660000+1000000+80000-980000</f>
        <v>3760000</v>
      </c>
      <c r="E23" s="4">
        <v>3660000</v>
      </c>
      <c r="F23" s="4">
        <f t="shared" si="0"/>
        <v>100000</v>
      </c>
      <c r="G23" s="4">
        <v>3260000</v>
      </c>
      <c r="H23" s="4">
        <v>2620318.96</v>
      </c>
      <c r="I23" s="4">
        <v>261185</v>
      </c>
      <c r="J23" s="4">
        <v>346182</v>
      </c>
      <c r="K23" s="4">
        <f t="shared" si="2"/>
        <v>607367</v>
      </c>
      <c r="L23" s="4">
        <f t="shared" si="3"/>
        <v>3227685.96</v>
      </c>
      <c r="M23" s="4">
        <f t="shared" si="4"/>
        <v>32314.040000000037</v>
      </c>
      <c r="N23" s="4">
        <f>800000+80000+460000+50000+30000+60000-980000</f>
        <v>500000</v>
      </c>
      <c r="O23" s="4">
        <f t="shared" si="5"/>
        <v>0</v>
      </c>
      <c r="P23" s="4">
        <f t="shared" si="6"/>
        <v>32314.040000000037</v>
      </c>
      <c r="Q23" s="4"/>
      <c r="R23" s="4"/>
      <c r="S23" s="4">
        <f t="shared" si="7"/>
        <v>0</v>
      </c>
      <c r="T23" s="4">
        <f t="shared" si="8"/>
        <v>0</v>
      </c>
      <c r="U23" s="4">
        <f t="shared" si="1"/>
        <v>500000</v>
      </c>
      <c r="V23" s="4"/>
      <c r="W23" s="4">
        <f t="shared" si="9"/>
        <v>500000</v>
      </c>
      <c r="X23" s="4"/>
      <c r="Y23" s="4"/>
      <c r="Z23" s="3"/>
      <c r="AA23" s="408" t="s">
        <v>1132</v>
      </c>
      <c r="AB23" s="3">
        <v>746000</v>
      </c>
      <c r="AC23" s="266"/>
      <c r="AD23" s="247"/>
      <c r="AE23" s="247"/>
      <c r="AF23" s="247"/>
      <c r="AG23" s="34"/>
      <c r="AH23" s="30"/>
      <c r="AI23" s="447"/>
      <c r="AJ23" s="448"/>
      <c r="AK23" s="449"/>
      <c r="AL23" s="31"/>
      <c r="AM23" s="31"/>
      <c r="AN23" s="31"/>
      <c r="AO23" s="31"/>
      <c r="AP23" s="30"/>
    </row>
    <row r="24" spans="1:42" s="5" customFormat="1" ht="30" customHeight="1">
      <c r="A24" s="3">
        <f t="shared" si="10"/>
        <v>19</v>
      </c>
      <c r="B24" s="3">
        <v>1662</v>
      </c>
      <c r="C24" s="3" t="s">
        <v>230</v>
      </c>
      <c r="D24" s="4">
        <v>815000</v>
      </c>
      <c r="E24" s="4">
        <v>815000</v>
      </c>
      <c r="F24" s="4">
        <f t="shared" si="0"/>
        <v>0</v>
      </c>
      <c r="G24" s="4">
        <v>425000</v>
      </c>
      <c r="H24" s="4">
        <v>241865.62</v>
      </c>
      <c r="I24" s="4"/>
      <c r="J24" s="4"/>
      <c r="K24" s="4">
        <f t="shared" si="2"/>
        <v>0</v>
      </c>
      <c r="L24" s="4">
        <f t="shared" si="3"/>
        <v>241865.62</v>
      </c>
      <c r="M24" s="4">
        <f t="shared" si="4"/>
        <v>573134.38</v>
      </c>
      <c r="N24" s="4"/>
      <c r="O24" s="4">
        <f t="shared" si="5"/>
        <v>0</v>
      </c>
      <c r="P24" s="4">
        <f t="shared" si="6"/>
        <v>183134.38</v>
      </c>
      <c r="Q24" s="4">
        <v>390000</v>
      </c>
      <c r="R24" s="4"/>
      <c r="S24" s="4">
        <f t="shared" si="7"/>
        <v>390000</v>
      </c>
      <c r="T24" s="4">
        <f t="shared" si="8"/>
        <v>0</v>
      </c>
      <c r="U24" s="4">
        <f t="shared" si="1"/>
        <v>0</v>
      </c>
      <c r="V24" s="4"/>
      <c r="W24" s="4">
        <f t="shared" si="9"/>
        <v>0</v>
      </c>
      <c r="X24" s="4"/>
      <c r="Y24" s="4"/>
      <c r="Z24" s="3"/>
      <c r="AA24" s="408"/>
      <c r="AB24" s="3">
        <v>870000</v>
      </c>
      <c r="AC24" s="266"/>
      <c r="AD24" s="247"/>
      <c r="AE24" s="247"/>
      <c r="AF24" s="247"/>
      <c r="AG24" s="34"/>
      <c r="AH24" s="30"/>
      <c r="AI24" s="447"/>
      <c r="AJ24" s="448"/>
      <c r="AK24" s="449"/>
      <c r="AL24" s="31"/>
      <c r="AM24" s="31"/>
      <c r="AN24" s="31"/>
      <c r="AO24" s="31"/>
      <c r="AP24" s="30"/>
    </row>
    <row r="25" spans="1:42" s="5" customFormat="1" ht="30" customHeight="1">
      <c r="A25" s="3">
        <f t="shared" si="10"/>
        <v>20</v>
      </c>
      <c r="B25" s="3">
        <v>1676</v>
      </c>
      <c r="C25" s="3" t="s">
        <v>292</v>
      </c>
      <c r="D25" s="4">
        <f>43215000-450000</f>
        <v>42765000</v>
      </c>
      <c r="E25" s="4">
        <v>43215000</v>
      </c>
      <c r="F25" s="4">
        <f t="shared" si="0"/>
        <v>-450000</v>
      </c>
      <c r="G25" s="4">
        <v>43215000</v>
      </c>
      <c r="H25" s="4">
        <v>42484661.57</v>
      </c>
      <c r="I25" s="4">
        <v>209870.43</v>
      </c>
      <c r="J25" s="4">
        <v>586.61</v>
      </c>
      <c r="K25" s="4">
        <f t="shared" si="2"/>
        <v>210457.03999999998</v>
      </c>
      <c r="L25" s="4">
        <f t="shared" si="3"/>
        <v>42695118.609999999</v>
      </c>
      <c r="M25" s="4">
        <f>P25+S25-450000</f>
        <v>69881.390000000596</v>
      </c>
      <c r="N25" s="4"/>
      <c r="O25" s="4">
        <f t="shared" si="5"/>
        <v>0</v>
      </c>
      <c r="P25" s="4">
        <f t="shared" si="6"/>
        <v>519881.3900000006</v>
      </c>
      <c r="Q25" s="4"/>
      <c r="R25" s="4"/>
      <c r="S25" s="4">
        <f t="shared" si="7"/>
        <v>0</v>
      </c>
      <c r="T25" s="4">
        <f t="shared" si="8"/>
        <v>450000</v>
      </c>
      <c r="U25" s="4">
        <f t="shared" si="1"/>
        <v>-450000</v>
      </c>
      <c r="V25" s="4"/>
      <c r="W25" s="4">
        <f t="shared" si="9"/>
        <v>-450000</v>
      </c>
      <c r="X25" s="4"/>
      <c r="Y25" s="4"/>
      <c r="Z25" s="3"/>
      <c r="AA25" s="408"/>
      <c r="AB25" s="3">
        <v>810000</v>
      </c>
      <c r="AC25" s="266"/>
      <c r="AD25" s="247"/>
      <c r="AE25" s="247"/>
      <c r="AF25" s="247"/>
      <c r="AG25" s="34"/>
      <c r="AH25" s="30"/>
      <c r="AI25" s="447"/>
      <c r="AJ25" s="448"/>
      <c r="AK25" s="449"/>
      <c r="AL25" s="31"/>
      <c r="AM25" s="31"/>
      <c r="AN25" s="31"/>
      <c r="AO25" s="31"/>
      <c r="AP25" s="30"/>
    </row>
    <row r="26" spans="1:42" s="5" customFormat="1" ht="30" customHeight="1">
      <c r="A26" s="3">
        <f t="shared" si="10"/>
        <v>21</v>
      </c>
      <c r="B26" s="3">
        <v>1677</v>
      </c>
      <c r="C26" s="3" t="s">
        <v>83</v>
      </c>
      <c r="D26" s="4">
        <v>18500000</v>
      </c>
      <c r="E26" s="4">
        <v>18500000</v>
      </c>
      <c r="F26" s="4">
        <f t="shared" si="0"/>
        <v>0</v>
      </c>
      <c r="G26" s="4">
        <v>18500000</v>
      </c>
      <c r="H26" s="4">
        <v>17903593.199999999</v>
      </c>
      <c r="I26" s="4">
        <v>302080</v>
      </c>
      <c r="J26" s="4">
        <v>232254</v>
      </c>
      <c r="K26" s="4">
        <f t="shared" si="2"/>
        <v>534334</v>
      </c>
      <c r="L26" s="4">
        <f t="shared" si="3"/>
        <v>18437927.199999999</v>
      </c>
      <c r="M26" s="4">
        <f t="shared" si="4"/>
        <v>62072.800000000745</v>
      </c>
      <c r="N26" s="4"/>
      <c r="O26" s="4">
        <f t="shared" si="5"/>
        <v>0</v>
      </c>
      <c r="P26" s="4">
        <f t="shared" si="6"/>
        <v>62072.800000000745</v>
      </c>
      <c r="Q26" s="4"/>
      <c r="R26" s="4"/>
      <c r="S26" s="4">
        <f t="shared" si="7"/>
        <v>0</v>
      </c>
      <c r="T26" s="4">
        <f t="shared" si="8"/>
        <v>0</v>
      </c>
      <c r="U26" s="4">
        <f t="shared" si="1"/>
        <v>0</v>
      </c>
      <c r="V26" s="4"/>
      <c r="W26" s="4">
        <f t="shared" si="9"/>
        <v>0</v>
      </c>
      <c r="X26" s="4"/>
      <c r="Y26" s="4"/>
      <c r="Z26" s="3"/>
      <c r="AA26" s="408"/>
      <c r="AB26" s="3">
        <v>810000</v>
      </c>
      <c r="AC26" s="266"/>
      <c r="AD26" s="247"/>
      <c r="AE26" s="247"/>
      <c r="AF26" s="247"/>
      <c r="AG26" s="34"/>
      <c r="AH26" s="30"/>
      <c r="AI26" s="447"/>
      <c r="AJ26" s="448"/>
      <c r="AK26" s="449"/>
      <c r="AL26" s="31"/>
      <c r="AM26" s="31"/>
      <c r="AN26" s="31"/>
      <c r="AO26" s="31"/>
      <c r="AP26" s="30"/>
    </row>
    <row r="27" spans="1:42" s="5" customFormat="1" ht="30" customHeight="1">
      <c r="A27" s="3">
        <f t="shared" si="10"/>
        <v>22</v>
      </c>
      <c r="B27" s="3">
        <v>1691</v>
      </c>
      <c r="C27" s="3" t="s">
        <v>293</v>
      </c>
      <c r="D27" s="4">
        <v>210000</v>
      </c>
      <c r="E27" s="4">
        <v>210000</v>
      </c>
      <c r="F27" s="4">
        <f t="shared" si="0"/>
        <v>0</v>
      </c>
      <c r="G27" s="4">
        <v>210000</v>
      </c>
      <c r="H27" s="4">
        <v>184253.53</v>
      </c>
      <c r="I27" s="4"/>
      <c r="J27" s="4"/>
      <c r="K27" s="4">
        <f t="shared" si="2"/>
        <v>0</v>
      </c>
      <c r="L27" s="4">
        <f t="shared" si="3"/>
        <v>184253.53</v>
      </c>
      <c r="M27" s="4">
        <f t="shared" si="4"/>
        <v>25746.47</v>
      </c>
      <c r="N27" s="4"/>
      <c r="O27" s="4">
        <f t="shared" si="5"/>
        <v>0</v>
      </c>
      <c r="P27" s="4">
        <f t="shared" si="6"/>
        <v>25746.47</v>
      </c>
      <c r="Q27" s="4"/>
      <c r="R27" s="4"/>
      <c r="S27" s="4">
        <f t="shared" si="7"/>
        <v>0</v>
      </c>
      <c r="T27" s="4">
        <f t="shared" si="8"/>
        <v>0</v>
      </c>
      <c r="U27" s="4">
        <f t="shared" si="1"/>
        <v>0</v>
      </c>
      <c r="V27" s="4"/>
      <c r="W27" s="4">
        <f t="shared" si="9"/>
        <v>0</v>
      </c>
      <c r="X27" s="4"/>
      <c r="Y27" s="4"/>
      <c r="Z27" s="3"/>
      <c r="AA27" s="408"/>
      <c r="AB27" s="3">
        <v>810000</v>
      </c>
      <c r="AC27" s="266"/>
      <c r="AD27" s="247"/>
      <c r="AE27" s="247"/>
      <c r="AF27" s="247"/>
      <c r="AG27" s="34"/>
      <c r="AH27" s="30"/>
      <c r="AI27" s="447"/>
      <c r="AJ27" s="448"/>
      <c r="AK27" s="449"/>
      <c r="AL27" s="31"/>
      <c r="AM27" s="31"/>
      <c r="AN27" s="31"/>
      <c r="AO27" s="31"/>
      <c r="AP27" s="30"/>
    </row>
    <row r="28" spans="1:42" s="5" customFormat="1" ht="30" customHeight="1">
      <c r="A28" s="3">
        <f t="shared" si="10"/>
        <v>23</v>
      </c>
      <c r="B28" s="3">
        <v>1711</v>
      </c>
      <c r="C28" s="3" t="s">
        <v>85</v>
      </c>
      <c r="D28" s="4">
        <f>445000-60000</f>
        <v>385000</v>
      </c>
      <c r="E28" s="4">
        <v>445000</v>
      </c>
      <c r="F28" s="4">
        <f t="shared" si="0"/>
        <v>-60000</v>
      </c>
      <c r="G28" s="4">
        <v>425000</v>
      </c>
      <c r="H28" s="4">
        <v>326380.49</v>
      </c>
      <c r="I28" s="4"/>
      <c r="J28" s="4">
        <v>10077.280000000001</v>
      </c>
      <c r="K28" s="4">
        <f t="shared" si="2"/>
        <v>10077.280000000001</v>
      </c>
      <c r="L28" s="4">
        <f t="shared" si="3"/>
        <v>336457.77</v>
      </c>
      <c r="M28" s="4">
        <f>P28+S28-40000</f>
        <v>48542.229999999981</v>
      </c>
      <c r="N28" s="4"/>
      <c r="O28" s="4">
        <f t="shared" si="5"/>
        <v>0</v>
      </c>
      <c r="P28" s="4">
        <f t="shared" si="6"/>
        <v>88542.229999999981</v>
      </c>
      <c r="Q28" s="4"/>
      <c r="R28" s="4"/>
      <c r="S28" s="4">
        <f t="shared" si="7"/>
        <v>0</v>
      </c>
      <c r="T28" s="4">
        <f t="shared" si="8"/>
        <v>40000</v>
      </c>
      <c r="U28" s="4">
        <f t="shared" si="1"/>
        <v>-40000</v>
      </c>
      <c r="V28" s="4"/>
      <c r="W28" s="4">
        <f t="shared" si="9"/>
        <v>-40000</v>
      </c>
      <c r="X28" s="4"/>
      <c r="Y28" s="4"/>
      <c r="Z28" s="3"/>
      <c r="AA28" s="694"/>
      <c r="AB28" s="3">
        <v>810000</v>
      </c>
      <c r="AC28" s="266"/>
      <c r="AD28" s="247"/>
      <c r="AE28" s="247"/>
      <c r="AF28" s="247"/>
      <c r="AG28" s="34"/>
      <c r="AH28" s="30"/>
      <c r="AI28" s="447"/>
      <c r="AJ28" s="448"/>
      <c r="AK28" s="449"/>
      <c r="AL28" s="31"/>
      <c r="AM28" s="31"/>
      <c r="AN28" s="31"/>
      <c r="AO28" s="31"/>
      <c r="AP28" s="30"/>
    </row>
    <row r="29" spans="1:42" s="5" customFormat="1" ht="30" customHeight="1">
      <c r="A29" s="3">
        <f t="shared" si="10"/>
        <v>24</v>
      </c>
      <c r="B29" s="3">
        <v>1769</v>
      </c>
      <c r="C29" s="3" t="s">
        <v>86</v>
      </c>
      <c r="D29" s="4">
        <v>4870000</v>
      </c>
      <c r="E29" s="4">
        <v>4870000</v>
      </c>
      <c r="F29" s="4">
        <f t="shared" si="0"/>
        <v>0</v>
      </c>
      <c r="G29" s="4">
        <v>4870000</v>
      </c>
      <c r="H29" s="4">
        <v>4767927.57</v>
      </c>
      <c r="I29" s="4">
        <v>65828.67</v>
      </c>
      <c r="J29" s="4"/>
      <c r="K29" s="4">
        <f t="shared" si="2"/>
        <v>65828.67</v>
      </c>
      <c r="L29" s="4">
        <f t="shared" si="3"/>
        <v>4833756.24</v>
      </c>
      <c r="M29" s="4">
        <f t="shared" si="4"/>
        <v>36243.759999999776</v>
      </c>
      <c r="N29" s="4"/>
      <c r="O29" s="4">
        <f t="shared" si="5"/>
        <v>0</v>
      </c>
      <c r="P29" s="4">
        <f t="shared" si="6"/>
        <v>36243.759999999776</v>
      </c>
      <c r="Q29" s="4"/>
      <c r="R29" s="4"/>
      <c r="S29" s="4">
        <f t="shared" si="7"/>
        <v>0</v>
      </c>
      <c r="T29" s="4">
        <f t="shared" si="8"/>
        <v>0</v>
      </c>
      <c r="U29" s="4">
        <f t="shared" si="1"/>
        <v>0</v>
      </c>
      <c r="V29" s="4"/>
      <c r="W29" s="4">
        <f t="shared" si="9"/>
        <v>0</v>
      </c>
      <c r="X29" s="4"/>
      <c r="Y29" s="4"/>
      <c r="Z29" s="3"/>
      <c r="AA29" s="408"/>
      <c r="AB29" s="3">
        <v>810000</v>
      </c>
      <c r="AC29" s="266"/>
      <c r="AD29" s="247"/>
      <c r="AE29" s="247"/>
      <c r="AF29" s="247"/>
      <c r="AG29" s="34"/>
      <c r="AH29" s="30"/>
      <c r="AI29" s="447"/>
      <c r="AJ29" s="448"/>
      <c r="AK29" s="449"/>
      <c r="AL29" s="31"/>
      <c r="AM29" s="31"/>
      <c r="AN29" s="31"/>
      <c r="AO29" s="31"/>
      <c r="AP29" s="30"/>
    </row>
    <row r="30" spans="1:42" s="5" customFormat="1" ht="30" customHeight="1">
      <c r="A30" s="3">
        <f t="shared" si="10"/>
        <v>25</v>
      </c>
      <c r="B30" s="3">
        <v>1770</v>
      </c>
      <c r="C30" s="3" t="s">
        <v>751</v>
      </c>
      <c r="D30" s="4">
        <v>29752105</v>
      </c>
      <c r="E30" s="4">
        <v>29752105</v>
      </c>
      <c r="F30" s="4">
        <f t="shared" si="0"/>
        <v>0</v>
      </c>
      <c r="G30" s="4">
        <v>29752105</v>
      </c>
      <c r="H30" s="4">
        <v>26831640.559999999</v>
      </c>
      <c r="I30" s="4">
        <v>2156197.21</v>
      </c>
      <c r="J30" s="4">
        <f>2681924-2156296</f>
        <v>525628</v>
      </c>
      <c r="K30" s="4">
        <f t="shared" si="2"/>
        <v>2681825.21</v>
      </c>
      <c r="L30" s="4">
        <f t="shared" si="3"/>
        <v>29513465.77</v>
      </c>
      <c r="M30" s="4">
        <f t="shared" si="4"/>
        <v>238639.23000000045</v>
      </c>
      <c r="N30" s="4"/>
      <c r="O30" s="4">
        <f t="shared" si="5"/>
        <v>0</v>
      </c>
      <c r="P30" s="4">
        <f t="shared" si="6"/>
        <v>238639.23000000045</v>
      </c>
      <c r="Q30" s="4"/>
      <c r="R30" s="4"/>
      <c r="S30" s="4">
        <f t="shared" si="7"/>
        <v>0</v>
      </c>
      <c r="T30" s="4">
        <f t="shared" si="8"/>
        <v>0</v>
      </c>
      <c r="U30" s="4">
        <f t="shared" si="1"/>
        <v>0</v>
      </c>
      <c r="V30" s="4"/>
      <c r="W30" s="4">
        <f t="shared" si="9"/>
        <v>0</v>
      </c>
      <c r="X30" s="4"/>
      <c r="Y30" s="4"/>
      <c r="Z30" s="3"/>
      <c r="AA30" s="408"/>
      <c r="AB30" s="3">
        <v>810000</v>
      </c>
      <c r="AC30" s="266"/>
      <c r="AD30" s="247"/>
      <c r="AE30" s="247"/>
      <c r="AF30" s="247"/>
      <c r="AG30" s="34"/>
      <c r="AH30" s="30"/>
      <c r="AI30" s="447"/>
      <c r="AJ30" s="448"/>
      <c r="AK30" s="449"/>
      <c r="AL30" s="31"/>
      <c r="AM30" s="31"/>
      <c r="AN30" s="31"/>
      <c r="AO30" s="31"/>
      <c r="AP30" s="30"/>
    </row>
    <row r="31" spans="1:42" s="5" customFormat="1" ht="30" customHeight="1">
      <c r="A31" s="3">
        <f t="shared" si="10"/>
        <v>26</v>
      </c>
      <c r="B31" s="3">
        <v>1773</v>
      </c>
      <c r="C31" s="3" t="s">
        <v>173</v>
      </c>
      <c r="D31" s="4">
        <v>1500000</v>
      </c>
      <c r="E31" s="4">
        <v>1500000</v>
      </c>
      <c r="F31" s="4">
        <f t="shared" si="0"/>
        <v>0</v>
      </c>
      <c r="G31" s="4">
        <v>500000</v>
      </c>
      <c r="H31" s="4">
        <v>119925</v>
      </c>
      <c r="I31" s="4">
        <v>58000</v>
      </c>
      <c r="J31" s="4"/>
      <c r="K31" s="4">
        <f t="shared" si="2"/>
        <v>58000</v>
      </c>
      <c r="L31" s="4">
        <f t="shared" si="3"/>
        <v>177925</v>
      </c>
      <c r="M31" s="4">
        <f t="shared" si="4"/>
        <v>822075</v>
      </c>
      <c r="N31" s="4">
        <v>500000</v>
      </c>
      <c r="O31" s="4">
        <f t="shared" si="5"/>
        <v>0</v>
      </c>
      <c r="P31" s="4">
        <f t="shared" si="6"/>
        <v>322075</v>
      </c>
      <c r="Q31" s="4">
        <v>500000</v>
      </c>
      <c r="R31" s="4"/>
      <c r="S31" s="4">
        <f t="shared" si="7"/>
        <v>500000</v>
      </c>
      <c r="T31" s="4">
        <f t="shared" si="8"/>
        <v>0</v>
      </c>
      <c r="U31" s="4">
        <f t="shared" si="1"/>
        <v>500000</v>
      </c>
      <c r="V31" s="4"/>
      <c r="W31" s="4">
        <f t="shared" si="9"/>
        <v>500000</v>
      </c>
      <c r="X31" s="4"/>
      <c r="Y31" s="4"/>
      <c r="Z31" s="3"/>
      <c r="AA31" s="408" t="s">
        <v>752</v>
      </c>
      <c r="AB31" s="3">
        <v>746000</v>
      </c>
      <c r="AC31" s="266"/>
      <c r="AD31" s="247"/>
      <c r="AE31" s="247"/>
      <c r="AF31" s="247"/>
      <c r="AG31" s="34"/>
      <c r="AH31" s="30"/>
      <c r="AI31" s="447"/>
      <c r="AJ31" s="448"/>
      <c r="AK31" s="30"/>
      <c r="AL31" s="31"/>
      <c r="AM31" s="31"/>
      <c r="AN31" s="31"/>
      <c r="AO31" s="31"/>
      <c r="AP31" s="30"/>
    </row>
    <row r="32" spans="1:42" s="5" customFormat="1" ht="30" customHeight="1">
      <c r="A32" s="3">
        <f t="shared" si="10"/>
        <v>27</v>
      </c>
      <c r="B32" s="3">
        <v>1794</v>
      </c>
      <c r="C32" s="3" t="s">
        <v>188</v>
      </c>
      <c r="D32" s="4">
        <f>975000+125000</f>
        <v>1100000</v>
      </c>
      <c r="E32" s="4">
        <f>850000+125000</f>
        <v>975000</v>
      </c>
      <c r="F32" s="4">
        <f t="shared" si="0"/>
        <v>125000</v>
      </c>
      <c r="G32" s="4">
        <v>975000</v>
      </c>
      <c r="H32" s="4">
        <v>363860.26</v>
      </c>
      <c r="I32" s="4">
        <v>59582.23</v>
      </c>
      <c r="J32" s="4">
        <v>546083</v>
      </c>
      <c r="K32" s="4">
        <f t="shared" si="2"/>
        <v>605665.23</v>
      </c>
      <c r="L32" s="4">
        <f t="shared" si="3"/>
        <v>969525.49</v>
      </c>
      <c r="M32" s="4">
        <f t="shared" si="4"/>
        <v>5474.5100000000093</v>
      </c>
      <c r="N32" s="4">
        <v>125000</v>
      </c>
      <c r="O32" s="4">
        <f t="shared" si="5"/>
        <v>0</v>
      </c>
      <c r="P32" s="4">
        <f t="shared" si="6"/>
        <v>5474.5100000000093</v>
      </c>
      <c r="Q32" s="4"/>
      <c r="R32" s="4"/>
      <c r="S32" s="4">
        <f t="shared" si="7"/>
        <v>0</v>
      </c>
      <c r="T32" s="4">
        <f t="shared" si="8"/>
        <v>0</v>
      </c>
      <c r="U32" s="4">
        <f t="shared" si="1"/>
        <v>125000</v>
      </c>
      <c r="V32" s="4"/>
      <c r="W32" s="4">
        <f t="shared" si="9"/>
        <v>125000</v>
      </c>
      <c r="X32" s="4"/>
      <c r="Y32" s="4"/>
      <c r="Z32" s="3"/>
      <c r="AA32" s="408" t="s">
        <v>753</v>
      </c>
      <c r="AB32" s="3">
        <v>850000</v>
      </c>
      <c r="AC32" s="266"/>
      <c r="AD32" s="247"/>
      <c r="AE32" s="247"/>
      <c r="AF32" s="247"/>
      <c r="AG32" s="34"/>
      <c r="AH32" s="30"/>
      <c r="AI32" s="447"/>
      <c r="AJ32" s="448"/>
      <c r="AK32" s="449"/>
      <c r="AL32" s="31"/>
      <c r="AM32" s="31"/>
      <c r="AN32" s="31"/>
      <c r="AO32" s="31"/>
      <c r="AP32" s="30"/>
    </row>
    <row r="33" spans="1:42" s="5" customFormat="1" ht="30" customHeight="1">
      <c r="A33" s="3">
        <f t="shared" si="10"/>
        <v>28</v>
      </c>
      <c r="B33" s="3">
        <v>1848</v>
      </c>
      <c r="C33" s="3" t="s">
        <v>217</v>
      </c>
      <c r="D33" s="4">
        <v>700000</v>
      </c>
      <c r="E33" s="4">
        <v>600000</v>
      </c>
      <c r="F33" s="4">
        <f t="shared" si="0"/>
        <v>100000</v>
      </c>
      <c r="G33" s="4">
        <v>500000</v>
      </c>
      <c r="H33" s="4">
        <v>497437.17</v>
      </c>
      <c r="I33" s="4"/>
      <c r="J33" s="4"/>
      <c r="K33" s="4">
        <f t="shared" si="2"/>
        <v>0</v>
      </c>
      <c r="L33" s="4">
        <f t="shared" si="3"/>
        <v>497437.17</v>
      </c>
      <c r="M33" s="4">
        <f t="shared" si="4"/>
        <v>2562.8300000000163</v>
      </c>
      <c r="N33" s="4">
        <v>200000</v>
      </c>
      <c r="O33" s="4">
        <f t="shared" si="5"/>
        <v>0</v>
      </c>
      <c r="P33" s="4">
        <f t="shared" si="6"/>
        <v>2562.8300000000163</v>
      </c>
      <c r="Q33" s="4"/>
      <c r="R33" s="4"/>
      <c r="S33" s="4">
        <f t="shared" si="7"/>
        <v>0</v>
      </c>
      <c r="T33" s="4">
        <f t="shared" si="8"/>
        <v>0</v>
      </c>
      <c r="U33" s="4">
        <f t="shared" si="1"/>
        <v>200000</v>
      </c>
      <c r="V33" s="4"/>
      <c r="W33" s="4">
        <f t="shared" si="9"/>
        <v>200000</v>
      </c>
      <c r="X33" s="4"/>
      <c r="Y33" s="4"/>
      <c r="Z33" s="3"/>
      <c r="AA33" s="408" t="s">
        <v>1133</v>
      </c>
      <c r="AB33" s="3">
        <v>742000</v>
      </c>
      <c r="AC33" s="266"/>
      <c r="AD33" s="247"/>
      <c r="AE33" s="247"/>
      <c r="AF33" s="247"/>
      <c r="AG33" s="34"/>
      <c r="AH33" s="30"/>
      <c r="AI33" s="447"/>
      <c r="AJ33" s="448"/>
      <c r="AK33" s="449"/>
      <c r="AL33" s="31"/>
      <c r="AM33" s="31"/>
      <c r="AN33" s="31"/>
      <c r="AO33" s="31"/>
      <c r="AP33" s="30"/>
    </row>
    <row r="34" spans="1:42" s="5" customFormat="1" ht="30" customHeight="1">
      <c r="A34" s="3">
        <f t="shared" si="10"/>
        <v>29</v>
      </c>
      <c r="B34" s="3">
        <v>1849</v>
      </c>
      <c r="C34" s="3" t="s">
        <v>754</v>
      </c>
      <c r="D34" s="4">
        <v>1400000</v>
      </c>
      <c r="E34" s="4">
        <v>1400000</v>
      </c>
      <c r="F34" s="4">
        <f t="shared" si="0"/>
        <v>0</v>
      </c>
      <c r="G34" s="4">
        <v>1300000</v>
      </c>
      <c r="H34" s="4">
        <v>316485</v>
      </c>
      <c r="I34" s="4"/>
      <c r="J34" s="4"/>
      <c r="K34" s="4">
        <f t="shared" si="2"/>
        <v>0</v>
      </c>
      <c r="L34" s="4">
        <f t="shared" si="3"/>
        <v>316485</v>
      </c>
      <c r="M34" s="4">
        <f t="shared" si="4"/>
        <v>983515</v>
      </c>
      <c r="N34" s="4">
        <v>100000</v>
      </c>
      <c r="O34" s="4">
        <f t="shared" si="5"/>
        <v>0</v>
      </c>
      <c r="P34" s="4">
        <f t="shared" si="6"/>
        <v>983515</v>
      </c>
      <c r="Q34" s="4"/>
      <c r="R34" s="4"/>
      <c r="S34" s="4">
        <f t="shared" si="7"/>
        <v>0</v>
      </c>
      <c r="T34" s="4">
        <f t="shared" si="8"/>
        <v>0</v>
      </c>
      <c r="U34" s="4">
        <f t="shared" si="1"/>
        <v>100000</v>
      </c>
      <c r="V34" s="4"/>
      <c r="W34" s="4">
        <f t="shared" si="9"/>
        <v>100000</v>
      </c>
      <c r="X34" s="4"/>
      <c r="Y34" s="4"/>
      <c r="Z34" s="3"/>
      <c r="AA34" s="408" t="s">
        <v>755</v>
      </c>
      <c r="AB34" s="3">
        <v>743000</v>
      </c>
      <c r="AC34" s="266"/>
      <c r="AD34" s="247"/>
      <c r="AE34" s="247"/>
      <c r="AF34" s="247"/>
      <c r="AG34" s="34"/>
      <c r="AH34" s="30"/>
      <c r="AI34" s="447"/>
      <c r="AJ34" s="448"/>
      <c r="AK34" s="449"/>
      <c r="AL34" s="31"/>
      <c r="AM34" s="31"/>
      <c r="AN34" s="30"/>
      <c r="AO34" s="30"/>
      <c r="AP34" s="30"/>
    </row>
    <row r="35" spans="1:42" s="5" customFormat="1" ht="30" customHeight="1">
      <c r="A35" s="3">
        <f t="shared" si="10"/>
        <v>30</v>
      </c>
      <c r="B35" s="3">
        <v>1850</v>
      </c>
      <c r="C35" s="3" t="s">
        <v>1327</v>
      </c>
      <c r="D35" s="4">
        <v>14600000</v>
      </c>
      <c r="E35" s="4">
        <v>14600000</v>
      </c>
      <c r="F35" s="4">
        <f t="shared" si="0"/>
        <v>0</v>
      </c>
      <c r="G35" s="4">
        <v>3080000</v>
      </c>
      <c r="H35" s="4">
        <v>1188851</v>
      </c>
      <c r="I35" s="4"/>
      <c r="J35" s="4">
        <v>1268465</v>
      </c>
      <c r="K35" s="4">
        <f t="shared" si="2"/>
        <v>1268465</v>
      </c>
      <c r="L35" s="4">
        <f t="shared" si="3"/>
        <v>2457316</v>
      </c>
      <c r="M35" s="4">
        <f t="shared" si="4"/>
        <v>622684</v>
      </c>
      <c r="N35" s="4">
        <f>1500000-450000</f>
        <v>1050000</v>
      </c>
      <c r="O35" s="4">
        <f t="shared" si="5"/>
        <v>10470000</v>
      </c>
      <c r="P35" s="4">
        <f t="shared" si="6"/>
        <v>622684</v>
      </c>
      <c r="Q35" s="4"/>
      <c r="R35" s="4"/>
      <c r="S35" s="4"/>
      <c r="T35" s="4">
        <f t="shared" si="8"/>
        <v>0</v>
      </c>
      <c r="U35" s="4">
        <f t="shared" si="1"/>
        <v>1050000</v>
      </c>
      <c r="V35" s="4">
        <f>U35*2/3-700000</f>
        <v>0</v>
      </c>
      <c r="W35" s="4">
        <f t="shared" si="9"/>
        <v>1050000</v>
      </c>
      <c r="X35" s="4"/>
      <c r="Y35" s="4"/>
      <c r="Z35" s="3"/>
      <c r="AA35" s="408" t="s">
        <v>756</v>
      </c>
      <c r="AB35" s="3">
        <v>810000</v>
      </c>
      <c r="AC35" s="266"/>
      <c r="AD35" s="247"/>
      <c r="AE35" s="247"/>
      <c r="AF35" s="247"/>
      <c r="AG35" s="34"/>
      <c r="AH35" s="30"/>
      <c r="AI35" s="447"/>
      <c r="AJ35" s="448"/>
      <c r="AK35" s="449"/>
      <c r="AL35" s="31"/>
      <c r="AM35" s="31"/>
      <c r="AN35" s="30"/>
      <c r="AO35" s="30"/>
      <c r="AP35" s="30"/>
    </row>
    <row r="36" spans="1:42" s="453" customFormat="1" ht="30" customHeight="1">
      <c r="A36" s="3">
        <f t="shared" si="10"/>
        <v>31</v>
      </c>
      <c r="B36" s="3">
        <v>1851</v>
      </c>
      <c r="C36" s="3" t="s">
        <v>219</v>
      </c>
      <c r="D36" s="4">
        <v>3050000</v>
      </c>
      <c r="E36" s="4">
        <v>3050000</v>
      </c>
      <c r="F36" s="4">
        <f t="shared" si="0"/>
        <v>0</v>
      </c>
      <c r="G36" s="4">
        <v>3050000</v>
      </c>
      <c r="H36" s="4">
        <v>2991435.5</v>
      </c>
      <c r="I36" s="4">
        <v>23133.24</v>
      </c>
      <c r="J36" s="4">
        <v>8424</v>
      </c>
      <c r="K36" s="4">
        <f t="shared" si="2"/>
        <v>31557.24</v>
      </c>
      <c r="L36" s="4">
        <f t="shared" si="3"/>
        <v>3022992.74</v>
      </c>
      <c r="M36" s="4">
        <f t="shared" si="4"/>
        <v>27007.259999999776</v>
      </c>
      <c r="N36" s="4"/>
      <c r="O36" s="4">
        <f t="shared" si="5"/>
        <v>0</v>
      </c>
      <c r="P36" s="4">
        <f t="shared" si="6"/>
        <v>27007.259999999776</v>
      </c>
      <c r="Q36" s="4"/>
      <c r="R36" s="4"/>
      <c r="S36" s="4"/>
      <c r="T36" s="4">
        <f t="shared" si="8"/>
        <v>0</v>
      </c>
      <c r="U36" s="4">
        <f t="shared" si="1"/>
        <v>0</v>
      </c>
      <c r="V36" s="4"/>
      <c r="W36" s="4">
        <f t="shared" si="9"/>
        <v>0</v>
      </c>
      <c r="X36" s="4"/>
      <c r="Y36" s="4"/>
      <c r="Z36" s="3"/>
      <c r="AA36" s="408"/>
      <c r="AB36" s="3">
        <v>810000</v>
      </c>
      <c r="AC36" s="266"/>
      <c r="AD36" s="247"/>
      <c r="AE36" s="247"/>
      <c r="AF36" s="247"/>
      <c r="AG36" s="34"/>
      <c r="AH36" s="30"/>
      <c r="AI36" s="447"/>
      <c r="AJ36" s="448"/>
      <c r="AK36" s="449"/>
      <c r="AL36" s="451"/>
      <c r="AM36" s="451"/>
      <c r="AN36" s="451"/>
      <c r="AO36" s="451"/>
      <c r="AP36" s="452"/>
    </row>
    <row r="37" spans="1:42" s="5" customFormat="1" ht="30" customHeight="1">
      <c r="A37" s="3">
        <f t="shared" si="10"/>
        <v>32</v>
      </c>
      <c r="B37" s="3">
        <v>1853</v>
      </c>
      <c r="C37" s="3" t="s">
        <v>220</v>
      </c>
      <c r="D37" s="4">
        <v>410000</v>
      </c>
      <c r="E37" s="4">
        <v>310000</v>
      </c>
      <c r="F37" s="4">
        <f t="shared" si="0"/>
        <v>100000</v>
      </c>
      <c r="G37" s="4">
        <v>310000</v>
      </c>
      <c r="H37" s="4">
        <v>117609</v>
      </c>
      <c r="I37" s="4">
        <v>5148</v>
      </c>
      <c r="J37" s="4">
        <v>184063</v>
      </c>
      <c r="K37" s="4">
        <f t="shared" si="2"/>
        <v>189211</v>
      </c>
      <c r="L37" s="4">
        <f t="shared" si="3"/>
        <v>306820</v>
      </c>
      <c r="M37" s="4">
        <f t="shared" si="4"/>
        <v>3180</v>
      </c>
      <c r="N37" s="4">
        <v>100000</v>
      </c>
      <c r="O37" s="4">
        <f t="shared" si="5"/>
        <v>0</v>
      </c>
      <c r="P37" s="4">
        <f t="shared" si="6"/>
        <v>3180</v>
      </c>
      <c r="Q37" s="4"/>
      <c r="R37" s="4"/>
      <c r="S37" s="4">
        <f t="shared" si="7"/>
        <v>0</v>
      </c>
      <c r="T37" s="4">
        <f t="shared" si="8"/>
        <v>0</v>
      </c>
      <c r="U37" s="4">
        <f t="shared" si="1"/>
        <v>100000</v>
      </c>
      <c r="V37" s="4"/>
      <c r="W37" s="4">
        <f t="shared" si="9"/>
        <v>100000</v>
      </c>
      <c r="X37" s="4"/>
      <c r="Y37" s="4"/>
      <c r="Z37" s="3"/>
      <c r="AA37" s="408" t="s">
        <v>757</v>
      </c>
      <c r="AB37" s="3">
        <v>824000</v>
      </c>
      <c r="AC37" s="266"/>
      <c r="AD37" s="247"/>
      <c r="AE37" s="247"/>
      <c r="AF37" s="247"/>
      <c r="AG37" s="34"/>
      <c r="AH37" s="30"/>
      <c r="AI37" s="447"/>
      <c r="AJ37" s="448"/>
      <c r="AK37" s="449"/>
      <c r="AL37" s="31"/>
      <c r="AM37" s="31"/>
      <c r="AN37" s="31"/>
      <c r="AO37" s="31"/>
      <c r="AP37" s="30"/>
    </row>
    <row r="38" spans="1:42" s="5" customFormat="1" ht="30" customHeight="1">
      <c r="A38" s="3">
        <f t="shared" si="10"/>
        <v>33</v>
      </c>
      <c r="B38" s="3">
        <v>1883</v>
      </c>
      <c r="C38" s="3" t="s">
        <v>221</v>
      </c>
      <c r="D38" s="4">
        <f>26115000+100000</f>
        <v>26215000</v>
      </c>
      <c r="E38" s="4">
        <f>25480000+635000</f>
        <v>26115000</v>
      </c>
      <c r="F38" s="4">
        <f t="shared" si="0"/>
        <v>100000</v>
      </c>
      <c r="G38" s="4">
        <v>26115000</v>
      </c>
      <c r="H38" s="4">
        <v>15254644.43</v>
      </c>
      <c r="I38" s="4">
        <v>9525412</v>
      </c>
      <c r="J38" s="4">
        <v>521548.07</v>
      </c>
      <c r="K38" s="4">
        <f t="shared" si="2"/>
        <v>10046960.07</v>
      </c>
      <c r="L38" s="4">
        <f t="shared" si="3"/>
        <v>25301604.5</v>
      </c>
      <c r="M38" s="4">
        <f t="shared" si="4"/>
        <v>813395.5</v>
      </c>
      <c r="N38" s="4">
        <v>100000</v>
      </c>
      <c r="O38" s="4">
        <f t="shared" si="5"/>
        <v>0</v>
      </c>
      <c r="P38" s="4">
        <f t="shared" si="6"/>
        <v>813395.5</v>
      </c>
      <c r="Q38" s="126"/>
      <c r="R38" s="4"/>
      <c r="S38" s="4">
        <f t="shared" si="7"/>
        <v>0</v>
      </c>
      <c r="T38" s="4">
        <f t="shared" si="8"/>
        <v>0</v>
      </c>
      <c r="U38" s="4">
        <f t="shared" si="1"/>
        <v>100000</v>
      </c>
      <c r="V38" s="4"/>
      <c r="W38" s="4">
        <f t="shared" si="9"/>
        <v>100000</v>
      </c>
      <c r="X38" s="4"/>
      <c r="Y38" s="4"/>
      <c r="Z38" s="3"/>
      <c r="AA38" s="408" t="s">
        <v>1332</v>
      </c>
      <c r="AB38" s="3">
        <v>810000</v>
      </c>
      <c r="AC38" s="266"/>
      <c r="AD38" s="247"/>
      <c r="AE38" s="247"/>
      <c r="AF38" s="247"/>
      <c r="AG38" s="34"/>
      <c r="AH38" s="30"/>
      <c r="AI38" s="447"/>
      <c r="AJ38" s="448"/>
      <c r="AK38" s="449"/>
      <c r="AL38" s="31"/>
      <c r="AM38" s="31"/>
      <c r="AN38" s="30"/>
      <c r="AO38" s="30"/>
      <c r="AP38" s="30"/>
    </row>
    <row r="39" spans="1:42" s="5" customFormat="1" ht="30" customHeight="1">
      <c r="A39" s="3">
        <f t="shared" si="10"/>
        <v>34</v>
      </c>
      <c r="B39" s="3">
        <v>1884</v>
      </c>
      <c r="C39" s="3" t="s">
        <v>222</v>
      </c>
      <c r="D39" s="4">
        <v>2100000</v>
      </c>
      <c r="E39" s="4">
        <v>2100000</v>
      </c>
      <c r="F39" s="4"/>
      <c r="G39" s="4">
        <v>2100000</v>
      </c>
      <c r="H39" s="4">
        <v>2069481.78</v>
      </c>
      <c r="I39" s="4"/>
      <c r="J39" s="4">
        <v>28954.57</v>
      </c>
      <c r="K39" s="4">
        <f t="shared" si="2"/>
        <v>28954.57</v>
      </c>
      <c r="L39" s="4">
        <f t="shared" si="3"/>
        <v>2098436.35</v>
      </c>
      <c r="M39" s="4">
        <f t="shared" si="4"/>
        <v>1563.6499999999069</v>
      </c>
      <c r="N39" s="4"/>
      <c r="O39" s="4">
        <f t="shared" si="5"/>
        <v>0</v>
      </c>
      <c r="P39" s="4">
        <f t="shared" si="6"/>
        <v>1563.6499999999069</v>
      </c>
      <c r="Q39" s="4"/>
      <c r="R39" s="4"/>
      <c r="S39" s="4">
        <f t="shared" si="7"/>
        <v>0</v>
      </c>
      <c r="T39" s="4">
        <f t="shared" si="8"/>
        <v>0</v>
      </c>
      <c r="U39" s="4">
        <f t="shared" si="1"/>
        <v>0</v>
      </c>
      <c r="V39" s="4"/>
      <c r="W39" s="4">
        <f t="shared" si="9"/>
        <v>0</v>
      </c>
      <c r="X39" s="4"/>
      <c r="Y39" s="4"/>
      <c r="Z39" s="3"/>
      <c r="AA39" s="408"/>
      <c r="AB39" s="3">
        <v>810000</v>
      </c>
      <c r="AC39" s="266"/>
      <c r="AD39" s="247"/>
      <c r="AE39" s="247"/>
      <c r="AF39" s="247"/>
      <c r="AG39" s="34"/>
      <c r="AH39" s="30"/>
      <c r="AI39" s="447"/>
      <c r="AJ39" s="448"/>
      <c r="AK39" s="449"/>
      <c r="AL39" s="31"/>
      <c r="AM39" s="31"/>
      <c r="AN39" s="30"/>
      <c r="AO39" s="30"/>
      <c r="AP39" s="30"/>
    </row>
    <row r="40" spans="1:42" s="5" customFormat="1" ht="30" customHeight="1">
      <c r="A40" s="3">
        <f t="shared" si="10"/>
        <v>35</v>
      </c>
      <c r="B40" s="3">
        <v>1885</v>
      </c>
      <c r="C40" s="3" t="s">
        <v>258</v>
      </c>
      <c r="D40" s="4">
        <v>300000</v>
      </c>
      <c r="E40" s="4">
        <v>300000</v>
      </c>
      <c r="F40" s="4">
        <f t="shared" ref="F40:F47" si="11">D40-E40</f>
        <v>0</v>
      </c>
      <c r="G40" s="4">
        <v>300000</v>
      </c>
      <c r="H40" s="4">
        <v>288973</v>
      </c>
      <c r="I40" s="4">
        <v>2080.2600000000002</v>
      </c>
      <c r="J40" s="4"/>
      <c r="K40" s="4">
        <f t="shared" si="2"/>
        <v>2080.2600000000002</v>
      </c>
      <c r="L40" s="4">
        <f t="shared" si="3"/>
        <v>291053.26</v>
      </c>
      <c r="M40" s="4">
        <f t="shared" si="4"/>
        <v>8946.7399999999907</v>
      </c>
      <c r="N40" s="4"/>
      <c r="O40" s="4">
        <f t="shared" si="5"/>
        <v>0</v>
      </c>
      <c r="P40" s="4">
        <f t="shared" si="6"/>
        <v>8946.7399999999907</v>
      </c>
      <c r="Q40" s="4"/>
      <c r="R40" s="4"/>
      <c r="S40" s="4">
        <f t="shared" si="7"/>
        <v>0</v>
      </c>
      <c r="T40" s="4">
        <f t="shared" si="8"/>
        <v>0</v>
      </c>
      <c r="U40" s="4">
        <f t="shared" si="1"/>
        <v>0</v>
      </c>
      <c r="V40" s="4"/>
      <c r="W40" s="4">
        <f t="shared" si="9"/>
        <v>0</v>
      </c>
      <c r="X40" s="4"/>
      <c r="Y40" s="4"/>
      <c r="Z40" s="3"/>
      <c r="AA40" s="408"/>
      <c r="AB40" s="3">
        <v>810000</v>
      </c>
      <c r="AC40" s="266"/>
      <c r="AD40" s="247"/>
      <c r="AE40" s="247"/>
      <c r="AF40" s="247"/>
      <c r="AG40" s="34"/>
      <c r="AH40" s="30"/>
      <c r="AI40" s="447"/>
      <c r="AJ40" s="448"/>
      <c r="AK40" s="449"/>
      <c r="AL40" s="31"/>
      <c r="AM40" s="31"/>
      <c r="AN40" s="30"/>
      <c r="AO40" s="30"/>
      <c r="AP40" s="30"/>
    </row>
    <row r="41" spans="1:42" s="5" customFormat="1" ht="30" customHeight="1">
      <c r="A41" s="3">
        <f t="shared" si="10"/>
        <v>36</v>
      </c>
      <c r="B41" s="3">
        <v>1886</v>
      </c>
      <c r="C41" s="3" t="s">
        <v>305</v>
      </c>
      <c r="D41" s="4">
        <v>4830000</v>
      </c>
      <c r="E41" s="4">
        <v>4830000</v>
      </c>
      <c r="F41" s="4">
        <f t="shared" si="11"/>
        <v>0</v>
      </c>
      <c r="G41" s="4">
        <v>4830000</v>
      </c>
      <c r="H41" s="4">
        <v>4617996.9400000004</v>
      </c>
      <c r="I41" s="4"/>
      <c r="J41" s="4">
        <v>5630</v>
      </c>
      <c r="K41" s="4">
        <f t="shared" si="2"/>
        <v>5630</v>
      </c>
      <c r="L41" s="4">
        <f t="shared" si="3"/>
        <v>4623626.9400000004</v>
      </c>
      <c r="M41" s="4">
        <f t="shared" si="4"/>
        <v>206373.05999999959</v>
      </c>
      <c r="N41" s="4"/>
      <c r="O41" s="4">
        <f t="shared" si="5"/>
        <v>0</v>
      </c>
      <c r="P41" s="4">
        <f t="shared" si="6"/>
        <v>206373.05999999959</v>
      </c>
      <c r="Q41" s="4"/>
      <c r="R41" s="4"/>
      <c r="S41" s="4">
        <f t="shared" si="7"/>
        <v>0</v>
      </c>
      <c r="T41" s="4">
        <f t="shared" si="8"/>
        <v>0</v>
      </c>
      <c r="U41" s="4">
        <f t="shared" si="1"/>
        <v>0</v>
      </c>
      <c r="V41" s="4"/>
      <c r="W41" s="4">
        <f t="shared" si="9"/>
        <v>0</v>
      </c>
      <c r="X41" s="4"/>
      <c r="Y41" s="4"/>
      <c r="Z41" s="3"/>
      <c r="AA41" s="408"/>
      <c r="AB41" s="3">
        <v>810000</v>
      </c>
      <c r="AC41" s="266"/>
      <c r="AD41" s="247"/>
      <c r="AE41" s="247"/>
      <c r="AF41" s="247"/>
      <c r="AG41" s="34"/>
      <c r="AH41" s="30"/>
      <c r="AI41" s="447"/>
      <c r="AJ41" s="448"/>
      <c r="AK41" s="449"/>
      <c r="AL41" s="31"/>
      <c r="AM41" s="31"/>
      <c r="AN41" s="30"/>
      <c r="AO41" s="30"/>
      <c r="AP41" s="30"/>
    </row>
    <row r="42" spans="1:42" s="5" customFormat="1" ht="30" customHeight="1">
      <c r="A42" s="3">
        <f t="shared" si="10"/>
        <v>37</v>
      </c>
      <c r="B42" s="3">
        <v>1887</v>
      </c>
      <c r="C42" s="3" t="s">
        <v>223</v>
      </c>
      <c r="D42" s="4">
        <v>5200000</v>
      </c>
      <c r="E42" s="4">
        <v>4200000</v>
      </c>
      <c r="F42" s="4">
        <f t="shared" si="11"/>
        <v>1000000</v>
      </c>
      <c r="G42" s="4">
        <v>4200000</v>
      </c>
      <c r="H42" s="4">
        <v>841218</v>
      </c>
      <c r="I42" s="4">
        <v>41365</v>
      </c>
      <c r="J42" s="4">
        <v>234592</v>
      </c>
      <c r="K42" s="4">
        <f t="shared" si="2"/>
        <v>275957</v>
      </c>
      <c r="L42" s="4">
        <f t="shared" si="3"/>
        <v>1117175</v>
      </c>
      <c r="M42" s="4">
        <f t="shared" si="4"/>
        <v>3082825</v>
      </c>
      <c r="N42" s="4">
        <v>1000000</v>
      </c>
      <c r="O42" s="4">
        <f t="shared" si="5"/>
        <v>0</v>
      </c>
      <c r="P42" s="4">
        <f t="shared" si="6"/>
        <v>3082825</v>
      </c>
      <c r="Q42" s="4"/>
      <c r="R42" s="4"/>
      <c r="S42" s="4">
        <f t="shared" si="7"/>
        <v>0</v>
      </c>
      <c r="T42" s="4">
        <f t="shared" si="8"/>
        <v>0</v>
      </c>
      <c r="U42" s="4">
        <f t="shared" si="1"/>
        <v>1000000</v>
      </c>
      <c r="V42" s="4">
        <f>U42-W42-X42-Y42-Z42</f>
        <v>0</v>
      </c>
      <c r="W42" s="4">
        <v>1000000</v>
      </c>
      <c r="X42" s="4"/>
      <c r="Y42" s="4"/>
      <c r="Z42" s="3"/>
      <c r="AA42" s="408" t="s">
        <v>758</v>
      </c>
      <c r="AB42" s="3">
        <v>810000</v>
      </c>
      <c r="AC42" s="266"/>
      <c r="AD42" s="247"/>
      <c r="AE42" s="247"/>
      <c r="AF42" s="247"/>
      <c r="AG42" s="34"/>
      <c r="AH42" s="30"/>
      <c r="AI42" s="447"/>
      <c r="AJ42" s="448"/>
      <c r="AK42" s="30"/>
      <c r="AL42" s="31"/>
      <c r="AM42" s="31"/>
      <c r="AN42" s="30"/>
      <c r="AO42" s="30"/>
      <c r="AP42" s="30"/>
    </row>
    <row r="43" spans="1:42" s="5" customFormat="1" ht="30" customHeight="1">
      <c r="A43" s="3">
        <f t="shared" si="10"/>
        <v>38</v>
      </c>
      <c r="B43" s="3">
        <v>1889</v>
      </c>
      <c r="C43" s="3" t="s">
        <v>232</v>
      </c>
      <c r="D43" s="4">
        <f>1450000-50000</f>
        <v>1400000</v>
      </c>
      <c r="E43" s="4">
        <v>1450000</v>
      </c>
      <c r="F43" s="4">
        <f t="shared" si="11"/>
        <v>-50000</v>
      </c>
      <c r="G43" s="4">
        <v>1450000</v>
      </c>
      <c r="H43" s="4">
        <v>1381767</v>
      </c>
      <c r="I43" s="4">
        <v>13781.43</v>
      </c>
      <c r="J43" s="4"/>
      <c r="K43" s="4">
        <f t="shared" si="2"/>
        <v>13781.43</v>
      </c>
      <c r="L43" s="4">
        <f t="shared" si="3"/>
        <v>1395548.43</v>
      </c>
      <c r="M43" s="4">
        <f>P43+S43-50000</f>
        <v>4451.5700000000652</v>
      </c>
      <c r="N43" s="4"/>
      <c r="O43" s="4">
        <f t="shared" si="5"/>
        <v>0</v>
      </c>
      <c r="P43" s="4">
        <f t="shared" si="6"/>
        <v>54451.570000000065</v>
      </c>
      <c r="Q43" s="4"/>
      <c r="R43" s="4"/>
      <c r="S43" s="4">
        <f t="shared" si="7"/>
        <v>0</v>
      </c>
      <c r="T43" s="4">
        <f t="shared" si="8"/>
        <v>50000</v>
      </c>
      <c r="U43" s="4">
        <f t="shared" si="1"/>
        <v>-50000</v>
      </c>
      <c r="V43" s="4"/>
      <c r="W43" s="4">
        <f t="shared" si="9"/>
        <v>-50000</v>
      </c>
      <c r="X43" s="4"/>
      <c r="Y43" s="4"/>
      <c r="Z43" s="3"/>
      <c r="AA43" s="408"/>
      <c r="AB43" s="3">
        <v>810000</v>
      </c>
      <c r="AC43" s="266"/>
      <c r="AD43" s="247"/>
      <c r="AE43" s="247"/>
      <c r="AF43" s="247"/>
      <c r="AG43" s="34"/>
      <c r="AH43" s="30"/>
      <c r="AI43" s="447"/>
      <c r="AJ43" s="448"/>
      <c r="AK43" s="449"/>
      <c r="AL43" s="31"/>
      <c r="AM43" s="31"/>
      <c r="AN43" s="30"/>
      <c r="AO43" s="30"/>
      <c r="AP43" s="30"/>
    </row>
    <row r="44" spans="1:42" s="5" customFormat="1" ht="30" customHeight="1">
      <c r="A44" s="3">
        <f t="shared" si="10"/>
        <v>39</v>
      </c>
      <c r="B44" s="3">
        <v>1900</v>
      </c>
      <c r="C44" s="3" t="s">
        <v>224</v>
      </c>
      <c r="D44" s="4">
        <v>700000</v>
      </c>
      <c r="E44" s="4">
        <v>700000</v>
      </c>
      <c r="F44" s="4">
        <f t="shared" si="11"/>
        <v>0</v>
      </c>
      <c r="G44" s="4">
        <v>700000</v>
      </c>
      <c r="H44" s="4">
        <v>0</v>
      </c>
      <c r="I44" s="4">
        <v>522410.57</v>
      </c>
      <c r="J44" s="4"/>
      <c r="K44" s="4">
        <f t="shared" si="2"/>
        <v>522410.57</v>
      </c>
      <c r="L44" s="4">
        <f t="shared" si="3"/>
        <v>522410.57</v>
      </c>
      <c r="M44" s="4">
        <f t="shared" si="4"/>
        <v>177589.43</v>
      </c>
      <c r="N44" s="4"/>
      <c r="O44" s="4">
        <f t="shared" si="5"/>
        <v>0</v>
      </c>
      <c r="P44" s="4">
        <f t="shared" si="6"/>
        <v>177589.43</v>
      </c>
      <c r="Q44" s="4"/>
      <c r="R44" s="4"/>
      <c r="S44" s="4">
        <f t="shared" si="7"/>
        <v>0</v>
      </c>
      <c r="T44" s="4">
        <f t="shared" si="8"/>
        <v>0</v>
      </c>
      <c r="U44" s="4">
        <f t="shared" si="1"/>
        <v>0</v>
      </c>
      <c r="V44" s="4"/>
      <c r="W44" s="4">
        <f t="shared" si="9"/>
        <v>0</v>
      </c>
      <c r="X44" s="4"/>
      <c r="Y44" s="4"/>
      <c r="Z44" s="3"/>
      <c r="AA44" s="408"/>
      <c r="AB44" s="3">
        <v>810000</v>
      </c>
      <c r="AC44" s="266"/>
      <c r="AD44" s="247"/>
      <c r="AE44" s="247"/>
      <c r="AF44" s="247"/>
      <c r="AG44" s="34"/>
      <c r="AH44" s="30"/>
      <c r="AI44" s="447"/>
      <c r="AJ44" s="448"/>
      <c r="AK44" s="449"/>
      <c r="AL44" s="31"/>
      <c r="AM44" s="31"/>
      <c r="AN44" s="31"/>
      <c r="AO44" s="31"/>
      <c r="AP44" s="30"/>
    </row>
    <row r="45" spans="1:42" s="5" customFormat="1" ht="30" customHeight="1">
      <c r="A45" s="3">
        <f t="shared" si="10"/>
        <v>40</v>
      </c>
      <c r="B45" s="3">
        <v>1917</v>
      </c>
      <c r="C45" s="3" t="s">
        <v>226</v>
      </c>
      <c r="D45" s="4">
        <v>76800000</v>
      </c>
      <c r="E45" s="4">
        <v>76800000</v>
      </c>
      <c r="F45" s="4">
        <f t="shared" si="11"/>
        <v>0</v>
      </c>
      <c r="G45" s="4">
        <v>25501000</v>
      </c>
      <c r="H45" s="4">
        <v>9853774.4600000009</v>
      </c>
      <c r="I45" s="4"/>
      <c r="J45" s="4">
        <v>13576509.710000001</v>
      </c>
      <c r="K45" s="4">
        <f t="shared" si="2"/>
        <v>13576509.710000001</v>
      </c>
      <c r="L45" s="4">
        <f t="shared" si="3"/>
        <v>23430284.170000002</v>
      </c>
      <c r="M45" s="4">
        <f t="shared" si="4"/>
        <v>2070715.8299999982</v>
      </c>
      <c r="N45" s="4">
        <f>10000000-2000000</f>
        <v>8000000</v>
      </c>
      <c r="O45" s="4">
        <f t="shared" si="5"/>
        <v>43299000</v>
      </c>
      <c r="P45" s="4">
        <f t="shared" si="6"/>
        <v>2070715.8299999982</v>
      </c>
      <c r="Q45" s="4"/>
      <c r="R45" s="4"/>
      <c r="S45" s="4">
        <f t="shared" si="7"/>
        <v>0</v>
      </c>
      <c r="T45" s="4">
        <f t="shared" si="8"/>
        <v>0</v>
      </c>
      <c r="U45" s="4">
        <f t="shared" si="1"/>
        <v>8000000</v>
      </c>
      <c r="V45" s="4">
        <f>U45-W45-X45-Y45-Z45</f>
        <v>8000000</v>
      </c>
      <c r="W45" s="4"/>
      <c r="X45" s="4"/>
      <c r="Y45" s="4"/>
      <c r="Z45" s="3"/>
      <c r="AA45" s="408" t="s">
        <v>1051</v>
      </c>
      <c r="AB45" s="3">
        <v>743000</v>
      </c>
      <c r="AC45" s="266"/>
      <c r="AD45" s="247"/>
      <c r="AE45" s="247"/>
      <c r="AF45" s="247"/>
      <c r="AG45" s="34"/>
      <c r="AH45" s="30"/>
      <c r="AI45" s="447"/>
      <c r="AJ45" s="448"/>
      <c r="AK45" s="449"/>
      <c r="AL45" s="31"/>
      <c r="AM45" s="31"/>
      <c r="AN45" s="30"/>
      <c r="AO45" s="30"/>
      <c r="AP45" s="30"/>
    </row>
    <row r="46" spans="1:42" s="5" customFormat="1" ht="30" customHeight="1">
      <c r="A46" s="3">
        <f t="shared" si="10"/>
        <v>41</v>
      </c>
      <c r="B46" s="3">
        <v>1925</v>
      </c>
      <c r="C46" s="3" t="s">
        <v>228</v>
      </c>
      <c r="D46" s="4">
        <v>1000000</v>
      </c>
      <c r="E46" s="4">
        <v>1000000</v>
      </c>
      <c r="F46" s="4">
        <f t="shared" si="11"/>
        <v>0</v>
      </c>
      <c r="G46" s="4">
        <v>1000000</v>
      </c>
      <c r="H46" s="4">
        <v>898013.97</v>
      </c>
      <c r="I46" s="4">
        <v>20622.419999999998</v>
      </c>
      <c r="J46" s="4"/>
      <c r="K46" s="4">
        <f t="shared" si="2"/>
        <v>20622.419999999998</v>
      </c>
      <c r="L46" s="4">
        <f t="shared" si="3"/>
        <v>918636.39</v>
      </c>
      <c r="M46" s="4">
        <f t="shared" si="4"/>
        <v>81363.609999999986</v>
      </c>
      <c r="N46" s="4"/>
      <c r="O46" s="4">
        <f t="shared" si="5"/>
        <v>0</v>
      </c>
      <c r="P46" s="4">
        <f t="shared" si="6"/>
        <v>81363.609999999986</v>
      </c>
      <c r="Q46" s="4"/>
      <c r="R46" s="4"/>
      <c r="S46" s="4">
        <f t="shared" si="7"/>
        <v>0</v>
      </c>
      <c r="T46" s="4">
        <f t="shared" si="8"/>
        <v>0</v>
      </c>
      <c r="U46" s="4">
        <f t="shared" si="1"/>
        <v>0</v>
      </c>
      <c r="V46" s="4"/>
      <c r="W46" s="4">
        <f t="shared" si="9"/>
        <v>0</v>
      </c>
      <c r="X46" s="4"/>
      <c r="Y46" s="4"/>
      <c r="Z46" s="3"/>
      <c r="AA46" s="408"/>
      <c r="AB46" s="3">
        <v>850000</v>
      </c>
      <c r="AC46" s="266"/>
      <c r="AD46" s="247"/>
      <c r="AE46" s="247"/>
      <c r="AF46" s="247"/>
      <c r="AG46" s="34"/>
      <c r="AH46" s="30"/>
      <c r="AI46" s="447"/>
      <c r="AJ46" s="448"/>
      <c r="AK46" s="449"/>
      <c r="AL46" s="31"/>
      <c r="AM46" s="31"/>
      <c r="AN46" s="31"/>
      <c r="AO46" s="31"/>
      <c r="AP46" s="30"/>
    </row>
    <row r="47" spans="1:42" s="5" customFormat="1" ht="30" customHeight="1">
      <c r="A47" s="3">
        <f t="shared" si="10"/>
        <v>42</v>
      </c>
      <c r="B47" s="3">
        <v>1931</v>
      </c>
      <c r="C47" s="3" t="s">
        <v>231</v>
      </c>
      <c r="D47" s="4">
        <v>831000</v>
      </c>
      <c r="E47" s="4">
        <v>831000</v>
      </c>
      <c r="F47" s="4">
        <f t="shared" si="11"/>
        <v>0</v>
      </c>
      <c r="G47" s="4">
        <v>831000</v>
      </c>
      <c r="H47" s="4">
        <v>766233</v>
      </c>
      <c r="I47" s="4"/>
      <c r="J47" s="4">
        <v>58500</v>
      </c>
      <c r="K47" s="4">
        <f t="shared" si="2"/>
        <v>58500</v>
      </c>
      <c r="L47" s="4">
        <f t="shared" si="3"/>
        <v>824733</v>
      </c>
      <c r="M47" s="4">
        <f t="shared" si="4"/>
        <v>6267</v>
      </c>
      <c r="N47" s="4"/>
      <c r="O47" s="4">
        <f t="shared" si="5"/>
        <v>0</v>
      </c>
      <c r="P47" s="4">
        <f t="shared" si="6"/>
        <v>6267</v>
      </c>
      <c r="Q47" s="4"/>
      <c r="R47" s="4"/>
      <c r="S47" s="4">
        <f t="shared" si="7"/>
        <v>0</v>
      </c>
      <c r="T47" s="4">
        <f t="shared" si="8"/>
        <v>0</v>
      </c>
      <c r="U47" s="4">
        <f t="shared" si="1"/>
        <v>0</v>
      </c>
      <c r="V47" s="4"/>
      <c r="W47" s="4">
        <f t="shared" si="9"/>
        <v>0</v>
      </c>
      <c r="X47" s="4"/>
      <c r="Y47" s="4"/>
      <c r="Z47" s="3"/>
      <c r="AA47" s="408"/>
      <c r="AB47" s="3">
        <v>810000</v>
      </c>
      <c r="AC47" s="266"/>
      <c r="AD47" s="247"/>
      <c r="AE47" s="247"/>
      <c r="AF47" s="247"/>
      <c r="AG47" s="34"/>
      <c r="AH47" s="30"/>
      <c r="AI47" s="447"/>
      <c r="AJ47" s="448"/>
      <c r="AK47" s="449"/>
      <c r="AL47" s="31"/>
      <c r="AM47" s="31"/>
      <c r="AN47" s="31"/>
      <c r="AO47" s="31"/>
      <c r="AP47" s="30"/>
    </row>
    <row r="48" spans="1:42" s="5" customFormat="1" ht="30" customHeight="1">
      <c r="A48" s="3">
        <f t="shared" si="10"/>
        <v>43</v>
      </c>
      <c r="B48" s="3">
        <v>1933</v>
      </c>
      <c r="C48" s="3" t="s">
        <v>259</v>
      </c>
      <c r="D48" s="4">
        <f>1400000+20000</f>
        <v>1420000</v>
      </c>
      <c r="E48" s="4">
        <v>1200000</v>
      </c>
      <c r="F48" s="4">
        <f t="shared" ref="F48:F60" si="12">D48-E48</f>
        <v>220000</v>
      </c>
      <c r="G48" s="4">
        <v>1200000</v>
      </c>
      <c r="H48" s="4">
        <v>168219</v>
      </c>
      <c r="I48" s="4"/>
      <c r="J48" s="4">
        <v>429292.81</v>
      </c>
      <c r="K48" s="4">
        <f t="shared" si="2"/>
        <v>429292.81</v>
      </c>
      <c r="L48" s="4">
        <f t="shared" si="3"/>
        <v>597511.81000000006</v>
      </c>
      <c r="M48" s="4">
        <f t="shared" si="4"/>
        <v>602488.18999999994</v>
      </c>
      <c r="N48" s="4">
        <f>200000+20000</f>
        <v>220000</v>
      </c>
      <c r="O48" s="4">
        <f t="shared" si="5"/>
        <v>0</v>
      </c>
      <c r="P48" s="4">
        <f t="shared" si="6"/>
        <v>602488.18999999994</v>
      </c>
      <c r="Q48" s="4"/>
      <c r="R48" s="4"/>
      <c r="S48" s="4">
        <f t="shared" si="7"/>
        <v>0</v>
      </c>
      <c r="T48" s="4">
        <f t="shared" si="8"/>
        <v>0</v>
      </c>
      <c r="U48" s="4">
        <f t="shared" si="1"/>
        <v>220000</v>
      </c>
      <c r="V48" s="4"/>
      <c r="W48" s="4">
        <f t="shared" si="9"/>
        <v>220000</v>
      </c>
      <c r="X48" s="4"/>
      <c r="Y48" s="4"/>
      <c r="Z48" s="3"/>
      <c r="AA48" s="408" t="s">
        <v>1333</v>
      </c>
      <c r="AB48" s="3">
        <v>826000</v>
      </c>
      <c r="AC48" s="266"/>
      <c r="AD48" s="247"/>
      <c r="AE48" s="247"/>
      <c r="AF48" s="247"/>
      <c r="AG48" s="34"/>
      <c r="AH48" s="30"/>
      <c r="AI48" s="447"/>
      <c r="AJ48" s="448"/>
      <c r="AK48" s="30"/>
      <c r="AL48" s="31"/>
      <c r="AM48" s="31"/>
      <c r="AN48" s="31"/>
      <c r="AO48" s="31"/>
      <c r="AP48" s="30"/>
    </row>
    <row r="49" spans="1:42" s="5" customFormat="1" ht="30" customHeight="1">
      <c r="A49" s="3">
        <f t="shared" si="10"/>
        <v>44</v>
      </c>
      <c r="B49" s="3">
        <v>1942</v>
      </c>
      <c r="C49" s="3" t="s">
        <v>260</v>
      </c>
      <c r="D49" s="4">
        <v>972000</v>
      </c>
      <c r="E49" s="4">
        <v>972000</v>
      </c>
      <c r="F49" s="4">
        <f t="shared" si="12"/>
        <v>0</v>
      </c>
      <c r="G49" s="4">
        <v>572000</v>
      </c>
      <c r="H49" s="4">
        <v>28009.8</v>
      </c>
      <c r="I49" s="4"/>
      <c r="J49" s="4">
        <v>531907.06999999995</v>
      </c>
      <c r="K49" s="4">
        <f t="shared" si="2"/>
        <v>531907.06999999995</v>
      </c>
      <c r="L49" s="4">
        <f t="shared" si="3"/>
        <v>559916.87</v>
      </c>
      <c r="M49" s="4">
        <f t="shared" si="4"/>
        <v>12083.130000000005</v>
      </c>
      <c r="N49" s="4">
        <v>400000</v>
      </c>
      <c r="O49" s="4">
        <f t="shared" si="5"/>
        <v>0</v>
      </c>
      <c r="P49" s="4">
        <f t="shared" si="6"/>
        <v>12083.130000000005</v>
      </c>
      <c r="Q49" s="409"/>
      <c r="R49" s="4"/>
      <c r="S49" s="4">
        <f t="shared" si="7"/>
        <v>0</v>
      </c>
      <c r="T49" s="4">
        <f t="shared" si="8"/>
        <v>0</v>
      </c>
      <c r="U49" s="4">
        <f t="shared" si="1"/>
        <v>400000</v>
      </c>
      <c r="V49" s="4">
        <f>U49-W49-X49-Y49-Z49</f>
        <v>400000</v>
      </c>
      <c r="W49" s="4"/>
      <c r="X49" s="4"/>
      <c r="Y49" s="4"/>
      <c r="Z49" s="3"/>
      <c r="AA49" s="408" t="s">
        <v>759</v>
      </c>
      <c r="AB49" s="3">
        <v>724000</v>
      </c>
      <c r="AC49" s="266"/>
      <c r="AD49" s="247"/>
      <c r="AE49" s="247"/>
      <c r="AF49" s="247"/>
      <c r="AG49" s="34"/>
      <c r="AH49" s="30"/>
      <c r="AI49" s="447"/>
      <c r="AJ49" s="448"/>
      <c r="AK49" s="449"/>
      <c r="AL49" s="31"/>
      <c r="AM49" s="31"/>
      <c r="AN49" s="31"/>
      <c r="AO49" s="31"/>
      <c r="AP49" s="30"/>
    </row>
    <row r="50" spans="1:42" s="5" customFormat="1" ht="30" customHeight="1">
      <c r="A50" s="3">
        <f t="shared" si="10"/>
        <v>45</v>
      </c>
      <c r="B50" s="3">
        <v>1946</v>
      </c>
      <c r="C50" s="3" t="s">
        <v>760</v>
      </c>
      <c r="D50" s="4">
        <v>890000</v>
      </c>
      <c r="E50" s="4">
        <v>890000</v>
      </c>
      <c r="F50" s="4">
        <f t="shared" si="12"/>
        <v>0</v>
      </c>
      <c r="G50" s="4">
        <v>890000</v>
      </c>
      <c r="H50" s="4">
        <v>550267</v>
      </c>
      <c r="I50" s="4"/>
      <c r="J50" s="4">
        <v>51559</v>
      </c>
      <c r="K50" s="4">
        <f t="shared" si="2"/>
        <v>51559</v>
      </c>
      <c r="L50" s="4">
        <f t="shared" si="3"/>
        <v>601826</v>
      </c>
      <c r="M50" s="4">
        <f t="shared" si="4"/>
        <v>288174</v>
      </c>
      <c r="N50" s="4"/>
      <c r="O50" s="4">
        <f t="shared" si="5"/>
        <v>0</v>
      </c>
      <c r="P50" s="4">
        <f t="shared" si="6"/>
        <v>288174</v>
      </c>
      <c r="Q50" s="4"/>
      <c r="R50" s="4"/>
      <c r="S50" s="4">
        <f t="shared" si="7"/>
        <v>0</v>
      </c>
      <c r="T50" s="4">
        <f t="shared" si="8"/>
        <v>0</v>
      </c>
      <c r="U50" s="4">
        <f t="shared" si="1"/>
        <v>0</v>
      </c>
      <c r="V50" s="4"/>
      <c r="W50" s="4">
        <f t="shared" si="9"/>
        <v>0</v>
      </c>
      <c r="X50" s="4"/>
      <c r="Y50" s="4"/>
      <c r="Z50" s="3"/>
      <c r="AA50" s="408"/>
      <c r="AB50" s="3">
        <v>810000</v>
      </c>
      <c r="AC50" s="266"/>
      <c r="AD50" s="247"/>
      <c r="AE50" s="247"/>
      <c r="AF50" s="247"/>
      <c r="AG50" s="34"/>
      <c r="AH50" s="30"/>
      <c r="AI50" s="447"/>
      <c r="AJ50" s="448"/>
      <c r="AK50" s="449"/>
      <c r="AL50" s="31"/>
      <c r="AM50" s="31"/>
      <c r="AN50" s="31"/>
      <c r="AO50" s="31"/>
      <c r="AP50" s="30"/>
    </row>
    <row r="51" spans="1:42" s="5" customFormat="1" ht="30" customHeight="1">
      <c r="A51" s="3">
        <f t="shared" si="10"/>
        <v>46</v>
      </c>
      <c r="B51" s="3">
        <v>1947</v>
      </c>
      <c r="C51" s="3" t="s">
        <v>326</v>
      </c>
      <c r="D51" s="4">
        <f>1400000+1100000</f>
        <v>2500000</v>
      </c>
      <c r="E51" s="4">
        <f>1400000+1100000</f>
        <v>2500000</v>
      </c>
      <c r="F51" s="4">
        <f t="shared" si="12"/>
        <v>0</v>
      </c>
      <c r="G51" s="4">
        <v>1400000</v>
      </c>
      <c r="H51" s="4">
        <v>18600.240000000002</v>
      </c>
      <c r="I51" s="4">
        <v>126360</v>
      </c>
      <c r="J51" s="4"/>
      <c r="K51" s="4">
        <f t="shared" si="2"/>
        <v>126360</v>
      </c>
      <c r="L51" s="4">
        <f t="shared" si="3"/>
        <v>144960.24</v>
      </c>
      <c r="M51" s="4">
        <f t="shared" si="4"/>
        <v>1255039.76</v>
      </c>
      <c r="N51" s="4">
        <v>1100000</v>
      </c>
      <c r="O51" s="4">
        <f t="shared" si="5"/>
        <v>0</v>
      </c>
      <c r="P51" s="4">
        <f t="shared" si="6"/>
        <v>1255039.76</v>
      </c>
      <c r="Q51" s="4"/>
      <c r="R51" s="4"/>
      <c r="S51" s="4">
        <f t="shared" si="7"/>
        <v>0</v>
      </c>
      <c r="T51" s="4">
        <f t="shared" si="8"/>
        <v>0</v>
      </c>
      <c r="U51" s="4">
        <f t="shared" si="1"/>
        <v>1100000</v>
      </c>
      <c r="V51" s="4">
        <f>U51-W51-X51-Y51-Z51</f>
        <v>1100000</v>
      </c>
      <c r="W51" s="4"/>
      <c r="X51" s="4"/>
      <c r="Y51" s="4"/>
      <c r="Z51" s="3"/>
      <c r="AA51" s="408" t="s">
        <v>1334</v>
      </c>
      <c r="AB51" s="3">
        <v>850000</v>
      </c>
      <c r="AC51" s="266"/>
      <c r="AD51" s="247"/>
      <c r="AE51" s="247"/>
      <c r="AF51" s="247"/>
      <c r="AG51" s="34"/>
      <c r="AH51" s="30"/>
      <c r="AI51" s="447"/>
      <c r="AJ51" s="448"/>
      <c r="AK51" s="449"/>
      <c r="AL51" s="31"/>
      <c r="AM51" s="31"/>
      <c r="AN51" s="31"/>
      <c r="AO51" s="31"/>
      <c r="AP51" s="30"/>
    </row>
    <row r="52" spans="1:42" s="5" customFormat="1" ht="30" customHeight="1">
      <c r="A52" s="3">
        <f t="shared" si="10"/>
        <v>47</v>
      </c>
      <c r="B52" s="3">
        <v>1966</v>
      </c>
      <c r="C52" s="3" t="s">
        <v>1328</v>
      </c>
      <c r="D52" s="4">
        <v>1700000</v>
      </c>
      <c r="E52" s="4">
        <v>1700000</v>
      </c>
      <c r="F52" s="4">
        <f t="shared" si="12"/>
        <v>0</v>
      </c>
      <c r="G52" s="4">
        <v>0</v>
      </c>
      <c r="H52" s="4">
        <v>0</v>
      </c>
      <c r="I52" s="4"/>
      <c r="J52" s="4"/>
      <c r="K52" s="4">
        <f t="shared" si="2"/>
        <v>0</v>
      </c>
      <c r="L52" s="4">
        <f t="shared" si="3"/>
        <v>0</v>
      </c>
      <c r="M52" s="4">
        <f t="shared" si="4"/>
        <v>1700000</v>
      </c>
      <c r="N52" s="4"/>
      <c r="O52" s="4">
        <f t="shared" si="5"/>
        <v>0</v>
      </c>
      <c r="P52" s="4">
        <f t="shared" si="6"/>
        <v>0</v>
      </c>
      <c r="Q52" s="4">
        <v>1700000</v>
      </c>
      <c r="R52" s="4"/>
      <c r="S52" s="4">
        <f t="shared" si="7"/>
        <v>1700000</v>
      </c>
      <c r="T52" s="4">
        <f t="shared" si="8"/>
        <v>0</v>
      </c>
      <c r="U52" s="4">
        <f t="shared" si="1"/>
        <v>0</v>
      </c>
      <c r="V52" s="4"/>
      <c r="W52" s="4">
        <f t="shared" si="9"/>
        <v>0</v>
      </c>
      <c r="X52" s="4"/>
      <c r="Y52" s="4"/>
      <c r="Z52" s="3"/>
      <c r="AA52" s="408"/>
      <c r="AB52" s="3">
        <v>870000</v>
      </c>
      <c r="AC52" s="266"/>
      <c r="AD52" s="247"/>
      <c r="AE52" s="247"/>
      <c r="AF52" s="247"/>
      <c r="AG52" s="34"/>
      <c r="AH52" s="30"/>
      <c r="AI52" s="447"/>
      <c r="AJ52" s="448"/>
      <c r="AK52" s="449"/>
      <c r="AL52" s="31"/>
      <c r="AM52" s="31"/>
      <c r="AN52" s="30"/>
      <c r="AO52" s="30"/>
      <c r="AP52" s="30"/>
    </row>
    <row r="53" spans="1:42" s="5" customFormat="1" ht="30" customHeight="1">
      <c r="A53" s="3">
        <f t="shared" si="10"/>
        <v>48</v>
      </c>
      <c r="B53" s="3">
        <v>1967</v>
      </c>
      <c r="C53" s="3" t="s">
        <v>262</v>
      </c>
      <c r="D53" s="4">
        <v>12929000</v>
      </c>
      <c r="E53" s="4">
        <v>3929000</v>
      </c>
      <c r="F53" s="4">
        <f t="shared" si="12"/>
        <v>9000000</v>
      </c>
      <c r="G53" s="4">
        <v>2429000</v>
      </c>
      <c r="H53" s="4">
        <v>379994.6</v>
      </c>
      <c r="I53" s="4">
        <v>1538063.98</v>
      </c>
      <c r="J53" s="4">
        <v>502180</v>
      </c>
      <c r="K53" s="4">
        <f t="shared" si="2"/>
        <v>2040243.98</v>
      </c>
      <c r="L53" s="4">
        <f t="shared" si="3"/>
        <v>2420238.58</v>
      </c>
      <c r="M53" s="4">
        <f t="shared" si="4"/>
        <v>8761.4199999999255</v>
      </c>
      <c r="N53" s="4">
        <f>8000000-3620000-1000000</f>
        <v>3380000</v>
      </c>
      <c r="O53" s="4">
        <f t="shared" si="5"/>
        <v>7120000</v>
      </c>
      <c r="P53" s="4">
        <f t="shared" si="6"/>
        <v>8761.4199999999255</v>
      </c>
      <c r="Q53" s="409"/>
      <c r="R53" s="4"/>
      <c r="S53" s="4">
        <f t="shared" si="7"/>
        <v>0</v>
      </c>
      <c r="T53" s="4">
        <f t="shared" si="8"/>
        <v>0</v>
      </c>
      <c r="U53" s="4">
        <f t="shared" si="1"/>
        <v>3380000</v>
      </c>
      <c r="V53" s="4">
        <f>U53-W53-X53-Y53-Z53</f>
        <v>3270000</v>
      </c>
      <c r="W53" s="4"/>
      <c r="X53" s="4"/>
      <c r="Y53" s="4"/>
      <c r="Z53" s="4">
        <v>110000</v>
      </c>
      <c r="AA53" s="408" t="s">
        <v>1335</v>
      </c>
      <c r="AB53" s="3">
        <v>810000</v>
      </c>
      <c r="AC53" s="266"/>
      <c r="AD53" s="247"/>
      <c r="AE53" s="247"/>
      <c r="AF53" s="247"/>
      <c r="AG53" s="34"/>
      <c r="AH53" s="30"/>
      <c r="AI53" s="447"/>
      <c r="AJ53" s="448"/>
      <c r="AK53" s="30"/>
      <c r="AL53" s="31"/>
      <c r="AM53" s="31"/>
      <c r="AN53" s="31"/>
      <c r="AO53" s="31"/>
      <c r="AP53" s="30"/>
    </row>
    <row r="54" spans="1:42" s="5" customFormat="1" ht="30" customHeight="1">
      <c r="A54" s="3">
        <f t="shared" si="10"/>
        <v>49</v>
      </c>
      <c r="B54" s="3">
        <v>1968</v>
      </c>
      <c r="C54" s="3" t="s">
        <v>263</v>
      </c>
      <c r="D54" s="4">
        <f>2500000-1100000</f>
        <v>1400000</v>
      </c>
      <c r="E54" s="4">
        <v>1800000</v>
      </c>
      <c r="F54" s="4">
        <f t="shared" si="12"/>
        <v>-400000</v>
      </c>
      <c r="G54" s="4">
        <v>1400000</v>
      </c>
      <c r="H54" s="4">
        <v>603369.29</v>
      </c>
      <c r="I54" s="4"/>
      <c r="J54" s="4">
        <v>790426</v>
      </c>
      <c r="K54" s="4">
        <f t="shared" si="2"/>
        <v>790426</v>
      </c>
      <c r="L54" s="4">
        <f t="shared" si="3"/>
        <v>1393795.29</v>
      </c>
      <c r="M54" s="4">
        <f t="shared" si="4"/>
        <v>6204.7099999999627</v>
      </c>
      <c r="N54" s="4">
        <f>1000000-400000-600000</f>
        <v>0</v>
      </c>
      <c r="O54" s="4">
        <f t="shared" si="5"/>
        <v>0</v>
      </c>
      <c r="P54" s="4">
        <f t="shared" si="6"/>
        <v>6204.7099999999627</v>
      </c>
      <c r="Q54" s="4"/>
      <c r="R54" s="4"/>
      <c r="S54" s="4">
        <f t="shared" si="7"/>
        <v>0</v>
      </c>
      <c r="T54" s="4">
        <f t="shared" si="8"/>
        <v>0</v>
      </c>
      <c r="U54" s="4">
        <f t="shared" si="1"/>
        <v>0</v>
      </c>
      <c r="V54" s="4">
        <f>U54*0.5</f>
        <v>0</v>
      </c>
      <c r="W54" s="4">
        <f t="shared" si="9"/>
        <v>0</v>
      </c>
      <c r="X54" s="4"/>
      <c r="Y54" s="4"/>
      <c r="Z54" s="3"/>
      <c r="AA54" s="408"/>
      <c r="AB54" s="3">
        <v>848500</v>
      </c>
      <c r="AC54" s="266"/>
      <c r="AD54" s="247"/>
      <c r="AE54" s="247"/>
      <c r="AF54" s="247"/>
      <c r="AG54" s="34"/>
      <c r="AH54" s="30"/>
      <c r="AI54" s="447"/>
      <c r="AJ54" s="448"/>
      <c r="AK54" s="449"/>
      <c r="AL54" s="31"/>
      <c r="AM54" s="31"/>
      <c r="AN54" s="31"/>
      <c r="AO54" s="31"/>
      <c r="AP54" s="30"/>
    </row>
    <row r="55" spans="1:42" s="5" customFormat="1" ht="30" customHeight="1">
      <c r="A55" s="3">
        <f t="shared" si="10"/>
        <v>50</v>
      </c>
      <c r="B55" s="3">
        <v>1969</v>
      </c>
      <c r="C55" s="3" t="s">
        <v>264</v>
      </c>
      <c r="D55" s="4">
        <f>1485000-585000</f>
        <v>900000</v>
      </c>
      <c r="E55" s="4">
        <v>1485000</v>
      </c>
      <c r="F55" s="4">
        <f t="shared" si="12"/>
        <v>-585000</v>
      </c>
      <c r="G55" s="4">
        <v>900000</v>
      </c>
      <c r="H55" s="4">
        <v>632558.23</v>
      </c>
      <c r="I55" s="4"/>
      <c r="J55" s="4">
        <v>43923</v>
      </c>
      <c r="K55" s="4">
        <f t="shared" si="2"/>
        <v>43923</v>
      </c>
      <c r="L55" s="4">
        <f t="shared" si="3"/>
        <v>676481.23</v>
      </c>
      <c r="M55" s="4">
        <f t="shared" si="4"/>
        <v>223518.77000000002</v>
      </c>
      <c r="N55" s="4">
        <f>400000-400000</f>
        <v>0</v>
      </c>
      <c r="O55" s="4">
        <f t="shared" si="5"/>
        <v>0</v>
      </c>
      <c r="P55" s="4">
        <f t="shared" si="6"/>
        <v>223518.77000000002</v>
      </c>
      <c r="Q55" s="4"/>
      <c r="R55" s="4"/>
      <c r="S55" s="4">
        <f t="shared" si="7"/>
        <v>0</v>
      </c>
      <c r="T55" s="4">
        <f t="shared" si="8"/>
        <v>0</v>
      </c>
      <c r="U55" s="4">
        <f t="shared" si="1"/>
        <v>0</v>
      </c>
      <c r="V55" s="4"/>
      <c r="W55" s="4">
        <f t="shared" si="9"/>
        <v>0</v>
      </c>
      <c r="X55" s="4"/>
      <c r="Y55" s="4"/>
      <c r="Z55" s="3"/>
      <c r="AA55" s="408" t="s">
        <v>761</v>
      </c>
      <c r="AB55" s="3">
        <v>810000</v>
      </c>
      <c r="AC55" s="266"/>
      <c r="AD55" s="247"/>
      <c r="AE55" s="247"/>
      <c r="AF55" s="247"/>
      <c r="AG55" s="34"/>
      <c r="AH55" s="30"/>
      <c r="AI55" s="447"/>
      <c r="AJ55" s="448"/>
      <c r="AK55" s="449"/>
      <c r="AL55" s="31"/>
      <c r="AM55" s="31"/>
      <c r="AN55" s="31"/>
      <c r="AO55" s="31"/>
      <c r="AP55" s="30"/>
    </row>
    <row r="56" spans="1:42" s="5" customFormat="1" ht="30" customHeight="1">
      <c r="A56" s="3">
        <f t="shared" si="10"/>
        <v>51</v>
      </c>
      <c r="B56" s="3">
        <v>1970</v>
      </c>
      <c r="C56" s="3" t="s">
        <v>294</v>
      </c>
      <c r="D56" s="4">
        <f>12200000+1000000</f>
        <v>13200000</v>
      </c>
      <c r="E56" s="4">
        <v>7200000</v>
      </c>
      <c r="F56" s="4">
        <f>D56-E56</f>
        <v>6000000</v>
      </c>
      <c r="G56" s="4">
        <v>7200000</v>
      </c>
      <c r="H56" s="4">
        <v>3512620</v>
      </c>
      <c r="I56" s="4">
        <v>277409</v>
      </c>
      <c r="J56" s="4">
        <v>3028845</v>
      </c>
      <c r="K56" s="4">
        <f t="shared" si="2"/>
        <v>3306254</v>
      </c>
      <c r="L56" s="4">
        <f t="shared" si="3"/>
        <v>6818874</v>
      </c>
      <c r="M56" s="4">
        <f t="shared" si="4"/>
        <v>381126</v>
      </c>
      <c r="N56" s="4">
        <f>5000000+1000000</f>
        <v>6000000</v>
      </c>
      <c r="O56" s="4">
        <f t="shared" si="5"/>
        <v>0</v>
      </c>
      <c r="P56" s="4">
        <f t="shared" si="6"/>
        <v>381126</v>
      </c>
      <c r="Q56" s="4"/>
      <c r="R56" s="4"/>
      <c r="S56" s="4">
        <f t="shared" si="7"/>
        <v>0</v>
      </c>
      <c r="T56" s="4">
        <f t="shared" si="8"/>
        <v>0</v>
      </c>
      <c r="U56" s="4">
        <f t="shared" si="1"/>
        <v>6000000</v>
      </c>
      <c r="V56" s="4">
        <f>U56*0.5-1000000</f>
        <v>2000000</v>
      </c>
      <c r="W56" s="4">
        <f t="shared" si="9"/>
        <v>4000000</v>
      </c>
      <c r="X56" s="4"/>
      <c r="Y56" s="4"/>
      <c r="Z56" s="3"/>
      <c r="AA56" s="408" t="s">
        <v>1134</v>
      </c>
      <c r="AB56" s="3">
        <v>810000</v>
      </c>
      <c r="AC56" s="266"/>
      <c r="AD56" s="247"/>
      <c r="AE56" s="247"/>
      <c r="AF56" s="247"/>
      <c r="AG56" s="34"/>
      <c r="AH56" s="30"/>
      <c r="AI56" s="447"/>
      <c r="AJ56" s="448"/>
      <c r="AK56" s="449"/>
      <c r="AL56" s="31"/>
      <c r="AM56" s="31"/>
      <c r="AN56" s="31"/>
      <c r="AO56" s="31"/>
      <c r="AP56" s="30"/>
    </row>
    <row r="57" spans="1:42" s="5" customFormat="1" ht="30" customHeight="1">
      <c r="A57" s="3">
        <f t="shared" si="10"/>
        <v>52</v>
      </c>
      <c r="B57" s="3">
        <v>2000</v>
      </c>
      <c r="C57" s="3" t="s">
        <v>327</v>
      </c>
      <c r="D57" s="4">
        <v>354000</v>
      </c>
      <c r="E57" s="4">
        <v>354000</v>
      </c>
      <c r="F57" s="4">
        <f>D57-E57</f>
        <v>0</v>
      </c>
      <c r="G57" s="4">
        <v>354000</v>
      </c>
      <c r="H57" s="4">
        <v>353367.64</v>
      </c>
      <c r="I57" s="4"/>
      <c r="J57" s="4"/>
      <c r="K57" s="4">
        <f t="shared" si="2"/>
        <v>0</v>
      </c>
      <c r="L57" s="4">
        <f t="shared" si="3"/>
        <v>353367.64</v>
      </c>
      <c r="M57" s="4">
        <f t="shared" si="4"/>
        <v>632.35999999998603</v>
      </c>
      <c r="N57" s="4"/>
      <c r="O57" s="4">
        <f t="shared" si="5"/>
        <v>0</v>
      </c>
      <c r="P57" s="4">
        <f t="shared" si="6"/>
        <v>632.35999999998603</v>
      </c>
      <c r="Q57" s="4"/>
      <c r="R57" s="4"/>
      <c r="S57" s="4">
        <f t="shared" si="7"/>
        <v>0</v>
      </c>
      <c r="T57" s="4">
        <f t="shared" si="8"/>
        <v>0</v>
      </c>
      <c r="U57" s="4">
        <f t="shared" si="1"/>
        <v>0</v>
      </c>
      <c r="V57" s="4"/>
      <c r="W57" s="4">
        <f t="shared" si="9"/>
        <v>0</v>
      </c>
      <c r="X57" s="4"/>
      <c r="Y57" s="4"/>
      <c r="Z57" s="3"/>
      <c r="AA57" s="408"/>
      <c r="AB57" s="3">
        <v>840000</v>
      </c>
      <c r="AC57" s="266"/>
      <c r="AD57" s="247"/>
      <c r="AE57" s="247"/>
      <c r="AF57" s="247"/>
      <c r="AG57" s="34"/>
      <c r="AH57" s="30"/>
      <c r="AI57" s="447"/>
      <c r="AJ57" s="448"/>
      <c r="AK57" s="30"/>
      <c r="AL57" s="31"/>
      <c r="AM57" s="31"/>
      <c r="AN57" s="31"/>
      <c r="AO57" s="31"/>
      <c r="AP57" s="30"/>
    </row>
    <row r="58" spans="1:42" s="5" customFormat="1" ht="30" customHeight="1">
      <c r="A58" s="3">
        <f t="shared" si="10"/>
        <v>53</v>
      </c>
      <c r="B58" s="3">
        <v>2001</v>
      </c>
      <c r="C58" s="3" t="s">
        <v>328</v>
      </c>
      <c r="D58" s="4">
        <v>18500000</v>
      </c>
      <c r="E58" s="4">
        <v>18500000</v>
      </c>
      <c r="F58" s="4">
        <f>D58-E58</f>
        <v>0</v>
      </c>
      <c r="G58" s="4">
        <v>998700</v>
      </c>
      <c r="H58" s="4">
        <v>0</v>
      </c>
      <c r="I58" s="4">
        <v>816746.6</v>
      </c>
      <c r="J58" s="4"/>
      <c r="K58" s="4">
        <f t="shared" si="2"/>
        <v>816746.6</v>
      </c>
      <c r="L58" s="4">
        <f t="shared" si="3"/>
        <v>816746.6</v>
      </c>
      <c r="M58" s="4">
        <f t="shared" si="4"/>
        <v>181953.40000000002</v>
      </c>
      <c r="N58" s="4">
        <f>17501300-8500000</f>
        <v>9001300</v>
      </c>
      <c r="O58" s="4">
        <f t="shared" si="5"/>
        <v>8500000</v>
      </c>
      <c r="P58" s="4">
        <f t="shared" si="6"/>
        <v>181953.40000000002</v>
      </c>
      <c r="Q58" s="4"/>
      <c r="R58" s="4"/>
      <c r="S58" s="4">
        <f t="shared" si="7"/>
        <v>0</v>
      </c>
      <c r="T58" s="4">
        <f t="shared" si="8"/>
        <v>0</v>
      </c>
      <c r="U58" s="4">
        <f t="shared" si="1"/>
        <v>9001300</v>
      </c>
      <c r="V58" s="4">
        <f>U58-W58-X58-Y58-Z58</f>
        <v>0</v>
      </c>
      <c r="W58" s="4"/>
      <c r="X58" s="4"/>
      <c r="Y58" s="4"/>
      <c r="Z58" s="4">
        <v>9001300</v>
      </c>
      <c r="AA58" s="408" t="s">
        <v>762</v>
      </c>
      <c r="AB58" s="3">
        <v>810000</v>
      </c>
      <c r="AC58" s="266"/>
      <c r="AD58" s="247"/>
      <c r="AE58" s="247"/>
      <c r="AF58" s="247"/>
      <c r="AG58" s="34"/>
      <c r="AH58" s="30"/>
      <c r="AI58" s="447"/>
      <c r="AJ58" s="448"/>
      <c r="AK58" s="30"/>
      <c r="AL58" s="31"/>
      <c r="AM58" s="31"/>
      <c r="AN58" s="31"/>
      <c r="AO58" s="31"/>
      <c r="AP58" s="30"/>
    </row>
    <row r="59" spans="1:42" s="5" customFormat="1" ht="30" customHeight="1">
      <c r="A59" s="3">
        <f t="shared" si="10"/>
        <v>54</v>
      </c>
      <c r="B59" s="3">
        <v>2027</v>
      </c>
      <c r="C59" s="3" t="s">
        <v>763</v>
      </c>
      <c r="D59" s="4">
        <v>1930000</v>
      </c>
      <c r="E59" s="4">
        <v>1930000</v>
      </c>
      <c r="F59" s="4">
        <f t="shared" si="12"/>
        <v>0</v>
      </c>
      <c r="G59" s="4">
        <v>1930000</v>
      </c>
      <c r="H59" s="4">
        <v>518384</v>
      </c>
      <c r="I59" s="4">
        <f>1247790-53911</f>
        <v>1193879</v>
      </c>
      <c r="J59" s="4">
        <v>53911</v>
      </c>
      <c r="K59" s="4">
        <f t="shared" si="2"/>
        <v>1247790</v>
      </c>
      <c r="L59" s="4">
        <f t="shared" si="3"/>
        <v>1766174</v>
      </c>
      <c r="M59" s="4">
        <f t="shared" si="4"/>
        <v>163826</v>
      </c>
      <c r="N59" s="4"/>
      <c r="O59" s="4">
        <f t="shared" si="5"/>
        <v>0</v>
      </c>
      <c r="P59" s="4">
        <f t="shared" si="6"/>
        <v>163826</v>
      </c>
      <c r="Q59" s="409"/>
      <c r="R59" s="4"/>
      <c r="S59" s="409">
        <f t="shared" si="7"/>
        <v>0</v>
      </c>
      <c r="T59" s="4">
        <f t="shared" si="8"/>
        <v>0</v>
      </c>
      <c r="U59" s="4">
        <f t="shared" si="1"/>
        <v>0</v>
      </c>
      <c r="V59" s="4"/>
      <c r="W59" s="4">
        <f t="shared" si="9"/>
        <v>0</v>
      </c>
      <c r="X59" s="4"/>
      <c r="Y59" s="4"/>
      <c r="Z59" s="3"/>
      <c r="AA59" s="408"/>
      <c r="AB59" s="3">
        <v>810000</v>
      </c>
      <c r="AC59" s="266"/>
      <c r="AD59" s="247"/>
      <c r="AE59" s="247"/>
      <c r="AF59" s="247"/>
      <c r="AG59" s="34"/>
      <c r="AH59" s="30"/>
      <c r="AI59" s="447"/>
      <c r="AJ59" s="448"/>
      <c r="AK59" s="449"/>
      <c r="AL59" s="31"/>
      <c r="AM59" s="31"/>
      <c r="AN59" s="31"/>
      <c r="AO59" s="31"/>
      <c r="AP59" s="30"/>
    </row>
    <row r="60" spans="1:42" s="5" customFormat="1" ht="30" customHeight="1">
      <c r="A60" s="3">
        <f t="shared" si="10"/>
        <v>55</v>
      </c>
      <c r="B60" s="3">
        <v>2028</v>
      </c>
      <c r="C60" s="3" t="s">
        <v>764</v>
      </c>
      <c r="D60" s="4">
        <v>1800000</v>
      </c>
      <c r="E60" s="4">
        <v>1800000</v>
      </c>
      <c r="F60" s="4">
        <f t="shared" si="12"/>
        <v>0</v>
      </c>
      <c r="G60" s="4">
        <v>1800000</v>
      </c>
      <c r="H60" s="4">
        <v>6084</v>
      </c>
      <c r="I60" s="4">
        <v>124488</v>
      </c>
      <c r="J60" s="4">
        <v>24428</v>
      </c>
      <c r="K60" s="4">
        <f t="shared" si="2"/>
        <v>148916</v>
      </c>
      <c r="L60" s="4">
        <f t="shared" si="3"/>
        <v>155000</v>
      </c>
      <c r="M60" s="4">
        <f t="shared" si="4"/>
        <v>1645000</v>
      </c>
      <c r="N60" s="4"/>
      <c r="O60" s="4">
        <f t="shared" si="5"/>
        <v>0</v>
      </c>
      <c r="P60" s="4">
        <f t="shared" si="6"/>
        <v>1645000</v>
      </c>
      <c r="Q60" s="4"/>
      <c r="R60" s="4"/>
      <c r="S60" s="4">
        <f t="shared" si="7"/>
        <v>0</v>
      </c>
      <c r="T60" s="4">
        <f t="shared" si="8"/>
        <v>0</v>
      </c>
      <c r="U60" s="4">
        <f t="shared" si="1"/>
        <v>0</v>
      </c>
      <c r="V60" s="4"/>
      <c r="W60" s="4">
        <f t="shared" si="9"/>
        <v>0</v>
      </c>
      <c r="X60" s="4"/>
      <c r="Y60" s="4"/>
      <c r="Z60" s="3"/>
      <c r="AA60" s="408"/>
      <c r="AB60" s="3">
        <v>810000</v>
      </c>
      <c r="AC60" s="266"/>
      <c r="AD60" s="247"/>
      <c r="AE60" s="247"/>
      <c r="AF60" s="247"/>
      <c r="AG60" s="34"/>
      <c r="AH60" s="30"/>
      <c r="AI60" s="447"/>
      <c r="AJ60" s="448"/>
      <c r="AK60" s="30"/>
      <c r="AL60" s="31"/>
      <c r="AM60" s="31"/>
      <c r="AN60" s="31"/>
      <c r="AO60" s="31"/>
      <c r="AP60" s="30"/>
    </row>
    <row r="61" spans="1:42" s="5" customFormat="1" ht="30" customHeight="1">
      <c r="A61" s="3">
        <f t="shared" si="10"/>
        <v>56</v>
      </c>
      <c r="B61" s="3">
        <v>2029</v>
      </c>
      <c r="C61" s="3" t="s">
        <v>765</v>
      </c>
      <c r="D61" s="4">
        <v>300000</v>
      </c>
      <c r="E61" s="4">
        <v>300000</v>
      </c>
      <c r="F61" s="4">
        <f t="shared" ref="F61:F66" si="13">D61-E61</f>
        <v>0</v>
      </c>
      <c r="G61" s="4">
        <v>300000</v>
      </c>
      <c r="H61" s="4">
        <v>0</v>
      </c>
      <c r="I61" s="4"/>
      <c r="J61" s="4"/>
      <c r="K61" s="4">
        <f t="shared" si="2"/>
        <v>0</v>
      </c>
      <c r="L61" s="4">
        <f t="shared" si="3"/>
        <v>0</v>
      </c>
      <c r="M61" s="4">
        <f t="shared" si="4"/>
        <v>300000</v>
      </c>
      <c r="N61" s="4"/>
      <c r="O61" s="4">
        <f t="shared" si="5"/>
        <v>0</v>
      </c>
      <c r="P61" s="4">
        <f t="shared" si="6"/>
        <v>300000</v>
      </c>
      <c r="Q61" s="4"/>
      <c r="R61" s="4"/>
      <c r="S61" s="4">
        <f t="shared" si="7"/>
        <v>0</v>
      </c>
      <c r="T61" s="4">
        <f t="shared" si="8"/>
        <v>0</v>
      </c>
      <c r="U61" s="4">
        <f t="shared" si="1"/>
        <v>0</v>
      </c>
      <c r="V61" s="4"/>
      <c r="W61" s="4">
        <f t="shared" si="9"/>
        <v>0</v>
      </c>
      <c r="X61" s="4"/>
      <c r="Y61" s="4"/>
      <c r="Z61" s="3"/>
      <c r="AA61" s="408"/>
      <c r="AB61" s="3">
        <v>850000</v>
      </c>
      <c r="AC61" s="266"/>
      <c r="AD61" s="247"/>
      <c r="AE61" s="247"/>
      <c r="AF61" s="247"/>
      <c r="AG61" s="34"/>
      <c r="AH61" s="30"/>
      <c r="AI61" s="447"/>
      <c r="AJ61" s="448"/>
      <c r="AK61" s="30"/>
      <c r="AL61" s="31"/>
      <c r="AM61" s="31"/>
      <c r="AN61" s="31"/>
      <c r="AO61" s="31"/>
      <c r="AP61" s="30"/>
    </row>
    <row r="62" spans="1:42" s="5" customFormat="1" ht="30" customHeight="1">
      <c r="A62" s="3">
        <f t="shared" si="10"/>
        <v>57</v>
      </c>
      <c r="B62" s="3">
        <v>2030</v>
      </c>
      <c r="C62" s="3" t="s">
        <v>580</v>
      </c>
      <c r="D62" s="4">
        <v>31500000</v>
      </c>
      <c r="E62" s="4">
        <v>28000000</v>
      </c>
      <c r="F62" s="4">
        <f t="shared" si="13"/>
        <v>3500000</v>
      </c>
      <c r="G62" s="4">
        <v>3000000</v>
      </c>
      <c r="H62" s="4">
        <v>584408.21</v>
      </c>
      <c r="I62" s="4">
        <v>570857.04</v>
      </c>
      <c r="J62" s="4">
        <f>1935188-570857</f>
        <v>1364331</v>
      </c>
      <c r="K62" s="4">
        <f t="shared" si="2"/>
        <v>1935188.04</v>
      </c>
      <c r="L62" s="4">
        <f t="shared" si="3"/>
        <v>2519596.25</v>
      </c>
      <c r="M62" s="4">
        <f t="shared" si="4"/>
        <v>480403.75</v>
      </c>
      <c r="N62" s="4">
        <f>20000000-5000000-5000000-2000000</f>
        <v>8000000</v>
      </c>
      <c r="O62" s="4">
        <f t="shared" si="5"/>
        <v>20500000</v>
      </c>
      <c r="P62" s="4">
        <f t="shared" si="6"/>
        <v>480403.75</v>
      </c>
      <c r="Q62" s="4"/>
      <c r="R62" s="4"/>
      <c r="S62" s="4">
        <f t="shared" si="7"/>
        <v>0</v>
      </c>
      <c r="T62" s="4">
        <f t="shared" si="8"/>
        <v>0</v>
      </c>
      <c r="U62" s="4">
        <f t="shared" si="1"/>
        <v>8000000</v>
      </c>
      <c r="V62" s="4">
        <f>U62-W62-X62-Y62-Z62</f>
        <v>7890000</v>
      </c>
      <c r="W62" s="4"/>
      <c r="X62" s="4"/>
      <c r="Y62" s="4"/>
      <c r="Z62" s="4">
        <v>110000</v>
      </c>
      <c r="AA62" s="408" t="s">
        <v>1097</v>
      </c>
      <c r="AB62" s="3">
        <v>810000</v>
      </c>
      <c r="AC62" s="266"/>
      <c r="AD62" s="247"/>
      <c r="AE62" s="247"/>
      <c r="AF62" s="247"/>
      <c r="AG62" s="34"/>
      <c r="AH62" s="30"/>
      <c r="AI62" s="447"/>
      <c r="AJ62" s="448"/>
      <c r="AK62" s="30"/>
      <c r="AL62" s="31"/>
      <c r="AM62" s="31"/>
      <c r="AN62" s="30"/>
      <c r="AO62" s="30"/>
      <c r="AP62" s="30"/>
    </row>
    <row r="63" spans="1:42" s="5" customFormat="1" ht="30" customHeight="1">
      <c r="A63" s="3">
        <f t="shared" si="10"/>
        <v>58</v>
      </c>
      <c r="B63" s="3">
        <v>2061</v>
      </c>
      <c r="C63" s="3" t="s">
        <v>766</v>
      </c>
      <c r="D63" s="4">
        <v>290000</v>
      </c>
      <c r="E63" s="4">
        <v>290000</v>
      </c>
      <c r="F63" s="4">
        <f t="shared" si="13"/>
        <v>0</v>
      </c>
      <c r="G63" s="4">
        <v>290000</v>
      </c>
      <c r="H63" s="4">
        <v>0</v>
      </c>
      <c r="I63" s="4"/>
      <c r="J63" s="4">
        <v>243144</v>
      </c>
      <c r="K63" s="4">
        <f t="shared" ref="K63:K69" si="14">SUM(I63:J63)</f>
        <v>243144</v>
      </c>
      <c r="L63" s="4">
        <f t="shared" si="3"/>
        <v>243144</v>
      </c>
      <c r="M63" s="4">
        <f t="shared" si="4"/>
        <v>46856</v>
      </c>
      <c r="N63" s="4"/>
      <c r="O63" s="4">
        <f t="shared" si="5"/>
        <v>0</v>
      </c>
      <c r="P63" s="4">
        <f t="shared" si="6"/>
        <v>46856</v>
      </c>
      <c r="Q63" s="4"/>
      <c r="R63" s="4"/>
      <c r="S63" s="4">
        <f t="shared" si="7"/>
        <v>0</v>
      </c>
      <c r="T63" s="4">
        <f t="shared" si="8"/>
        <v>0</v>
      </c>
      <c r="U63" s="4">
        <f t="shared" si="1"/>
        <v>0</v>
      </c>
      <c r="V63" s="4"/>
      <c r="W63" s="4">
        <f t="shared" si="9"/>
        <v>0</v>
      </c>
      <c r="X63" s="4"/>
      <c r="Y63" s="4"/>
      <c r="Z63" s="3"/>
      <c r="AA63" s="408" t="s">
        <v>1336</v>
      </c>
      <c r="AB63" s="3">
        <v>930000</v>
      </c>
      <c r="AC63" s="266"/>
      <c r="AD63" s="247"/>
      <c r="AE63" s="247"/>
      <c r="AF63" s="247"/>
      <c r="AG63" s="34"/>
      <c r="AH63" s="30"/>
      <c r="AI63" s="447"/>
      <c r="AJ63" s="448"/>
      <c r="AK63" s="30"/>
      <c r="AL63" s="31"/>
      <c r="AM63" s="31"/>
      <c r="AN63" s="31"/>
      <c r="AO63" s="31"/>
      <c r="AP63" s="30"/>
    </row>
    <row r="64" spans="1:42" s="5" customFormat="1" ht="30" customHeight="1">
      <c r="A64" s="3">
        <f t="shared" si="10"/>
        <v>59</v>
      </c>
      <c r="B64" s="3">
        <v>2063</v>
      </c>
      <c r="C64" s="3" t="s">
        <v>767</v>
      </c>
      <c r="D64" s="4">
        <v>1490000</v>
      </c>
      <c r="E64" s="4">
        <v>1490000</v>
      </c>
      <c r="F64" s="4">
        <f t="shared" si="13"/>
        <v>0</v>
      </c>
      <c r="G64" s="4">
        <v>1490000</v>
      </c>
      <c r="H64" s="4">
        <v>0</v>
      </c>
      <c r="I64" s="4">
        <v>61074</v>
      </c>
      <c r="J64" s="4">
        <v>27787.5</v>
      </c>
      <c r="K64" s="4">
        <f t="shared" si="14"/>
        <v>88861.5</v>
      </c>
      <c r="L64" s="4">
        <f t="shared" si="3"/>
        <v>88861.5</v>
      </c>
      <c r="M64" s="4">
        <f t="shared" si="4"/>
        <v>1401138.5</v>
      </c>
      <c r="N64" s="4">
        <v>0</v>
      </c>
      <c r="O64" s="4">
        <f t="shared" si="5"/>
        <v>0</v>
      </c>
      <c r="P64" s="4">
        <f t="shared" si="6"/>
        <v>1401138.5</v>
      </c>
      <c r="Q64" s="4"/>
      <c r="R64" s="4"/>
      <c r="S64" s="4">
        <f t="shared" si="7"/>
        <v>0</v>
      </c>
      <c r="T64" s="4">
        <f t="shared" si="8"/>
        <v>0</v>
      </c>
      <c r="U64" s="4">
        <f t="shared" si="1"/>
        <v>0</v>
      </c>
      <c r="V64" s="4"/>
      <c r="W64" s="4">
        <f t="shared" si="9"/>
        <v>0</v>
      </c>
      <c r="X64" s="4"/>
      <c r="Y64" s="4"/>
      <c r="Z64" s="3"/>
      <c r="AA64" s="408" t="s">
        <v>1337</v>
      </c>
      <c r="AB64" s="3">
        <v>810000</v>
      </c>
      <c r="AC64" s="266"/>
      <c r="AD64" s="247"/>
      <c r="AE64" s="247"/>
      <c r="AF64" s="247"/>
      <c r="AG64" s="34"/>
      <c r="AH64" s="30"/>
      <c r="AI64" s="447"/>
      <c r="AJ64" s="448"/>
      <c r="AK64" s="30"/>
      <c r="AL64" s="31"/>
      <c r="AM64" s="31"/>
      <c r="AN64" s="31"/>
      <c r="AO64" s="31"/>
      <c r="AP64" s="30"/>
    </row>
    <row r="65" spans="1:43" s="5" customFormat="1" ht="30" customHeight="1">
      <c r="A65" s="3">
        <f t="shared" si="10"/>
        <v>60</v>
      </c>
      <c r="B65" s="3">
        <v>2065</v>
      </c>
      <c r="C65" s="3" t="s">
        <v>768</v>
      </c>
      <c r="D65" s="4">
        <v>700000</v>
      </c>
      <c r="E65" s="4">
        <v>700000</v>
      </c>
      <c r="F65" s="4">
        <f t="shared" si="13"/>
        <v>0</v>
      </c>
      <c r="G65" s="4">
        <v>700000</v>
      </c>
      <c r="H65" s="4">
        <v>546750.99</v>
      </c>
      <c r="I65" s="4"/>
      <c r="J65" s="4">
        <v>153196</v>
      </c>
      <c r="K65" s="4">
        <f t="shared" si="14"/>
        <v>153196</v>
      </c>
      <c r="L65" s="4">
        <f t="shared" si="3"/>
        <v>699946.99</v>
      </c>
      <c r="M65" s="4">
        <f t="shared" si="4"/>
        <v>53.010000000009313</v>
      </c>
      <c r="N65" s="4"/>
      <c r="O65" s="4">
        <f t="shared" si="5"/>
        <v>0</v>
      </c>
      <c r="P65" s="4">
        <f t="shared" si="6"/>
        <v>53.010000000009313</v>
      </c>
      <c r="Q65" s="4"/>
      <c r="R65" s="4"/>
      <c r="S65" s="4">
        <f t="shared" si="7"/>
        <v>0</v>
      </c>
      <c r="T65" s="4">
        <f t="shared" si="8"/>
        <v>0</v>
      </c>
      <c r="U65" s="4">
        <f t="shared" si="1"/>
        <v>0</v>
      </c>
      <c r="V65" s="4"/>
      <c r="W65" s="4">
        <f t="shared" si="9"/>
        <v>0</v>
      </c>
      <c r="X65" s="4"/>
      <c r="Y65" s="4"/>
      <c r="Z65" s="3"/>
      <c r="AA65" s="408" t="s">
        <v>1338</v>
      </c>
      <c r="AB65" s="3">
        <v>810000</v>
      </c>
      <c r="AC65" s="266"/>
      <c r="AD65" s="247"/>
      <c r="AE65" s="247"/>
      <c r="AF65" s="247"/>
      <c r="AG65" s="440"/>
      <c r="AH65" s="30"/>
      <c r="AI65" s="447"/>
      <c r="AJ65" s="448"/>
      <c r="AK65" s="30"/>
      <c r="AL65" s="31"/>
      <c r="AM65" s="31"/>
      <c r="AN65" s="31"/>
      <c r="AO65" s="31"/>
      <c r="AP65" s="30"/>
    </row>
    <row r="66" spans="1:43" s="5" customFormat="1" ht="30" customHeight="1">
      <c r="A66" s="3">
        <f t="shared" si="10"/>
        <v>61</v>
      </c>
      <c r="B66" s="3">
        <v>2068</v>
      </c>
      <c r="C66" s="3" t="s">
        <v>1339</v>
      </c>
      <c r="D66" s="4">
        <v>280000</v>
      </c>
      <c r="E66" s="4">
        <v>280000</v>
      </c>
      <c r="F66" s="4">
        <f t="shared" si="13"/>
        <v>0</v>
      </c>
      <c r="G66" s="4">
        <v>280000</v>
      </c>
      <c r="H66" s="4">
        <v>0</v>
      </c>
      <c r="I66" s="4"/>
      <c r="J66" s="4">
        <v>276360.27</v>
      </c>
      <c r="K66" s="4">
        <f t="shared" si="14"/>
        <v>276360.27</v>
      </c>
      <c r="L66" s="4">
        <f t="shared" si="3"/>
        <v>276360.27</v>
      </c>
      <c r="M66" s="4">
        <f t="shared" si="4"/>
        <v>3639.7299999999814</v>
      </c>
      <c r="N66" s="4"/>
      <c r="O66" s="4">
        <f t="shared" si="5"/>
        <v>0</v>
      </c>
      <c r="P66" s="4">
        <f t="shared" si="6"/>
        <v>3639.7299999999814</v>
      </c>
      <c r="Q66" s="4"/>
      <c r="R66" s="4"/>
      <c r="S66" s="4">
        <f t="shared" si="7"/>
        <v>0</v>
      </c>
      <c r="T66" s="4">
        <f t="shared" si="8"/>
        <v>0</v>
      </c>
      <c r="U66" s="4">
        <f t="shared" si="1"/>
        <v>0</v>
      </c>
      <c r="V66" s="4"/>
      <c r="W66" s="4">
        <f t="shared" si="9"/>
        <v>0</v>
      </c>
      <c r="X66" s="4"/>
      <c r="Y66" s="4"/>
      <c r="Z66" s="3"/>
      <c r="AA66" s="408" t="s">
        <v>1340</v>
      </c>
      <c r="AB66" s="3">
        <v>829000</v>
      </c>
      <c r="AC66" s="266"/>
      <c r="AD66" s="247"/>
      <c r="AE66" s="247"/>
      <c r="AF66" s="247"/>
      <c r="AG66" s="34"/>
      <c r="AH66" s="30"/>
      <c r="AI66" s="447"/>
      <c r="AJ66" s="448"/>
      <c r="AK66" s="30"/>
      <c r="AL66" s="31"/>
      <c r="AM66" s="31"/>
      <c r="AN66" s="31"/>
      <c r="AO66" s="31"/>
      <c r="AP66" s="30"/>
    </row>
    <row r="67" spans="1:43" s="5" customFormat="1" ht="30" customHeight="1">
      <c r="A67" s="3">
        <f t="shared" si="10"/>
        <v>62</v>
      </c>
      <c r="B67" s="3">
        <v>2074</v>
      </c>
      <c r="C67" s="3" t="s">
        <v>769</v>
      </c>
      <c r="D67" s="4">
        <f>2500000-500000</f>
        <v>2000000</v>
      </c>
      <c r="E67" s="4">
        <v>560000</v>
      </c>
      <c r="F67" s="4">
        <f>D67-E67</f>
        <v>1440000</v>
      </c>
      <c r="G67" s="4">
        <v>560000</v>
      </c>
      <c r="H67" s="4">
        <v>0</v>
      </c>
      <c r="I67" s="4"/>
      <c r="J67" s="4">
        <v>7897</v>
      </c>
      <c r="K67" s="4">
        <f t="shared" si="14"/>
        <v>7897</v>
      </c>
      <c r="L67" s="4">
        <f>K67+H67</f>
        <v>7897</v>
      </c>
      <c r="M67" s="4">
        <f>P67+S67</f>
        <v>552103</v>
      </c>
      <c r="N67" s="4">
        <f>1940000-500000</f>
        <v>1440000</v>
      </c>
      <c r="O67" s="4">
        <f>D67-L67-M67-N67</f>
        <v>0</v>
      </c>
      <c r="P67" s="4">
        <f>G67-L67</f>
        <v>552103</v>
      </c>
      <c r="Q67" s="4"/>
      <c r="R67" s="4"/>
      <c r="S67" s="4">
        <f>SUM(Q67:R67)</f>
        <v>0</v>
      </c>
      <c r="T67" s="4">
        <f>P67-M67+S67</f>
        <v>0</v>
      </c>
      <c r="U67" s="4">
        <f>N67-T67</f>
        <v>1440000</v>
      </c>
      <c r="V67" s="4">
        <f>U67*0.5</f>
        <v>720000</v>
      </c>
      <c r="W67" s="4">
        <f>U67-V67-Y67-Z67</f>
        <v>720000</v>
      </c>
      <c r="X67" s="4"/>
      <c r="Y67" s="4"/>
      <c r="Z67" s="3"/>
      <c r="AA67" s="408" t="s">
        <v>770</v>
      </c>
      <c r="AB67" s="3">
        <v>930000</v>
      </c>
      <c r="AC67" s="266"/>
      <c r="AD67" s="247"/>
      <c r="AE67" s="247"/>
      <c r="AF67" s="247"/>
      <c r="AG67" s="34"/>
      <c r="AH67" s="30"/>
      <c r="AI67" s="447"/>
      <c r="AJ67" s="448"/>
      <c r="AK67" s="30"/>
      <c r="AL67" s="31"/>
      <c r="AM67" s="31"/>
      <c r="AN67" s="31"/>
      <c r="AO67" s="31"/>
      <c r="AP67" s="30"/>
    </row>
    <row r="68" spans="1:43" s="5" customFormat="1" ht="30" customHeight="1">
      <c r="A68" s="3">
        <f t="shared" si="10"/>
        <v>63</v>
      </c>
      <c r="B68" s="42">
        <v>2095</v>
      </c>
      <c r="C68" s="3" t="s">
        <v>771</v>
      </c>
      <c r="D68" s="4">
        <v>160000</v>
      </c>
      <c r="E68" s="4"/>
      <c r="F68" s="4">
        <f>D68-E68</f>
        <v>160000</v>
      </c>
      <c r="G68" s="4"/>
      <c r="H68" s="4"/>
      <c r="I68" s="4"/>
      <c r="J68" s="4"/>
      <c r="K68" s="4">
        <f t="shared" si="14"/>
        <v>0</v>
      </c>
      <c r="L68" s="4">
        <f>K68+H68</f>
        <v>0</v>
      </c>
      <c r="M68" s="4">
        <f>P68+S68</f>
        <v>0</v>
      </c>
      <c r="N68" s="4">
        <v>160000</v>
      </c>
      <c r="O68" s="4">
        <f>D68-L68-M68-N68</f>
        <v>0</v>
      </c>
      <c r="P68" s="4">
        <f>G68-L68</f>
        <v>0</v>
      </c>
      <c r="Q68" s="4"/>
      <c r="R68" s="4"/>
      <c r="S68" s="4">
        <f>SUM(Q68:R68)</f>
        <v>0</v>
      </c>
      <c r="T68" s="4">
        <f>P68-M68+S68</f>
        <v>0</v>
      </c>
      <c r="U68" s="4">
        <f>N68-T68</f>
        <v>160000</v>
      </c>
      <c r="V68" s="4"/>
      <c r="W68" s="4">
        <f>U68-V68-Y68-Z68</f>
        <v>160000</v>
      </c>
      <c r="X68" s="4"/>
      <c r="Y68" s="4"/>
      <c r="Z68" s="3"/>
      <c r="AA68" s="408" t="s">
        <v>772</v>
      </c>
      <c r="AB68" s="3">
        <v>610000</v>
      </c>
      <c r="AC68" s="266"/>
      <c r="AD68" s="247"/>
      <c r="AE68" s="247"/>
      <c r="AF68" s="247"/>
      <c r="AG68" s="34"/>
      <c r="AH68" s="440"/>
      <c r="AI68" s="440"/>
      <c r="AJ68" s="441"/>
      <c r="AK68" s="446"/>
      <c r="AL68" s="31"/>
      <c r="AM68" s="31"/>
      <c r="AN68" s="31"/>
      <c r="AO68" s="31"/>
      <c r="AP68" s="30"/>
    </row>
    <row r="69" spans="1:43" s="5" customFormat="1" ht="30" customHeight="1">
      <c r="A69" s="3">
        <f t="shared" si="10"/>
        <v>64</v>
      </c>
      <c r="B69" s="42">
        <v>2096</v>
      </c>
      <c r="C69" s="3" t="s">
        <v>773</v>
      </c>
      <c r="D69" s="4">
        <f>1715000-500000</f>
        <v>1215000</v>
      </c>
      <c r="E69" s="4"/>
      <c r="F69" s="4">
        <f>D69-E69</f>
        <v>1215000</v>
      </c>
      <c r="G69" s="4"/>
      <c r="H69" s="4"/>
      <c r="I69" s="4"/>
      <c r="J69" s="4"/>
      <c r="K69" s="4">
        <f t="shared" si="14"/>
        <v>0</v>
      </c>
      <c r="L69" s="4">
        <f>K69+H69</f>
        <v>0</v>
      </c>
      <c r="M69" s="4">
        <f>P69+S69</f>
        <v>0</v>
      </c>
      <c r="N69" s="4">
        <f>1715000-500000</f>
        <v>1215000</v>
      </c>
      <c r="O69" s="4">
        <f>D69-L69-M69-N69</f>
        <v>0</v>
      </c>
      <c r="P69" s="4">
        <f>G69-L69</f>
        <v>0</v>
      </c>
      <c r="Q69" s="4"/>
      <c r="R69" s="4"/>
      <c r="S69" s="4">
        <f>SUM(Q69:R69)</f>
        <v>0</v>
      </c>
      <c r="T69" s="4">
        <f>P69-M69+S69</f>
        <v>0</v>
      </c>
      <c r="U69" s="4">
        <f>N69-T69</f>
        <v>1215000</v>
      </c>
      <c r="V69" s="4">
        <f>500000-500000</f>
        <v>0</v>
      </c>
      <c r="W69" s="4">
        <f>U69-V69-Y69-Z69</f>
        <v>1215000</v>
      </c>
      <c r="X69" s="4"/>
      <c r="Y69" s="4"/>
      <c r="Z69" s="3"/>
      <c r="AA69" s="408" t="s">
        <v>1341</v>
      </c>
      <c r="AB69" s="3">
        <v>930000</v>
      </c>
      <c r="AC69" s="266"/>
      <c r="AD69" s="247"/>
      <c r="AE69" s="247"/>
      <c r="AF69" s="247"/>
      <c r="AG69" s="34"/>
      <c r="AH69" s="440"/>
      <c r="AI69" s="440"/>
      <c r="AJ69" s="441"/>
      <c r="AK69" s="446"/>
      <c r="AL69" s="31"/>
      <c r="AM69" s="31"/>
      <c r="AN69" s="31"/>
      <c r="AO69" s="31"/>
      <c r="AP69" s="30"/>
    </row>
    <row r="70" spans="1:43" s="6" customFormat="1" ht="30" customHeight="1">
      <c r="A70" s="9">
        <f>A69</f>
        <v>64</v>
      </c>
      <c r="B70" s="9"/>
      <c r="C70" s="260" t="s">
        <v>1196</v>
      </c>
      <c r="D70" s="10">
        <f t="shared" ref="D70:Z70" si="15">SUM(D6:D69)</f>
        <v>659008945</v>
      </c>
      <c r="E70" s="10">
        <f t="shared" si="15"/>
        <v>632243945</v>
      </c>
      <c r="F70" s="10">
        <f t="shared" si="15"/>
        <v>26765000</v>
      </c>
      <c r="G70" s="10">
        <f t="shared" si="15"/>
        <v>507684741</v>
      </c>
      <c r="H70" s="10">
        <f t="shared" si="15"/>
        <v>432359545.21999997</v>
      </c>
      <c r="I70" s="10">
        <f t="shared" si="15"/>
        <v>18484399.039999999</v>
      </c>
      <c r="J70" s="10">
        <f t="shared" si="15"/>
        <v>36617167.289999999</v>
      </c>
      <c r="K70" s="10">
        <f t="shared" si="15"/>
        <v>55101566.330000006</v>
      </c>
      <c r="L70" s="10">
        <f t="shared" si="15"/>
        <v>487461111.55000001</v>
      </c>
      <c r="M70" s="10">
        <f t="shared" si="15"/>
        <v>22273629.449999984</v>
      </c>
      <c r="N70" s="10">
        <f t="shared" si="15"/>
        <v>49991300</v>
      </c>
      <c r="O70" s="10">
        <f t="shared" si="15"/>
        <v>99282904</v>
      </c>
      <c r="P70" s="10">
        <f t="shared" si="15"/>
        <v>20223629.449999988</v>
      </c>
      <c r="Q70" s="10">
        <f t="shared" si="15"/>
        <v>2590000</v>
      </c>
      <c r="R70" s="10">
        <f t="shared" si="15"/>
        <v>0</v>
      </c>
      <c r="S70" s="10">
        <f t="shared" si="15"/>
        <v>2590000</v>
      </c>
      <c r="T70" s="10">
        <f t="shared" si="15"/>
        <v>540000</v>
      </c>
      <c r="U70" s="10">
        <f t="shared" si="15"/>
        <v>49451300</v>
      </c>
      <c r="V70" s="10">
        <f t="shared" si="15"/>
        <v>25230000</v>
      </c>
      <c r="W70" s="10">
        <f t="shared" si="15"/>
        <v>15000000</v>
      </c>
      <c r="X70" s="10">
        <f t="shared" si="15"/>
        <v>0</v>
      </c>
      <c r="Y70" s="10">
        <f t="shared" si="15"/>
        <v>0</v>
      </c>
      <c r="Z70" s="10">
        <f t="shared" si="15"/>
        <v>9221300</v>
      </c>
      <c r="AA70" s="408">
        <v>0</v>
      </c>
      <c r="AB70" s="10"/>
      <c r="AC70" s="266"/>
      <c r="AD70" s="247"/>
      <c r="AE70" s="247"/>
      <c r="AF70" s="247"/>
      <c r="AH70" s="30"/>
      <c r="AI70" s="440"/>
      <c r="AJ70" s="440"/>
      <c r="AK70" s="21"/>
      <c r="AL70" s="31"/>
      <c r="AM70" s="32"/>
      <c r="AN70" s="32"/>
      <c r="AO70" s="32"/>
      <c r="AP70" s="32"/>
      <c r="AQ70" s="29"/>
    </row>
    <row r="71" spans="1:43" s="31" customFormat="1" hidden="1">
      <c r="B71" s="20"/>
      <c r="C71" s="20"/>
      <c r="D71" s="27"/>
      <c r="E71" s="27"/>
      <c r="F71" s="27"/>
      <c r="G71" s="27"/>
      <c r="H71" s="27"/>
      <c r="I71" s="27"/>
      <c r="J71" s="27"/>
      <c r="K71" s="27"/>
      <c r="L71" s="24">
        <f>H70+K70</f>
        <v>487461111.54999995</v>
      </c>
      <c r="M71" s="24">
        <f>P70+S70-T70</f>
        <v>22273629.449999988</v>
      </c>
      <c r="N71" s="51"/>
      <c r="O71" s="27"/>
      <c r="P71" s="24">
        <f>G70-L70</f>
        <v>20223629.449999988</v>
      </c>
      <c r="Q71" s="27"/>
      <c r="R71" s="27"/>
      <c r="S71" s="27"/>
      <c r="T71" s="27"/>
      <c r="U71" s="24">
        <f>N70-T70</f>
        <v>49451300</v>
      </c>
      <c r="V71" s="52"/>
      <c r="W71" s="52"/>
      <c r="X71" s="52"/>
      <c r="Y71" s="52"/>
      <c r="Z71" s="52"/>
      <c r="AA71" s="50"/>
      <c r="AB71" s="20"/>
      <c r="AC71" s="266"/>
      <c r="AD71" s="247"/>
      <c r="AE71" s="247"/>
      <c r="AF71" s="247"/>
      <c r="AG71" s="34"/>
      <c r="AH71" s="440"/>
      <c r="AI71" s="440"/>
      <c r="AJ71" s="441"/>
      <c r="AK71" s="446"/>
    </row>
    <row r="72" spans="1:43" s="31" customFormat="1">
      <c r="B72" s="20"/>
      <c r="C72" s="15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0"/>
      <c r="V72" s="20"/>
      <c r="W72" s="20"/>
      <c r="X72" s="20"/>
      <c r="Y72" s="20"/>
      <c r="Z72" s="20"/>
      <c r="AA72" s="40"/>
      <c r="AB72" s="20"/>
      <c r="AC72" s="266"/>
      <c r="AD72" s="247"/>
      <c r="AE72" s="247"/>
      <c r="AF72" s="247"/>
      <c r="AG72" s="34"/>
      <c r="AH72" s="440"/>
      <c r="AI72" s="440"/>
      <c r="AJ72" s="441"/>
      <c r="AK72" s="446"/>
    </row>
    <row r="73" spans="1:43" s="31" customFormat="1">
      <c r="B73" s="20"/>
      <c r="C73" s="20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P73" s="248"/>
      <c r="Q73" s="27"/>
      <c r="R73" s="27"/>
      <c r="S73" s="27"/>
      <c r="T73" s="27"/>
      <c r="U73" s="20"/>
      <c r="V73" s="20"/>
      <c r="W73" s="20"/>
      <c r="X73" s="20"/>
      <c r="Y73" s="20"/>
      <c r="Z73" s="20"/>
      <c r="AA73" s="40"/>
      <c r="AB73" s="20"/>
      <c r="AC73" s="266"/>
      <c r="AD73" s="247"/>
      <c r="AE73" s="247"/>
      <c r="AF73" s="247"/>
      <c r="AG73" s="34"/>
      <c r="AH73" s="440"/>
      <c r="AI73" s="440"/>
      <c r="AJ73" s="441"/>
      <c r="AK73" s="446"/>
    </row>
    <row r="74" spans="1:43">
      <c r="N74" s="27"/>
      <c r="O74" s="27"/>
      <c r="P74" s="27"/>
      <c r="Q74" s="27"/>
      <c r="R74" s="27"/>
      <c r="S74" s="27"/>
      <c r="T74" s="27"/>
      <c r="U74" s="20"/>
    </row>
    <row r="75" spans="1:43">
      <c r="N75" s="27"/>
      <c r="O75" s="27"/>
      <c r="P75" s="27"/>
      <c r="Q75" s="27"/>
      <c r="R75" s="27"/>
      <c r="S75" s="27"/>
      <c r="T75" s="27"/>
      <c r="U75" s="20"/>
    </row>
    <row r="76" spans="1:43">
      <c r="N76" s="27"/>
      <c r="O76" s="27"/>
      <c r="P76" s="27"/>
      <c r="Q76" s="27"/>
      <c r="R76" s="27"/>
      <c r="S76" s="27"/>
      <c r="T76" s="27"/>
      <c r="U76" s="20"/>
    </row>
    <row r="77" spans="1:43" ht="15.5" hidden="1">
      <c r="N77" s="27"/>
      <c r="O77" s="27"/>
      <c r="P77" s="27"/>
      <c r="Q77" s="27"/>
      <c r="R77" s="27"/>
      <c r="S77" s="27"/>
      <c r="T77" s="27"/>
      <c r="U77" s="20"/>
      <c r="AA77" s="94" t="s">
        <v>774</v>
      </c>
    </row>
    <row r="78" spans="1:43">
      <c r="N78" s="27"/>
      <c r="O78" s="27"/>
      <c r="P78" s="27"/>
      <c r="Q78" s="27"/>
      <c r="R78" s="27"/>
      <c r="S78" s="27"/>
      <c r="T78" s="27"/>
      <c r="U78" s="20"/>
    </row>
    <row r="79" spans="1:43" s="17" customFormat="1">
      <c r="A79" s="40"/>
      <c r="B79" s="15"/>
      <c r="C79" s="15"/>
      <c r="N79" s="27"/>
      <c r="O79" s="27"/>
      <c r="P79" s="27"/>
      <c r="Q79" s="27"/>
      <c r="R79" s="27"/>
      <c r="S79" s="27"/>
      <c r="T79" s="27"/>
      <c r="U79" s="20"/>
      <c r="V79" s="15"/>
      <c r="W79" s="15"/>
      <c r="X79" s="15"/>
      <c r="Y79" s="15"/>
      <c r="Z79" s="15"/>
      <c r="AA79" s="40"/>
      <c r="AB79" s="15"/>
      <c r="AC79" s="266"/>
      <c r="AD79" s="247"/>
      <c r="AE79" s="247"/>
      <c r="AF79" s="247"/>
      <c r="AG79" s="34"/>
      <c r="AH79" s="440"/>
      <c r="AI79" s="440"/>
      <c r="AJ79" s="441"/>
      <c r="AK79" s="454"/>
      <c r="AL79" s="20"/>
      <c r="AM79" s="20"/>
      <c r="AN79" s="27"/>
      <c r="AO79" s="27"/>
      <c r="AP79" s="27"/>
    </row>
    <row r="80" spans="1:43">
      <c r="N80" s="27"/>
      <c r="O80" s="27"/>
      <c r="P80" s="27"/>
      <c r="Q80" s="27"/>
      <c r="R80" s="27"/>
      <c r="S80" s="27"/>
      <c r="T80" s="27"/>
      <c r="U80" s="20"/>
    </row>
    <row r="81" spans="14:42">
      <c r="N81" s="27"/>
      <c r="O81" s="27"/>
      <c r="P81" s="27"/>
      <c r="Q81" s="27"/>
      <c r="R81" s="27"/>
      <c r="S81" s="27"/>
      <c r="T81" s="27"/>
      <c r="U81" s="20"/>
    </row>
    <row r="82" spans="14:42">
      <c r="N82" s="27"/>
      <c r="O82" s="27"/>
      <c r="P82" s="27"/>
      <c r="Q82" s="27"/>
      <c r="R82" s="27"/>
      <c r="S82" s="27"/>
      <c r="T82" s="27"/>
      <c r="U82" s="20"/>
    </row>
    <row r="83" spans="14:42">
      <c r="N83" s="27"/>
      <c r="O83" s="27"/>
      <c r="P83" s="27"/>
      <c r="Q83" s="27"/>
      <c r="R83" s="27"/>
      <c r="S83" s="27"/>
      <c r="T83" s="27"/>
      <c r="U83" s="20"/>
    </row>
    <row r="84" spans="14:42">
      <c r="N84" s="27"/>
      <c r="O84" s="27"/>
      <c r="P84" s="27"/>
      <c r="Q84" s="27"/>
      <c r="R84" s="27"/>
      <c r="S84" s="27"/>
      <c r="T84" s="27"/>
      <c r="U84" s="20"/>
    </row>
    <row r="85" spans="14:42">
      <c r="N85" s="27"/>
      <c r="O85" s="27"/>
      <c r="P85" s="27"/>
      <c r="Q85" s="27"/>
      <c r="R85" s="27"/>
      <c r="S85" s="27"/>
      <c r="T85" s="27"/>
      <c r="U85" s="20"/>
    </row>
    <row r="86" spans="14:42">
      <c r="N86" s="27"/>
      <c r="O86" s="27"/>
      <c r="P86" s="27"/>
      <c r="Q86" s="27"/>
      <c r="R86" s="27"/>
      <c r="S86" s="27"/>
      <c r="T86" s="27"/>
      <c r="U86" s="20"/>
    </row>
    <row r="88" spans="14:42">
      <c r="S88" s="45"/>
    </row>
    <row r="89" spans="14:42">
      <c r="S89" s="45"/>
    </row>
    <row r="90" spans="14:42">
      <c r="S90" s="45"/>
    </row>
    <row r="91" spans="14:42">
      <c r="S91" s="45"/>
      <c r="AP91" s="27"/>
    </row>
    <row r="92" spans="14:42">
      <c r="S92" s="45"/>
    </row>
    <row r="94" spans="14:42">
      <c r="S94" s="45"/>
    </row>
    <row r="95" spans="14:42">
      <c r="AP95" s="27"/>
    </row>
    <row r="96" spans="14:42">
      <c r="T96" s="15"/>
      <c r="U96" s="17"/>
    </row>
    <row r="97" spans="21:21">
      <c r="U97" s="17"/>
    </row>
  </sheetData>
  <sheetProtection formatCells="0" formatColumns="0" formatRows="0" insertColumns="0" insertRows="0" insertHyperlinks="0" deleteColumns="0" deleteRows="0" sort="0" autoFilter="0" pivotTables="0"/>
  <conditionalFormatting sqref="AA4">
    <cfRule type="cellIs" dxfId="283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108"/>
  <sheetViews>
    <sheetView showZeros="0" rightToLeft="1" zoomScaleNormal="100" workbookViewId="0">
      <pane xSplit="5" ySplit="5" topLeftCell="F78" activePane="bottomRight" state="frozen"/>
      <selection activeCell="C42" sqref="C42"/>
      <selection pane="topRight" activeCell="C42" sqref="C42"/>
      <selection pane="bottomLeft" activeCell="C42" sqref="C42"/>
      <selection pane="bottomRight" activeCell="C42" sqref="C42"/>
    </sheetView>
  </sheetViews>
  <sheetFormatPr defaultColWidth="9.1796875" defaultRowHeight="14"/>
  <cols>
    <col min="1" max="1" width="5.26953125" style="40" customWidth="1"/>
    <col min="2" max="2" width="6.7265625" style="15" customWidth="1"/>
    <col min="3" max="3" width="25.54296875" style="15" customWidth="1"/>
    <col min="4" max="4" width="11.26953125" style="17" customWidth="1"/>
    <col min="5" max="5" width="11" style="17" customWidth="1"/>
    <col min="6" max="6" width="11.26953125" style="17" customWidth="1"/>
    <col min="7" max="10" width="12.7265625" style="17" hidden="1" customWidth="1"/>
    <col min="11" max="11" width="11.26953125" style="17" hidden="1" customWidth="1"/>
    <col min="12" max="12" width="10.81640625" style="17" customWidth="1"/>
    <col min="13" max="13" width="10.1796875" style="17" customWidth="1"/>
    <col min="14" max="14" width="10.26953125" style="17" customWidth="1"/>
    <col min="15" max="15" width="11.1796875" style="17" customWidth="1"/>
    <col min="16" max="17" width="11.1796875" style="17" hidden="1" customWidth="1"/>
    <col min="18" max="19" width="12" style="17" hidden="1" customWidth="1"/>
    <col min="20" max="20" width="7.26953125" style="17" customWidth="1"/>
    <col min="21" max="21" width="10.81640625" style="15" customWidth="1"/>
    <col min="22" max="22" width="10.1796875" style="15" customWidth="1"/>
    <col min="23" max="23" width="10.7265625" style="15" customWidth="1"/>
    <col min="24" max="25" width="4.7265625" style="15" hidden="1" customWidth="1"/>
    <col min="26" max="26" width="9.81640625" style="15" customWidth="1"/>
    <col min="27" max="27" width="24.81640625" style="612" hidden="1" customWidth="1"/>
    <col min="28" max="28" width="7.81640625" style="15" customWidth="1"/>
    <col min="29" max="29" width="20" style="266" customWidth="1"/>
    <col min="30" max="30" width="10" style="247" customWidth="1"/>
    <col min="31" max="31" width="16.7265625" style="247" customWidth="1"/>
    <col min="32" max="32" width="10.1796875" style="247" customWidth="1"/>
    <col min="33" max="33" width="9.453125" style="34" customWidth="1"/>
    <col min="34" max="34" width="15" style="440" customWidth="1"/>
    <col min="35" max="35" width="11.453125" style="440" customWidth="1"/>
    <col min="36" max="36" width="10.1796875" style="441" customWidth="1"/>
    <col min="37" max="37" width="9.1796875" style="454" customWidth="1"/>
    <col min="38" max="39" width="9.1796875" style="20" customWidth="1"/>
    <col min="40" max="40" width="2.1796875" style="20" customWidth="1"/>
    <col min="41" max="41" width="9.1796875" style="20" customWidth="1"/>
    <col min="42" max="42" width="10.1796875" style="20" customWidth="1"/>
    <col min="43" max="43" width="10.1796875" style="15" customWidth="1"/>
    <col min="44" max="16384" width="9.1796875" style="15"/>
  </cols>
  <sheetData>
    <row r="1" spans="1:42" s="416" customFormat="1" ht="18">
      <c r="A1" s="414"/>
      <c r="B1" s="414"/>
      <c r="C1" s="414"/>
      <c r="D1" s="414"/>
      <c r="E1" s="414"/>
      <c r="F1" s="414"/>
      <c r="G1" s="414"/>
      <c r="H1" s="414"/>
      <c r="I1" s="414"/>
      <c r="J1" s="414"/>
      <c r="K1" s="414"/>
      <c r="L1" s="414"/>
      <c r="M1" s="414"/>
      <c r="N1" s="414"/>
      <c r="O1" s="414"/>
      <c r="P1" s="414"/>
      <c r="Q1" s="414"/>
      <c r="R1" s="414"/>
      <c r="S1" s="414"/>
      <c r="T1" s="414"/>
      <c r="U1" s="414"/>
      <c r="V1" s="414"/>
      <c r="W1" s="414"/>
      <c r="X1" s="414"/>
      <c r="Y1" s="414"/>
      <c r="Z1" s="414"/>
      <c r="AA1" s="599"/>
      <c r="AC1" s="266"/>
      <c r="AD1" s="247"/>
      <c r="AE1" s="247"/>
      <c r="AF1" s="247"/>
      <c r="AG1" s="34"/>
      <c r="AH1" s="442"/>
      <c r="AI1" s="443"/>
      <c r="AJ1" s="444"/>
      <c r="AK1" s="444"/>
    </row>
    <row r="2" spans="1:42" s="247" customFormat="1" ht="18">
      <c r="A2" s="414" t="s">
        <v>356</v>
      </c>
      <c r="B2" s="414"/>
      <c r="C2" s="414"/>
      <c r="D2" s="414"/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414"/>
      <c r="R2" s="414"/>
      <c r="S2" s="414"/>
      <c r="T2" s="414"/>
      <c r="U2" s="414"/>
      <c r="V2" s="414"/>
      <c r="W2" s="414"/>
      <c r="X2" s="414"/>
      <c r="Y2" s="414"/>
      <c r="Z2" s="414"/>
      <c r="AA2" s="588"/>
      <c r="AC2" s="266"/>
      <c r="AG2" s="34"/>
      <c r="AH2" s="442"/>
      <c r="AI2" s="443"/>
      <c r="AJ2" s="444"/>
      <c r="AK2" s="444"/>
    </row>
    <row r="4" spans="1:42" s="34" customFormat="1" ht="70">
      <c r="A4" s="19" t="s">
        <v>0</v>
      </c>
      <c r="B4" s="19" t="s">
        <v>1</v>
      </c>
      <c r="C4" s="19" t="s">
        <v>2</v>
      </c>
      <c r="D4" s="19" t="s">
        <v>3</v>
      </c>
      <c r="E4" s="19" t="s">
        <v>4</v>
      </c>
      <c r="F4" s="19" t="s">
        <v>5</v>
      </c>
      <c r="G4" s="19" t="s">
        <v>6</v>
      </c>
      <c r="H4" s="19" t="s">
        <v>7</v>
      </c>
      <c r="I4" s="19" t="s">
        <v>9</v>
      </c>
      <c r="J4" s="19" t="s">
        <v>318</v>
      </c>
      <c r="K4" s="19" t="s">
        <v>10</v>
      </c>
      <c r="L4" s="19" t="s">
        <v>11</v>
      </c>
      <c r="M4" s="11" t="s">
        <v>627</v>
      </c>
      <c r="N4" s="19" t="s">
        <v>628</v>
      </c>
      <c r="O4" s="19" t="s">
        <v>629</v>
      </c>
      <c r="P4" s="19" t="s">
        <v>12</v>
      </c>
      <c r="Q4" s="19" t="s">
        <v>739</v>
      </c>
      <c r="R4" s="19" t="s">
        <v>740</v>
      </c>
      <c r="S4" s="19" t="s">
        <v>632</v>
      </c>
      <c r="T4" s="19" t="s">
        <v>633</v>
      </c>
      <c r="U4" s="19" t="s">
        <v>634</v>
      </c>
      <c r="V4" s="19" t="s">
        <v>13</v>
      </c>
      <c r="W4" s="19" t="s">
        <v>14</v>
      </c>
      <c r="X4" s="19" t="s">
        <v>15</v>
      </c>
      <c r="Y4" s="19" t="s">
        <v>523</v>
      </c>
      <c r="Z4" s="19" t="s">
        <v>140</v>
      </c>
      <c r="AA4" s="592" t="s">
        <v>635</v>
      </c>
      <c r="AB4" s="19" t="s">
        <v>16</v>
      </c>
      <c r="AC4" s="266"/>
      <c r="AD4" s="247"/>
      <c r="AE4" s="247"/>
      <c r="AF4" s="247"/>
      <c r="AJ4" s="441"/>
      <c r="AK4" s="445"/>
    </row>
    <row r="5" spans="1:42" s="5" customFormat="1" ht="18" customHeight="1">
      <c r="A5" s="3"/>
      <c r="B5" s="3"/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3"/>
      <c r="AA5" s="410"/>
      <c r="AB5" s="3"/>
      <c r="AC5" s="266"/>
      <c r="AD5" s="247"/>
      <c r="AE5" s="247"/>
      <c r="AF5" s="247"/>
      <c r="AG5" s="34"/>
      <c r="AH5" s="440"/>
      <c r="AI5" s="440"/>
      <c r="AJ5" s="441"/>
      <c r="AK5" s="446"/>
      <c r="AL5" s="31"/>
      <c r="AM5" s="31"/>
      <c r="AN5" s="31"/>
      <c r="AO5" s="31"/>
      <c r="AP5" s="31"/>
    </row>
    <row r="6" spans="1:42" s="5" customFormat="1" ht="42">
      <c r="A6" s="3">
        <f>A5+1</f>
        <v>1</v>
      </c>
      <c r="B6" s="3">
        <f>'תקציב אגף ת.ב.ל 2019'!B68</f>
        <v>2095</v>
      </c>
      <c r="C6" s="3" t="s">
        <v>771</v>
      </c>
      <c r="D6" s="4">
        <f>'תקציב אגף ת.ב.ל 2019'!D68</f>
        <v>160000</v>
      </c>
      <c r="E6" s="4">
        <f>'תקציב אגף ת.ב.ל 2019'!E68</f>
        <v>0</v>
      </c>
      <c r="F6" s="4">
        <f>'תקציב אגף ת.ב.ל 2019'!F68</f>
        <v>160000</v>
      </c>
      <c r="G6" s="4">
        <f>'תקציב אגף ת.ב.ל 2019'!G68</f>
        <v>0</v>
      </c>
      <c r="H6" s="4">
        <f>'תקציב אגף ת.ב.ל 2019'!H68</f>
        <v>0</v>
      </c>
      <c r="I6" s="4">
        <f>'תקציב אגף ת.ב.ל 2019'!I68</f>
        <v>0</v>
      </c>
      <c r="J6" s="4">
        <f>'תקציב אגף ת.ב.ל 2019'!J68</f>
        <v>0</v>
      </c>
      <c r="K6" s="4">
        <f>'תקציב אגף ת.ב.ל 2019'!K68</f>
        <v>0</v>
      </c>
      <c r="L6" s="4">
        <f>'תקציב אגף ת.ב.ל 2019'!L68</f>
        <v>0</v>
      </c>
      <c r="M6" s="4">
        <f>'תקציב אגף ת.ב.ל 2019'!M68</f>
        <v>0</v>
      </c>
      <c r="N6" s="4">
        <f>'תקציב אגף ת.ב.ל 2019'!N68</f>
        <v>160000</v>
      </c>
      <c r="O6" s="4">
        <f>'תקציב אגף ת.ב.ל 2019'!O68</f>
        <v>0</v>
      </c>
      <c r="P6" s="4">
        <f>'תקציב אגף ת.ב.ל 2019'!P68</f>
        <v>0</v>
      </c>
      <c r="Q6" s="4">
        <f>'תקציב אגף ת.ב.ל 2019'!Q68</f>
        <v>0</v>
      </c>
      <c r="R6" s="4">
        <f>'תקציב אגף ת.ב.ל 2019'!R68</f>
        <v>0</v>
      </c>
      <c r="S6" s="4">
        <f>'תקציב אגף ת.ב.ל 2019'!S68</f>
        <v>0</v>
      </c>
      <c r="T6" s="4">
        <f>'תקציב אגף ת.ב.ל 2019'!T68</f>
        <v>0</v>
      </c>
      <c r="U6" s="4">
        <f>'תקציב אגף ת.ב.ל 2019'!U68</f>
        <v>160000</v>
      </c>
      <c r="V6" s="4">
        <f>'תקציב אגף ת.ב.ל 2019'!V68</f>
        <v>0</v>
      </c>
      <c r="W6" s="4">
        <f>'תקציב אגף ת.ב.ל 2019'!W68</f>
        <v>160000</v>
      </c>
      <c r="X6" s="4">
        <f>'תקציב אגף ת.ב.ל 2019'!X68</f>
        <v>0</v>
      </c>
      <c r="Y6" s="4">
        <f>'תקציב אגף ת.ב.ל 2019'!Y68</f>
        <v>0</v>
      </c>
      <c r="Z6" s="4">
        <f>'תקציב אגף ת.ב.ל 2019'!Z68</f>
        <v>0</v>
      </c>
      <c r="AA6" s="124" t="str">
        <f>'תקציב אגף ת.ב.ל 2019'!AA68</f>
        <v>ספירת רכוש במוסדות חינוך ויחידות עירוניות וכן סימון הרכוש העירוני.</v>
      </c>
      <c r="AB6" s="3">
        <f>'תקציב אגף ת.ב.ל 2019'!AB68</f>
        <v>610000</v>
      </c>
      <c r="AC6" s="266"/>
      <c r="AD6" s="247"/>
      <c r="AE6" s="247"/>
      <c r="AF6" s="247"/>
      <c r="AG6" s="34"/>
      <c r="AH6" s="440"/>
      <c r="AI6" s="440"/>
      <c r="AJ6" s="441"/>
      <c r="AK6" s="446"/>
      <c r="AL6" s="31"/>
      <c r="AM6" s="31"/>
      <c r="AN6" s="31"/>
      <c r="AO6" s="31"/>
      <c r="AP6" s="30"/>
    </row>
    <row r="7" spans="1:42" s="101" customFormat="1">
      <c r="A7" s="44"/>
      <c r="B7" s="44"/>
      <c r="C7" s="44" t="s">
        <v>1212</v>
      </c>
      <c r="D7" s="125">
        <f>SUM(D6)</f>
        <v>160000</v>
      </c>
      <c r="E7" s="125">
        <f t="shared" ref="E7:Z7" si="0">SUM(E6)</f>
        <v>0</v>
      </c>
      <c r="F7" s="125">
        <f t="shared" si="0"/>
        <v>160000</v>
      </c>
      <c r="G7" s="125">
        <f t="shared" si="0"/>
        <v>0</v>
      </c>
      <c r="H7" s="125">
        <f t="shared" si="0"/>
        <v>0</v>
      </c>
      <c r="I7" s="125">
        <f t="shared" si="0"/>
        <v>0</v>
      </c>
      <c r="J7" s="125">
        <f t="shared" si="0"/>
        <v>0</v>
      </c>
      <c r="K7" s="125">
        <f t="shared" si="0"/>
        <v>0</v>
      </c>
      <c r="L7" s="125">
        <f t="shared" si="0"/>
        <v>0</v>
      </c>
      <c r="M7" s="125">
        <f t="shared" si="0"/>
        <v>0</v>
      </c>
      <c r="N7" s="125">
        <f t="shared" si="0"/>
        <v>160000</v>
      </c>
      <c r="O7" s="125">
        <f t="shared" si="0"/>
        <v>0</v>
      </c>
      <c r="P7" s="125">
        <f t="shared" si="0"/>
        <v>0</v>
      </c>
      <c r="Q7" s="125">
        <f t="shared" si="0"/>
        <v>0</v>
      </c>
      <c r="R7" s="125">
        <f t="shared" si="0"/>
        <v>0</v>
      </c>
      <c r="S7" s="125">
        <f t="shared" si="0"/>
        <v>0</v>
      </c>
      <c r="T7" s="125">
        <f t="shared" si="0"/>
        <v>0</v>
      </c>
      <c r="U7" s="125">
        <f t="shared" si="0"/>
        <v>160000</v>
      </c>
      <c r="V7" s="125">
        <f t="shared" si="0"/>
        <v>0</v>
      </c>
      <c r="W7" s="125">
        <f t="shared" si="0"/>
        <v>160000</v>
      </c>
      <c r="X7" s="125">
        <f t="shared" si="0"/>
        <v>0</v>
      </c>
      <c r="Y7" s="125">
        <f t="shared" si="0"/>
        <v>0</v>
      </c>
      <c r="Z7" s="125">
        <f t="shared" si="0"/>
        <v>0</v>
      </c>
      <c r="AA7" s="620"/>
      <c r="AB7" s="44"/>
      <c r="AC7" s="622"/>
      <c r="AD7" s="642"/>
      <c r="AE7" s="642"/>
      <c r="AF7" s="642"/>
      <c r="AG7" s="654"/>
      <c r="AH7" s="655"/>
      <c r="AI7" s="655"/>
      <c r="AJ7" s="656"/>
      <c r="AK7" s="391"/>
      <c r="AL7" s="391"/>
      <c r="AM7" s="391"/>
      <c r="AN7" s="391"/>
      <c r="AO7" s="391"/>
      <c r="AP7" s="390"/>
    </row>
    <row r="8" spans="1:42" s="5" customFormat="1" ht="42">
      <c r="A8" s="3">
        <f>A6+1</f>
        <v>2</v>
      </c>
      <c r="B8" s="3">
        <v>1942</v>
      </c>
      <c r="C8" s="3" t="s">
        <v>260</v>
      </c>
      <c r="D8" s="4">
        <f>'תקציב אגף ת.ב.ל 2019'!D49</f>
        <v>972000</v>
      </c>
      <c r="E8" s="4">
        <f>'תקציב אגף ת.ב.ל 2019'!E49</f>
        <v>972000</v>
      </c>
      <c r="F8" s="4">
        <f>'תקציב אגף ת.ב.ל 2019'!F49</f>
        <v>0</v>
      </c>
      <c r="G8" s="4">
        <f>'תקציב אגף ת.ב.ל 2019'!G49</f>
        <v>572000</v>
      </c>
      <c r="H8" s="4">
        <f>'תקציב אגף ת.ב.ל 2019'!H49</f>
        <v>28009.8</v>
      </c>
      <c r="I8" s="4">
        <f>'תקציב אגף ת.ב.ל 2019'!I49</f>
        <v>0</v>
      </c>
      <c r="J8" s="4">
        <f>'תקציב אגף ת.ב.ל 2019'!J49</f>
        <v>531907.06999999995</v>
      </c>
      <c r="K8" s="4">
        <f>'תקציב אגף ת.ב.ל 2019'!K49</f>
        <v>531907.06999999995</v>
      </c>
      <c r="L8" s="4">
        <f>'תקציב אגף ת.ב.ל 2019'!L49</f>
        <v>559916.87</v>
      </c>
      <c r="M8" s="4">
        <f>'תקציב אגף ת.ב.ל 2019'!M49</f>
        <v>12083.130000000005</v>
      </c>
      <c r="N8" s="4">
        <f>'תקציב אגף ת.ב.ל 2019'!N49</f>
        <v>400000</v>
      </c>
      <c r="O8" s="4">
        <f>'תקציב אגף ת.ב.ל 2019'!O49</f>
        <v>0</v>
      </c>
      <c r="P8" s="4">
        <f>'תקציב אגף ת.ב.ל 2019'!P49</f>
        <v>12083.130000000005</v>
      </c>
      <c r="Q8" s="4">
        <f>'תקציב אגף ת.ב.ל 2019'!Q49</f>
        <v>0</v>
      </c>
      <c r="R8" s="4">
        <f>'תקציב אגף ת.ב.ל 2019'!R49</f>
        <v>0</v>
      </c>
      <c r="S8" s="4">
        <f>'תקציב אגף ת.ב.ל 2019'!S49</f>
        <v>0</v>
      </c>
      <c r="T8" s="4">
        <f>'תקציב אגף ת.ב.ל 2019'!T49</f>
        <v>0</v>
      </c>
      <c r="U8" s="4">
        <f>'תקציב אגף ת.ב.ל 2019'!U49</f>
        <v>400000</v>
      </c>
      <c r="V8" s="4">
        <f>'תקציב אגף ת.ב.ל 2019'!V49</f>
        <v>400000</v>
      </c>
      <c r="W8" s="4">
        <f>'תקציב אגף ת.ב.ל 2019'!W49</f>
        <v>0</v>
      </c>
      <c r="X8" s="4">
        <f>'תקציב אגף ת.ב.ל 2019'!X49</f>
        <v>0</v>
      </c>
      <c r="Y8" s="4">
        <f>'תקציב אגף ת.ב.ל 2019'!Y49</f>
        <v>0</v>
      </c>
      <c r="Z8" s="4">
        <f>'תקציב אגף ת.ב.ל 2019'!Z49</f>
        <v>0</v>
      </c>
      <c r="AA8" s="124" t="str">
        <f>'תקציב אגף ת.ב.ל 2019'!AA49</f>
        <v>המשך עבודות שדרוג לוחות חשמל והוספת מפסקי חירום עפ"י הצורך.</v>
      </c>
      <c r="AB8" s="3">
        <f>'תקציב אגף ת.ב.ל 2019'!AB49</f>
        <v>724000</v>
      </c>
      <c r="AC8" s="266"/>
      <c r="AD8" s="247"/>
      <c r="AE8" s="247"/>
      <c r="AF8" s="247"/>
      <c r="AG8" s="34"/>
      <c r="AH8" s="30"/>
      <c r="AI8" s="447"/>
      <c r="AJ8" s="448"/>
      <c r="AK8" s="449"/>
      <c r="AL8" s="31"/>
      <c r="AM8" s="31"/>
      <c r="AN8" s="31"/>
      <c r="AO8" s="31"/>
      <c r="AP8" s="30"/>
    </row>
    <row r="9" spans="1:42" s="101" customFormat="1">
      <c r="A9" s="44"/>
      <c r="B9" s="44"/>
      <c r="C9" s="44" t="s">
        <v>1213</v>
      </c>
      <c r="D9" s="125">
        <f>SUM(D8)</f>
        <v>972000</v>
      </c>
      <c r="E9" s="125">
        <f t="shared" ref="E9:Z9" si="1">SUM(E8)</f>
        <v>972000</v>
      </c>
      <c r="F9" s="125">
        <f t="shared" si="1"/>
        <v>0</v>
      </c>
      <c r="G9" s="125">
        <f t="shared" si="1"/>
        <v>572000</v>
      </c>
      <c r="H9" s="125">
        <f t="shared" si="1"/>
        <v>28009.8</v>
      </c>
      <c r="I9" s="125">
        <f t="shared" si="1"/>
        <v>0</v>
      </c>
      <c r="J9" s="125">
        <f t="shared" si="1"/>
        <v>531907.06999999995</v>
      </c>
      <c r="K9" s="125">
        <f t="shared" si="1"/>
        <v>531907.06999999995</v>
      </c>
      <c r="L9" s="125">
        <f t="shared" si="1"/>
        <v>559916.87</v>
      </c>
      <c r="M9" s="125">
        <f t="shared" si="1"/>
        <v>12083.130000000005</v>
      </c>
      <c r="N9" s="125">
        <f t="shared" si="1"/>
        <v>400000</v>
      </c>
      <c r="O9" s="125">
        <f t="shared" si="1"/>
        <v>0</v>
      </c>
      <c r="P9" s="125">
        <f t="shared" si="1"/>
        <v>12083.130000000005</v>
      </c>
      <c r="Q9" s="125">
        <f t="shared" si="1"/>
        <v>0</v>
      </c>
      <c r="R9" s="125">
        <f t="shared" si="1"/>
        <v>0</v>
      </c>
      <c r="S9" s="125">
        <f t="shared" si="1"/>
        <v>0</v>
      </c>
      <c r="T9" s="125">
        <f t="shared" si="1"/>
        <v>0</v>
      </c>
      <c r="U9" s="125">
        <f t="shared" si="1"/>
        <v>400000</v>
      </c>
      <c r="V9" s="125">
        <f t="shared" si="1"/>
        <v>400000</v>
      </c>
      <c r="W9" s="125">
        <f t="shared" si="1"/>
        <v>0</v>
      </c>
      <c r="X9" s="125">
        <f t="shared" si="1"/>
        <v>0</v>
      </c>
      <c r="Y9" s="125">
        <f t="shared" si="1"/>
        <v>0</v>
      </c>
      <c r="Z9" s="125">
        <f t="shared" si="1"/>
        <v>0</v>
      </c>
      <c r="AA9" s="620"/>
      <c r="AB9" s="44"/>
      <c r="AC9" s="622"/>
      <c r="AD9" s="642"/>
      <c r="AE9" s="642"/>
      <c r="AF9" s="642"/>
      <c r="AG9" s="654"/>
      <c r="AH9" s="390"/>
      <c r="AI9" s="657"/>
      <c r="AJ9" s="658"/>
      <c r="AK9" s="390"/>
      <c r="AL9" s="391"/>
      <c r="AM9" s="391"/>
      <c r="AN9" s="391"/>
      <c r="AO9" s="391"/>
      <c r="AP9" s="390"/>
    </row>
    <row r="10" spans="1:42" s="5" customFormat="1">
      <c r="A10" s="3">
        <f>A8+1</f>
        <v>3</v>
      </c>
      <c r="B10" s="3">
        <v>1247</v>
      </c>
      <c r="C10" s="3" t="s">
        <v>68</v>
      </c>
      <c r="D10" s="4">
        <f>'תקציב אגף ת.ב.ל 2019'!D6</f>
        <v>9500000</v>
      </c>
      <c r="E10" s="4">
        <f>'תקציב אגף ת.ב.ל 2019'!E6</f>
        <v>9500000</v>
      </c>
      <c r="F10" s="4">
        <f>'תקציב אגף ת.ב.ל 2019'!F6</f>
        <v>0</v>
      </c>
      <c r="G10" s="4">
        <f>'תקציב אגף ת.ב.ל 2019'!G6</f>
        <v>8650000</v>
      </c>
      <c r="H10" s="4">
        <f>'תקציב אגף ת.ב.ל 2019'!H6</f>
        <v>8115411.5999999996</v>
      </c>
      <c r="I10" s="4">
        <f>'תקציב אגף ת.ב.ל 2019'!I6</f>
        <v>0.68</v>
      </c>
      <c r="J10" s="4">
        <f>'תקציב אגף ת.ב.ל 2019'!J6</f>
        <v>269816.13</v>
      </c>
      <c r="K10" s="4">
        <f>'תקציב אגף ת.ב.ל 2019'!K6</f>
        <v>269816.81</v>
      </c>
      <c r="L10" s="4">
        <f>'תקציב אגף ת.ב.ל 2019'!L6</f>
        <v>8385228.4099999992</v>
      </c>
      <c r="M10" s="4">
        <f>'תקציב אגף ת.ב.ל 2019'!M6</f>
        <v>264771.59000000078</v>
      </c>
      <c r="N10" s="4">
        <f>'תקציב אגף ת.ב.ל 2019'!N6</f>
        <v>200000</v>
      </c>
      <c r="O10" s="4">
        <f>'תקציב אגף ת.ב.ל 2019'!O6</f>
        <v>650000</v>
      </c>
      <c r="P10" s="4">
        <f>'תקציב אגף ת.ב.ל 2019'!P6</f>
        <v>264771.59000000078</v>
      </c>
      <c r="Q10" s="4">
        <f>'תקציב אגף ת.ב.ל 2019'!Q6</f>
        <v>0</v>
      </c>
      <c r="R10" s="4">
        <f>'תקציב אגף ת.ב.ל 2019'!R6</f>
        <v>0</v>
      </c>
      <c r="S10" s="4">
        <f>'תקציב אגף ת.ב.ל 2019'!S6</f>
        <v>0</v>
      </c>
      <c r="T10" s="4">
        <f>'תקציב אגף ת.ב.ל 2019'!T6</f>
        <v>0</v>
      </c>
      <c r="U10" s="4">
        <f>'תקציב אגף ת.ב.ל 2019'!U6</f>
        <v>200000</v>
      </c>
      <c r="V10" s="4">
        <f>'תקציב אגף ת.ב.ל 2019'!V6</f>
        <v>200000</v>
      </c>
      <c r="W10" s="4">
        <f>'תקציב אגף ת.ב.ל 2019'!W6</f>
        <v>0</v>
      </c>
      <c r="X10" s="4">
        <f>'תקציב אגף ת.ב.ל 2019'!X6</f>
        <v>0</v>
      </c>
      <c r="Y10" s="4">
        <f>'תקציב אגף ת.ב.ל 2019'!Y6</f>
        <v>0</v>
      </c>
      <c r="Z10" s="4">
        <f>'תקציב אגף ת.ב.ל 2019'!Z6</f>
        <v>0</v>
      </c>
      <c r="AA10" s="124" t="str">
        <f>'תקציב אגף ת.ב.ל 2019'!AA6</f>
        <v>סל לייעוץ ותכנון הנדסי.</v>
      </c>
      <c r="AB10" s="3">
        <f>'תקציב אגף ת.ב.ל 2019'!AB6</f>
        <v>732000</v>
      </c>
      <c r="AC10" s="266"/>
      <c r="AD10" s="247"/>
      <c r="AE10" s="247"/>
      <c r="AF10" s="247"/>
      <c r="AG10" s="34"/>
      <c r="AH10" s="30"/>
      <c r="AI10" s="447"/>
      <c r="AJ10" s="448"/>
      <c r="AK10" s="449"/>
      <c r="AL10" s="31"/>
      <c r="AM10" s="31"/>
      <c r="AN10" s="31"/>
      <c r="AO10" s="31"/>
      <c r="AP10" s="30"/>
    </row>
    <row r="11" spans="1:42" s="101" customFormat="1">
      <c r="A11" s="44"/>
      <c r="B11" s="44"/>
      <c r="C11" s="44" t="s">
        <v>1201</v>
      </c>
      <c r="D11" s="125">
        <f>SUM(D10)</f>
        <v>9500000</v>
      </c>
      <c r="E11" s="125">
        <f t="shared" ref="E11:Z11" si="2">SUM(E10)</f>
        <v>9500000</v>
      </c>
      <c r="F11" s="125">
        <f t="shared" si="2"/>
        <v>0</v>
      </c>
      <c r="G11" s="125">
        <f t="shared" si="2"/>
        <v>8650000</v>
      </c>
      <c r="H11" s="125">
        <f t="shared" si="2"/>
        <v>8115411.5999999996</v>
      </c>
      <c r="I11" s="125">
        <f t="shared" si="2"/>
        <v>0.68</v>
      </c>
      <c r="J11" s="125">
        <f t="shared" si="2"/>
        <v>269816.13</v>
      </c>
      <c r="K11" s="125">
        <f t="shared" si="2"/>
        <v>269816.81</v>
      </c>
      <c r="L11" s="125">
        <f t="shared" si="2"/>
        <v>8385228.4099999992</v>
      </c>
      <c r="M11" s="125">
        <f t="shared" si="2"/>
        <v>264771.59000000078</v>
      </c>
      <c r="N11" s="125">
        <f t="shared" si="2"/>
        <v>200000</v>
      </c>
      <c r="O11" s="125">
        <f t="shared" si="2"/>
        <v>650000</v>
      </c>
      <c r="P11" s="125">
        <f t="shared" si="2"/>
        <v>264771.59000000078</v>
      </c>
      <c r="Q11" s="125">
        <f t="shared" si="2"/>
        <v>0</v>
      </c>
      <c r="R11" s="125">
        <f t="shared" si="2"/>
        <v>0</v>
      </c>
      <c r="S11" s="125">
        <f t="shared" si="2"/>
        <v>0</v>
      </c>
      <c r="T11" s="125">
        <f t="shared" si="2"/>
        <v>0</v>
      </c>
      <c r="U11" s="125">
        <f t="shared" si="2"/>
        <v>200000</v>
      </c>
      <c r="V11" s="125">
        <f t="shared" si="2"/>
        <v>200000</v>
      </c>
      <c r="W11" s="125">
        <f t="shared" si="2"/>
        <v>0</v>
      </c>
      <c r="X11" s="125">
        <f t="shared" si="2"/>
        <v>0</v>
      </c>
      <c r="Y11" s="125">
        <f t="shared" si="2"/>
        <v>0</v>
      </c>
      <c r="Z11" s="125">
        <f t="shared" si="2"/>
        <v>0</v>
      </c>
      <c r="AA11" s="620"/>
      <c r="AB11" s="44"/>
      <c r="AC11" s="622"/>
      <c r="AD11" s="642"/>
      <c r="AE11" s="642"/>
      <c r="AF11" s="642"/>
      <c r="AG11" s="654"/>
      <c r="AH11" s="390"/>
      <c r="AI11" s="657"/>
      <c r="AJ11" s="658"/>
      <c r="AK11" s="390"/>
      <c r="AL11" s="391"/>
      <c r="AM11" s="391"/>
      <c r="AN11" s="391"/>
      <c r="AO11" s="391"/>
      <c r="AP11" s="390"/>
    </row>
    <row r="12" spans="1:42" s="5" customFormat="1" ht="56">
      <c r="A12" s="3">
        <f>A10+1</f>
        <v>4</v>
      </c>
      <c r="B12" s="3">
        <v>1489</v>
      </c>
      <c r="C12" s="3" t="s">
        <v>750</v>
      </c>
      <c r="D12" s="4">
        <f>'תקציב אגף ת.ב.ל 2019'!D22</f>
        <v>46200000</v>
      </c>
      <c r="E12" s="4">
        <f>'תקציב אגף ת.ב.ל 2019'!E22</f>
        <v>46200000</v>
      </c>
      <c r="F12" s="4">
        <f>'תקציב אגף ת.ב.ל 2019'!F22</f>
        <v>0</v>
      </c>
      <c r="G12" s="4">
        <f>'תקציב אגף ת.ב.ל 2019'!G22</f>
        <v>40000000</v>
      </c>
      <c r="H12" s="4">
        <f>'תקציב אגף ת.ב.ל 2019'!H22</f>
        <v>28740714.640000001</v>
      </c>
      <c r="I12" s="4">
        <f>'תקציב אגף ת.ב.ל 2019'!I22</f>
        <v>0</v>
      </c>
      <c r="J12" s="4">
        <f>'תקציב אגף ת.ב.ל 2019'!J22</f>
        <v>9135671</v>
      </c>
      <c r="K12" s="4">
        <f>'תקציב אגף ת.ב.ל 2019'!K22</f>
        <v>9135671</v>
      </c>
      <c r="L12" s="4">
        <f>'תקציב אגף ת.ב.ל 2019'!L22</f>
        <v>37876385.640000001</v>
      </c>
      <c r="M12" s="4">
        <f>'תקציב אגף ת.ב.ל 2019'!M22</f>
        <v>2123614.3599999994</v>
      </c>
      <c r="N12" s="4">
        <f>'תקציב אגף ת.ב.ל 2019'!N22</f>
        <v>4000000</v>
      </c>
      <c r="O12" s="4">
        <f>'תקציב אגף ת.ב.ל 2019'!O22</f>
        <v>2200000</v>
      </c>
      <c r="P12" s="4">
        <f>'תקציב אגף ת.ב.ל 2019'!P22</f>
        <v>2123614.3599999994</v>
      </c>
      <c r="Q12" s="4">
        <f>'תקציב אגף ת.ב.ל 2019'!Q22</f>
        <v>0</v>
      </c>
      <c r="R12" s="4">
        <f>'תקציב אגף ת.ב.ל 2019'!R22</f>
        <v>0</v>
      </c>
      <c r="S12" s="4">
        <f>'תקציב אגף ת.ב.ל 2019'!S22</f>
        <v>0</v>
      </c>
      <c r="T12" s="4">
        <f>'תקציב אגף ת.ב.ל 2019'!T22</f>
        <v>0</v>
      </c>
      <c r="U12" s="4">
        <f>'תקציב אגף ת.ב.ל 2019'!U22</f>
        <v>4000000</v>
      </c>
      <c r="V12" s="4">
        <f>'תקציב אגף ת.ב.ל 2019'!V22</f>
        <v>0</v>
      </c>
      <c r="W12" s="4">
        <f>'תקציב אגף ת.ב.ל 2019'!W22</f>
        <v>4000000</v>
      </c>
      <c r="X12" s="4">
        <f>'תקציב אגף ת.ב.ל 2019'!X22</f>
        <v>0</v>
      </c>
      <c r="Y12" s="4">
        <f>'תקציב אגף ת.ב.ל 2019'!Y22</f>
        <v>0</v>
      </c>
      <c r="Z12" s="4">
        <f>'תקציב אגף ת.ב.ל 2019'!Z22</f>
        <v>0</v>
      </c>
      <c r="AA12" s="124" t="str">
        <f>'תקציב אגף ת.ב.ל 2019'!AA22</f>
        <v>סל לשדרוג כבישים במקביל לעבודת תאגיד המים ומדרכות ברחבי העיר עפ"י תוכנית עבודה שתאושר ע"י הנהלת העיר.</v>
      </c>
      <c r="AB12" s="3">
        <f>'תקציב אגף ת.ב.ל 2019'!AB22</f>
        <v>742000</v>
      </c>
      <c r="AC12" s="266"/>
      <c r="AD12" s="247"/>
      <c r="AE12" s="247"/>
      <c r="AF12" s="247"/>
      <c r="AG12" s="34"/>
      <c r="AH12" s="30"/>
      <c r="AI12" s="447"/>
      <c r="AJ12" s="448"/>
      <c r="AK12" s="449"/>
      <c r="AL12" s="31"/>
      <c r="AM12" s="31"/>
      <c r="AN12" s="31"/>
      <c r="AO12" s="31"/>
      <c r="AP12" s="30"/>
    </row>
    <row r="13" spans="1:42" s="5" customFormat="1" ht="42">
      <c r="A13" s="3">
        <f t="shared" ref="A13:A19" si="3">A12+1</f>
        <v>5</v>
      </c>
      <c r="B13" s="3">
        <v>1848</v>
      </c>
      <c r="C13" s="3" t="s">
        <v>217</v>
      </c>
      <c r="D13" s="4">
        <f>'תקציב אגף ת.ב.ל 2019'!D33</f>
        <v>700000</v>
      </c>
      <c r="E13" s="4">
        <f>'תקציב אגף ת.ב.ל 2019'!E33</f>
        <v>600000</v>
      </c>
      <c r="F13" s="4">
        <f>'תקציב אגף ת.ב.ל 2019'!F33</f>
        <v>100000</v>
      </c>
      <c r="G13" s="4">
        <f>'תקציב אגף ת.ב.ל 2019'!G33</f>
        <v>500000</v>
      </c>
      <c r="H13" s="4">
        <f>'תקציב אגף ת.ב.ל 2019'!H33</f>
        <v>497437.17</v>
      </c>
      <c r="I13" s="4">
        <f>'תקציב אגף ת.ב.ל 2019'!I33</f>
        <v>0</v>
      </c>
      <c r="J13" s="4">
        <f>'תקציב אגף ת.ב.ל 2019'!J33</f>
        <v>0</v>
      </c>
      <c r="K13" s="4">
        <f>'תקציב אגף ת.ב.ל 2019'!K33</f>
        <v>0</v>
      </c>
      <c r="L13" s="4">
        <f>'תקציב אגף ת.ב.ל 2019'!L33</f>
        <v>497437.17</v>
      </c>
      <c r="M13" s="4">
        <f>'תקציב אגף ת.ב.ל 2019'!M33</f>
        <v>2562.8300000000163</v>
      </c>
      <c r="N13" s="4">
        <f>'תקציב אגף ת.ב.ל 2019'!N33</f>
        <v>200000</v>
      </c>
      <c r="O13" s="4">
        <f>'תקציב אגף ת.ב.ל 2019'!O33</f>
        <v>0</v>
      </c>
      <c r="P13" s="4">
        <f>'תקציב אגף ת.ב.ל 2019'!P33</f>
        <v>2562.8300000000163</v>
      </c>
      <c r="Q13" s="4">
        <f>'תקציב אגף ת.ב.ל 2019'!Q33</f>
        <v>0</v>
      </c>
      <c r="R13" s="4">
        <f>'תקציב אגף ת.ב.ל 2019'!R33</f>
        <v>0</v>
      </c>
      <c r="S13" s="4">
        <f>'תקציב אגף ת.ב.ל 2019'!S33</f>
        <v>0</v>
      </c>
      <c r="T13" s="4">
        <f>'תקציב אגף ת.ב.ל 2019'!T33</f>
        <v>0</v>
      </c>
      <c r="U13" s="4">
        <f>'תקציב אגף ת.ב.ל 2019'!U33</f>
        <v>200000</v>
      </c>
      <c r="V13" s="4">
        <f>'תקציב אגף ת.ב.ל 2019'!V33</f>
        <v>0</v>
      </c>
      <c r="W13" s="4">
        <f>'תקציב אגף ת.ב.ל 2019'!W33</f>
        <v>200000</v>
      </c>
      <c r="X13" s="4">
        <f>'תקציב אגף ת.ב.ל 2019'!X33</f>
        <v>0</v>
      </c>
      <c r="Y13" s="4">
        <f>'תקציב אגף ת.ב.ל 2019'!Y33</f>
        <v>0</v>
      </c>
      <c r="Z13" s="4">
        <f>'תקציב אגף ת.ב.ל 2019'!Z33</f>
        <v>0</v>
      </c>
      <c r="AA13" s="124" t="str">
        <f>'תקציב אגף ת.ב.ל 2019'!AA33</f>
        <v>סל לביצוע עבודות פרויקטים קטנים הנדרשים ע"י האגף מעת לעת.</v>
      </c>
      <c r="AB13" s="3">
        <f>'תקציב אגף ת.ב.ל 2019'!AB33</f>
        <v>742000</v>
      </c>
      <c r="AC13" s="266"/>
      <c r="AD13" s="247"/>
      <c r="AE13" s="247"/>
      <c r="AF13" s="247"/>
      <c r="AG13" s="34"/>
      <c r="AH13" s="30"/>
      <c r="AI13" s="447"/>
      <c r="AJ13" s="448"/>
      <c r="AK13" s="449"/>
      <c r="AL13" s="31"/>
      <c r="AM13" s="31"/>
      <c r="AN13" s="31"/>
      <c r="AO13" s="31"/>
      <c r="AP13" s="30"/>
    </row>
    <row r="14" spans="1:42" s="5" customFormat="1">
      <c r="A14" s="3">
        <f t="shared" si="3"/>
        <v>6</v>
      </c>
      <c r="B14" s="3">
        <v>1481</v>
      </c>
      <c r="C14" s="3" t="s">
        <v>291</v>
      </c>
      <c r="D14" s="4">
        <f>'תקציב אגף ת.ב.ל 2019'!D19</f>
        <v>6980000</v>
      </c>
      <c r="E14" s="4">
        <f>'תקציב אגף ת.ב.ל 2019'!E19</f>
        <v>6980000</v>
      </c>
      <c r="F14" s="4">
        <f>'תקציב אגף ת.ב.ל 2019'!F19</f>
        <v>0</v>
      </c>
      <c r="G14" s="4">
        <f>'תקציב אגף ת.ב.ל 2019'!G19</f>
        <v>6980000</v>
      </c>
      <c r="H14" s="4">
        <f>'תקציב אגף ת.ב.ל 2019'!H19</f>
        <v>6730488.3799999999</v>
      </c>
      <c r="I14" s="4">
        <f>'תקציב אגף ת.ב.ל 2019'!I19</f>
        <v>0</v>
      </c>
      <c r="J14" s="4">
        <f>'תקציב אגף ת.ב.ל 2019'!J19</f>
        <v>24359</v>
      </c>
      <c r="K14" s="4">
        <f>'תקציב אגף ת.ב.ל 2019'!K19</f>
        <v>24359</v>
      </c>
      <c r="L14" s="4">
        <f>'תקציב אגף ת.ב.ל 2019'!L19</f>
        <v>6754847.3799999999</v>
      </c>
      <c r="M14" s="4">
        <f>'תקציב אגף ת.ב.ל 2019'!M19</f>
        <v>225152.62000000011</v>
      </c>
      <c r="N14" s="4">
        <f>'תקציב אגף ת.ב.ל 2019'!N19</f>
        <v>0</v>
      </c>
      <c r="O14" s="4">
        <f>'תקציב אגף ת.ב.ל 2019'!O19</f>
        <v>0</v>
      </c>
      <c r="P14" s="4">
        <f>'תקציב אגף ת.ב.ל 2019'!P19</f>
        <v>225152.62000000011</v>
      </c>
      <c r="Q14" s="4">
        <f>'תקציב אגף ת.ב.ל 2019'!Q19</f>
        <v>0</v>
      </c>
      <c r="R14" s="4">
        <f>'תקציב אגף ת.ב.ל 2019'!R19</f>
        <v>0</v>
      </c>
      <c r="S14" s="4">
        <f>'תקציב אגף ת.ב.ל 2019'!S19</f>
        <v>0</v>
      </c>
      <c r="T14" s="4">
        <f>'תקציב אגף ת.ב.ל 2019'!T19</f>
        <v>0</v>
      </c>
      <c r="U14" s="4">
        <f>'תקציב אגף ת.ב.ל 2019'!U19</f>
        <v>0</v>
      </c>
      <c r="V14" s="4">
        <f>'תקציב אגף ת.ב.ל 2019'!V19</f>
        <v>0</v>
      </c>
      <c r="W14" s="4">
        <f>'תקציב אגף ת.ב.ל 2019'!W19</f>
        <v>0</v>
      </c>
      <c r="X14" s="4">
        <f>'תקציב אגף ת.ב.ל 2019'!X19</f>
        <v>0</v>
      </c>
      <c r="Y14" s="4">
        <f>'תקציב אגף ת.ב.ל 2019'!Y19</f>
        <v>0</v>
      </c>
      <c r="Z14" s="4">
        <f>'תקציב אגף ת.ב.ל 2019'!Z19</f>
        <v>0</v>
      </c>
      <c r="AA14" s="124">
        <f>'תקציב אגף ת.ב.ל 2019'!AA19</f>
        <v>0</v>
      </c>
      <c r="AB14" s="3">
        <f>'תקציב אגף ת.ב.ל 2019'!AB19</f>
        <v>743000</v>
      </c>
      <c r="AC14" s="266"/>
      <c r="AD14" s="247"/>
      <c r="AE14" s="247"/>
      <c r="AF14" s="247"/>
      <c r="AG14" s="34"/>
      <c r="AH14" s="30"/>
      <c r="AI14" s="447"/>
      <c r="AJ14" s="448"/>
      <c r="AK14" s="449"/>
      <c r="AL14" s="31"/>
      <c r="AM14" s="31"/>
      <c r="AN14" s="31"/>
      <c r="AO14" s="31"/>
      <c r="AP14" s="30"/>
    </row>
    <row r="15" spans="1:42" s="5" customFormat="1" ht="28">
      <c r="A15" s="3">
        <f t="shared" si="3"/>
        <v>7</v>
      </c>
      <c r="B15" s="3">
        <v>1849</v>
      </c>
      <c r="C15" s="3" t="s">
        <v>754</v>
      </c>
      <c r="D15" s="4">
        <f>'תקציב אגף ת.ב.ל 2019'!D34</f>
        <v>1400000</v>
      </c>
      <c r="E15" s="4">
        <f>'תקציב אגף ת.ב.ל 2019'!E34</f>
        <v>1400000</v>
      </c>
      <c r="F15" s="4">
        <f>'תקציב אגף ת.ב.ל 2019'!F34</f>
        <v>0</v>
      </c>
      <c r="G15" s="4">
        <f>'תקציב אגף ת.ב.ל 2019'!G34</f>
        <v>1300000</v>
      </c>
      <c r="H15" s="4">
        <f>'תקציב אגף ת.ב.ל 2019'!H34</f>
        <v>316485</v>
      </c>
      <c r="I15" s="4">
        <f>'תקציב אגף ת.ב.ל 2019'!I34</f>
        <v>0</v>
      </c>
      <c r="J15" s="4">
        <f>'תקציב אגף ת.ב.ל 2019'!J34</f>
        <v>0</v>
      </c>
      <c r="K15" s="4">
        <f>'תקציב אגף ת.ב.ל 2019'!K34</f>
        <v>0</v>
      </c>
      <c r="L15" s="4">
        <f>'תקציב אגף ת.ב.ל 2019'!L34</f>
        <v>316485</v>
      </c>
      <c r="M15" s="4">
        <f>'תקציב אגף ת.ב.ל 2019'!M34</f>
        <v>983515</v>
      </c>
      <c r="N15" s="4">
        <f>'תקציב אגף ת.ב.ל 2019'!N34</f>
        <v>100000</v>
      </c>
      <c r="O15" s="4">
        <f>'תקציב אגף ת.ב.ל 2019'!O34</f>
        <v>0</v>
      </c>
      <c r="P15" s="4">
        <f>'תקציב אגף ת.ב.ל 2019'!P34</f>
        <v>983515</v>
      </c>
      <c r="Q15" s="4">
        <f>'תקציב אגף ת.ב.ל 2019'!Q34</f>
        <v>0</v>
      </c>
      <c r="R15" s="4">
        <f>'תקציב אגף ת.ב.ל 2019'!R34</f>
        <v>0</v>
      </c>
      <c r="S15" s="4">
        <f>'תקציב אגף ת.ב.ל 2019'!S34</f>
        <v>0</v>
      </c>
      <c r="T15" s="4">
        <f>'תקציב אגף ת.ב.ל 2019'!T34</f>
        <v>0</v>
      </c>
      <c r="U15" s="4">
        <f>'תקציב אגף ת.ב.ל 2019'!U34</f>
        <v>100000</v>
      </c>
      <c r="V15" s="4">
        <f>'תקציב אגף ת.ב.ל 2019'!V34</f>
        <v>0</v>
      </c>
      <c r="W15" s="4">
        <f>'תקציב אגף ת.ב.ל 2019'!W34</f>
        <v>100000</v>
      </c>
      <c r="X15" s="4">
        <f>'תקציב אגף ת.ב.ל 2019'!X34</f>
        <v>0</v>
      </c>
      <c r="Y15" s="4">
        <f>'תקציב אגף ת.ב.ל 2019'!Y34</f>
        <v>0</v>
      </c>
      <c r="Z15" s="4">
        <f>'תקציב אגף ת.ב.ל 2019'!Z34</f>
        <v>0</v>
      </c>
      <c r="AA15" s="124" t="str">
        <f>'תקציב אגף ת.ב.ל 2019'!AA34</f>
        <v>התקנת גופי תאורה בטכנולוגיה מתקדמת במגרשי ספורט.</v>
      </c>
      <c r="AB15" s="3">
        <f>'תקציב אגף ת.ב.ל 2019'!AB34</f>
        <v>743000</v>
      </c>
      <c r="AC15" s="266"/>
      <c r="AD15" s="247"/>
      <c r="AE15" s="247"/>
      <c r="AF15" s="247"/>
      <c r="AG15" s="34"/>
      <c r="AH15" s="30"/>
      <c r="AI15" s="447"/>
      <c r="AJ15" s="448"/>
      <c r="AK15" s="449"/>
      <c r="AL15" s="31"/>
      <c r="AM15" s="31"/>
      <c r="AN15" s="30"/>
      <c r="AO15" s="30"/>
      <c r="AP15" s="30"/>
    </row>
    <row r="16" spans="1:42" s="5" customFormat="1" ht="56">
      <c r="A16" s="3">
        <f t="shared" si="3"/>
        <v>8</v>
      </c>
      <c r="B16" s="3">
        <v>1917</v>
      </c>
      <c r="C16" s="3" t="s">
        <v>226</v>
      </c>
      <c r="D16" s="4">
        <f>'תקציב אגף ת.ב.ל 2019'!D45</f>
        <v>76800000</v>
      </c>
      <c r="E16" s="4">
        <f>'תקציב אגף ת.ב.ל 2019'!E45</f>
        <v>76800000</v>
      </c>
      <c r="F16" s="4">
        <f>'תקציב אגף ת.ב.ל 2019'!F45</f>
        <v>0</v>
      </c>
      <c r="G16" s="4">
        <f>'תקציב אגף ת.ב.ל 2019'!G45</f>
        <v>25501000</v>
      </c>
      <c r="H16" s="4">
        <f>'תקציב אגף ת.ב.ל 2019'!H45</f>
        <v>9853774.4600000009</v>
      </c>
      <c r="I16" s="4">
        <f>'תקציב אגף ת.ב.ל 2019'!I45</f>
        <v>0</v>
      </c>
      <c r="J16" s="4">
        <f>'תקציב אגף ת.ב.ל 2019'!J45</f>
        <v>13576509.710000001</v>
      </c>
      <c r="K16" s="4">
        <f>'תקציב אגף ת.ב.ל 2019'!K45</f>
        <v>13576509.710000001</v>
      </c>
      <c r="L16" s="4">
        <f>'תקציב אגף ת.ב.ל 2019'!L45</f>
        <v>23430284.170000002</v>
      </c>
      <c r="M16" s="4">
        <f>'תקציב אגף ת.ב.ל 2019'!M45</f>
        <v>2070715.8299999982</v>
      </c>
      <c r="N16" s="4">
        <f>'תקציב אגף ת.ב.ל 2019'!N45</f>
        <v>8000000</v>
      </c>
      <c r="O16" s="4">
        <f>'תקציב אגף ת.ב.ל 2019'!O45</f>
        <v>43299000</v>
      </c>
      <c r="P16" s="4">
        <f>'תקציב אגף ת.ב.ל 2019'!P45</f>
        <v>2070715.8299999982</v>
      </c>
      <c r="Q16" s="4">
        <f>'תקציב אגף ת.ב.ל 2019'!Q45</f>
        <v>0</v>
      </c>
      <c r="R16" s="4">
        <f>'תקציב אגף ת.ב.ל 2019'!R45</f>
        <v>0</v>
      </c>
      <c r="S16" s="4">
        <f>'תקציב אגף ת.ב.ל 2019'!S45</f>
        <v>0</v>
      </c>
      <c r="T16" s="4">
        <f>'תקציב אגף ת.ב.ל 2019'!T45</f>
        <v>0</v>
      </c>
      <c r="U16" s="4">
        <f>'תקציב אגף ת.ב.ל 2019'!U45</f>
        <v>8000000</v>
      </c>
      <c r="V16" s="4">
        <f>'תקציב אגף ת.ב.ל 2019'!V45</f>
        <v>8000000</v>
      </c>
      <c r="W16" s="4">
        <f>'תקציב אגף ת.ב.ל 2019'!W45</f>
        <v>0</v>
      </c>
      <c r="X16" s="4">
        <f>'תקציב אגף ת.ב.ל 2019'!X45</f>
        <v>0</v>
      </c>
      <c r="Y16" s="4">
        <f>'תקציב אגף ת.ב.ל 2019'!Y45</f>
        <v>0</v>
      </c>
      <c r="Z16" s="4">
        <f>'תקציב אגף ת.ב.ל 2019'!Z45</f>
        <v>0</v>
      </c>
      <c r="AA16" s="124" t="str">
        <f>'תקציב אגף ת.ב.ל 2019'!AA45</f>
        <v>סל להקמת ושדרוג תשתיות כולל עמודי תאורה והתקנת גופי תאורה בטכנולוגיה מתקדמת עפ"י תוכנית רב שנתית.</v>
      </c>
      <c r="AB16" s="3">
        <f>'תקציב אגף ת.ב.ל 2019'!AB45</f>
        <v>743000</v>
      </c>
      <c r="AC16" s="266"/>
      <c r="AD16" s="247"/>
      <c r="AE16" s="247"/>
      <c r="AF16" s="247"/>
      <c r="AG16" s="34"/>
      <c r="AH16" s="30"/>
      <c r="AI16" s="447"/>
      <c r="AJ16" s="448"/>
      <c r="AK16" s="449"/>
      <c r="AL16" s="31"/>
      <c r="AM16" s="31"/>
      <c r="AN16" s="30"/>
      <c r="AO16" s="30"/>
      <c r="AP16" s="30"/>
    </row>
    <row r="17" spans="1:42" s="5" customFormat="1" ht="42">
      <c r="A17" s="3">
        <f t="shared" si="3"/>
        <v>9</v>
      </c>
      <c r="B17" s="3">
        <v>1560</v>
      </c>
      <c r="C17" s="3" t="s">
        <v>81</v>
      </c>
      <c r="D17" s="4">
        <f>'תקציב אגף ת.ב.ל 2019'!D23</f>
        <v>3760000</v>
      </c>
      <c r="E17" s="4">
        <f>'תקציב אגף ת.ב.ל 2019'!E23</f>
        <v>3660000</v>
      </c>
      <c r="F17" s="4">
        <f>'תקציב אגף ת.ב.ל 2019'!F23</f>
        <v>100000</v>
      </c>
      <c r="G17" s="4">
        <f>'תקציב אגף ת.ב.ל 2019'!G23</f>
        <v>3260000</v>
      </c>
      <c r="H17" s="4">
        <f>'תקציב אגף ת.ב.ל 2019'!H23</f>
        <v>2620318.96</v>
      </c>
      <c r="I17" s="4">
        <f>'תקציב אגף ת.ב.ל 2019'!I23</f>
        <v>261185</v>
      </c>
      <c r="J17" s="4">
        <f>'תקציב אגף ת.ב.ל 2019'!J23</f>
        <v>346182</v>
      </c>
      <c r="K17" s="4">
        <f>'תקציב אגף ת.ב.ל 2019'!K23</f>
        <v>607367</v>
      </c>
      <c r="L17" s="4">
        <f>'תקציב אגף ת.ב.ל 2019'!L23</f>
        <v>3227685.96</v>
      </c>
      <c r="M17" s="4">
        <f>'תקציב אגף ת.ב.ל 2019'!M23</f>
        <v>32314.040000000037</v>
      </c>
      <c r="N17" s="4">
        <f>'תקציב אגף ת.ב.ל 2019'!N23</f>
        <v>500000</v>
      </c>
      <c r="O17" s="4">
        <f>'תקציב אגף ת.ב.ל 2019'!O23</f>
        <v>0</v>
      </c>
      <c r="P17" s="4">
        <f>'תקציב אגף ת.ב.ל 2019'!P23</f>
        <v>32314.040000000037</v>
      </c>
      <c r="Q17" s="4">
        <f>'תקציב אגף ת.ב.ל 2019'!Q23</f>
        <v>0</v>
      </c>
      <c r="R17" s="4">
        <f>'תקציב אגף ת.ב.ל 2019'!R23</f>
        <v>0</v>
      </c>
      <c r="S17" s="4">
        <f>'תקציב אגף ת.ב.ל 2019'!S23</f>
        <v>0</v>
      </c>
      <c r="T17" s="4">
        <f>'תקציב אגף ת.ב.ל 2019'!T23</f>
        <v>0</v>
      </c>
      <c r="U17" s="4">
        <f>'תקציב אגף ת.ב.ל 2019'!U23</f>
        <v>500000</v>
      </c>
      <c r="V17" s="4">
        <f>'תקציב אגף ת.ב.ל 2019'!V23</f>
        <v>0</v>
      </c>
      <c r="W17" s="4">
        <f>'תקציב אגף ת.ב.ל 2019'!W23</f>
        <v>500000</v>
      </c>
      <c r="X17" s="4">
        <f>'תקציב אגף ת.ב.ל 2019'!X23</f>
        <v>0</v>
      </c>
      <c r="Y17" s="4">
        <f>'תקציב אגף ת.ב.ל 2019'!Y23</f>
        <v>0</v>
      </c>
      <c r="Z17" s="4">
        <f>'תקציב אגף ת.ב.ל 2019'!Z23</f>
        <v>0</v>
      </c>
      <c r="AA17" s="124" t="str">
        <f>'תקציב אגף ת.ב.ל 2019'!AA23</f>
        <v>עבודות שונות בפארק כולל חידוש מסלולים,שרותים טרומיים.</v>
      </c>
      <c r="AB17" s="3">
        <f>'תקציב אגף ת.ב.ל 2019'!AB23</f>
        <v>746000</v>
      </c>
      <c r="AC17" s="266"/>
      <c r="AD17" s="247"/>
      <c r="AE17" s="247"/>
      <c r="AF17" s="247"/>
      <c r="AG17" s="34"/>
      <c r="AH17" s="30"/>
      <c r="AI17" s="447"/>
      <c r="AJ17" s="448"/>
      <c r="AK17" s="449"/>
      <c r="AL17" s="31"/>
      <c r="AM17" s="31"/>
      <c r="AN17" s="31"/>
      <c r="AO17" s="31"/>
      <c r="AP17" s="30"/>
    </row>
    <row r="18" spans="1:42" s="5" customFormat="1" ht="28">
      <c r="A18" s="3">
        <f t="shared" si="3"/>
        <v>10</v>
      </c>
      <c r="B18" s="3">
        <v>1773</v>
      </c>
      <c r="C18" s="3" t="s">
        <v>173</v>
      </c>
      <c r="D18" s="4">
        <f>'תקציב אגף ת.ב.ל 2019'!D31</f>
        <v>1500000</v>
      </c>
      <c r="E18" s="4">
        <f>'תקציב אגף ת.ב.ל 2019'!E31</f>
        <v>1500000</v>
      </c>
      <c r="F18" s="4">
        <f>'תקציב אגף ת.ב.ל 2019'!F31</f>
        <v>0</v>
      </c>
      <c r="G18" s="4">
        <f>'תקציב אגף ת.ב.ל 2019'!G31</f>
        <v>500000</v>
      </c>
      <c r="H18" s="4">
        <f>'תקציב אגף ת.ב.ל 2019'!H31</f>
        <v>119925</v>
      </c>
      <c r="I18" s="4">
        <f>'תקציב אגף ת.ב.ל 2019'!I31</f>
        <v>58000</v>
      </c>
      <c r="J18" s="4">
        <f>'תקציב אגף ת.ב.ל 2019'!J31</f>
        <v>0</v>
      </c>
      <c r="K18" s="4">
        <f>'תקציב אגף ת.ב.ל 2019'!K31</f>
        <v>58000</v>
      </c>
      <c r="L18" s="4">
        <f>'תקציב אגף ת.ב.ל 2019'!L31</f>
        <v>177925</v>
      </c>
      <c r="M18" s="4">
        <f>'תקציב אגף ת.ב.ל 2019'!M31</f>
        <v>822075</v>
      </c>
      <c r="N18" s="4">
        <f>'תקציב אגף ת.ב.ל 2019'!N31</f>
        <v>500000</v>
      </c>
      <c r="O18" s="4">
        <f>'תקציב אגף ת.ב.ל 2019'!O31</f>
        <v>0</v>
      </c>
      <c r="P18" s="4">
        <f>'תקציב אגף ת.ב.ל 2019'!P31</f>
        <v>322075</v>
      </c>
      <c r="Q18" s="4">
        <f>'תקציב אגף ת.ב.ל 2019'!Q31</f>
        <v>500000</v>
      </c>
      <c r="R18" s="4">
        <f>'תקציב אגף ת.ב.ל 2019'!R31</f>
        <v>0</v>
      </c>
      <c r="S18" s="4">
        <f>'תקציב אגף ת.ב.ל 2019'!S31</f>
        <v>500000</v>
      </c>
      <c r="T18" s="4">
        <f>'תקציב אגף ת.ב.ל 2019'!T31</f>
        <v>0</v>
      </c>
      <c r="U18" s="4">
        <f>'תקציב אגף ת.ב.ל 2019'!U31</f>
        <v>500000</v>
      </c>
      <c r="V18" s="4">
        <f>'תקציב אגף ת.ב.ל 2019'!V31</f>
        <v>0</v>
      </c>
      <c r="W18" s="4">
        <f>'תקציב אגף ת.ב.ל 2019'!W31</f>
        <v>500000</v>
      </c>
      <c r="X18" s="4">
        <f>'תקציב אגף ת.ב.ל 2019'!X31</f>
        <v>0</v>
      </c>
      <c r="Y18" s="4">
        <f>'תקציב אגף ת.ב.ל 2019'!Y31</f>
        <v>0</v>
      </c>
      <c r="Z18" s="4">
        <f>'תקציב אגף ת.ב.ל 2019'!Z31</f>
        <v>0</v>
      </c>
      <c r="AA18" s="124" t="str">
        <f>'תקציב אגף ת.ב.ל 2019'!AA31</f>
        <v>עבודות שיקום לשיפור איכות ומראה המים באגם.</v>
      </c>
      <c r="AB18" s="3">
        <f>'תקציב אגף ת.ב.ל 2019'!AB31</f>
        <v>746000</v>
      </c>
      <c r="AC18" s="266"/>
      <c r="AD18" s="247"/>
      <c r="AE18" s="247"/>
      <c r="AF18" s="247"/>
      <c r="AG18" s="34"/>
      <c r="AH18" s="30"/>
      <c r="AI18" s="447"/>
      <c r="AJ18" s="448"/>
      <c r="AK18" s="30"/>
      <c r="AL18" s="31"/>
      <c r="AM18" s="31"/>
      <c r="AN18" s="31"/>
      <c r="AO18" s="31"/>
      <c r="AP18" s="30"/>
    </row>
    <row r="19" spans="1:42" s="5" customFormat="1" ht="42">
      <c r="A19" s="3">
        <f t="shared" si="3"/>
        <v>11</v>
      </c>
      <c r="B19" s="3">
        <v>1250</v>
      </c>
      <c r="C19" s="3" t="s">
        <v>69</v>
      </c>
      <c r="D19" s="4">
        <f>'תקציב אגף ת.ב.ל 2019'!D7</f>
        <v>1450000</v>
      </c>
      <c r="E19" s="4">
        <f>'תקציב אגף ת.ב.ל 2019'!E7</f>
        <v>1450000</v>
      </c>
      <c r="F19" s="4">
        <f>'תקציב אגף ת.ב.ל 2019'!F7</f>
        <v>0</v>
      </c>
      <c r="G19" s="4">
        <f>'תקציב אגף ת.ב.ל 2019'!G7</f>
        <v>1000000</v>
      </c>
      <c r="H19" s="4">
        <f>'תקציב אגף ת.ב.ל 2019'!H7</f>
        <v>813458.48</v>
      </c>
      <c r="I19" s="4">
        <f>'תקציב אגף ת.ב.ל 2019'!I7</f>
        <v>0</v>
      </c>
      <c r="J19" s="4">
        <f>'תקציב אגף ת.ב.ל 2019'!J7</f>
        <v>25937.46</v>
      </c>
      <c r="K19" s="4">
        <f>'תקציב אגף ת.ב.ל 2019'!K7</f>
        <v>25937.46</v>
      </c>
      <c r="L19" s="4">
        <f>'תקציב אגף ת.ב.ל 2019'!L7</f>
        <v>839395.94</v>
      </c>
      <c r="M19" s="4">
        <f>'תקציב אגף ת.ב.ל 2019'!M7</f>
        <v>160604.06000000006</v>
      </c>
      <c r="N19" s="4">
        <f>'תקציב אגף ת.ב.ל 2019'!N7</f>
        <v>400000</v>
      </c>
      <c r="O19" s="4">
        <f>'תקציב אגף ת.ב.ל 2019'!O7</f>
        <v>50000</v>
      </c>
      <c r="P19" s="4">
        <f>'תקציב אגף ת.ב.ל 2019'!P7</f>
        <v>160604.06000000006</v>
      </c>
      <c r="Q19" s="4">
        <f>'תקציב אגף ת.ב.ל 2019'!Q7</f>
        <v>0</v>
      </c>
      <c r="R19" s="4">
        <f>'תקציב אגף ת.ב.ל 2019'!R7</f>
        <v>0</v>
      </c>
      <c r="S19" s="4">
        <f>'תקציב אגף ת.ב.ל 2019'!S7</f>
        <v>0</v>
      </c>
      <c r="T19" s="4">
        <f>'תקציב אגף ת.ב.ל 2019'!T7</f>
        <v>0</v>
      </c>
      <c r="U19" s="4">
        <f>'תקציב אגף ת.ב.ל 2019'!U7</f>
        <v>400000</v>
      </c>
      <c r="V19" s="4">
        <f>'תקציב אגף ת.ב.ל 2019'!V7</f>
        <v>0</v>
      </c>
      <c r="W19" s="4">
        <f>'תקציב אגף ת.ב.ל 2019'!W7</f>
        <v>400000</v>
      </c>
      <c r="X19" s="4">
        <f>'תקציב אגף ת.ב.ל 2019'!X7</f>
        <v>0</v>
      </c>
      <c r="Y19" s="4">
        <f>'תקציב אגף ת.ב.ל 2019'!Y7</f>
        <v>0</v>
      </c>
      <c r="Z19" s="4">
        <f>'תקציב אגף ת.ב.ל 2019'!Z7</f>
        <v>0</v>
      </c>
      <c r="AA19" s="124" t="str">
        <f>'תקציב אגף ת.ב.ל 2019'!AA7</f>
        <v>החלפת גגות אסבסט במוסדות ציבור עפ"י רשימה  ובעקבות החוק הקשור במבני אסבסט.</v>
      </c>
      <c r="AB19" s="3">
        <f>'תקציב אגף ת.ב.ל 2019'!AB7</f>
        <v>749000</v>
      </c>
      <c r="AC19" s="266"/>
      <c r="AD19" s="247"/>
      <c r="AE19" s="247"/>
      <c r="AF19" s="247"/>
      <c r="AG19" s="34"/>
      <c r="AH19" s="30"/>
      <c r="AI19" s="447"/>
      <c r="AJ19" s="448"/>
      <c r="AK19" s="449"/>
      <c r="AL19" s="31"/>
      <c r="AM19" s="31"/>
      <c r="AN19" s="31"/>
      <c r="AO19" s="31"/>
      <c r="AP19" s="30"/>
    </row>
    <row r="20" spans="1:42" s="101" customFormat="1">
      <c r="A20" s="44"/>
      <c r="B20" s="44"/>
      <c r="C20" s="44" t="s">
        <v>1202</v>
      </c>
      <c r="D20" s="125">
        <f>SUM(D12:D19)</f>
        <v>138790000</v>
      </c>
      <c r="E20" s="125">
        <f t="shared" ref="E20:Z20" si="4">SUM(E12:E19)</f>
        <v>138590000</v>
      </c>
      <c r="F20" s="125">
        <f t="shared" si="4"/>
        <v>200000</v>
      </c>
      <c r="G20" s="125">
        <f t="shared" si="4"/>
        <v>79041000</v>
      </c>
      <c r="H20" s="125">
        <f t="shared" si="4"/>
        <v>49692602.090000004</v>
      </c>
      <c r="I20" s="125">
        <f t="shared" si="4"/>
        <v>319185</v>
      </c>
      <c r="J20" s="125">
        <f t="shared" si="4"/>
        <v>23108659.170000002</v>
      </c>
      <c r="K20" s="125">
        <f t="shared" si="4"/>
        <v>23427844.170000002</v>
      </c>
      <c r="L20" s="125">
        <f t="shared" si="4"/>
        <v>73120446.260000005</v>
      </c>
      <c r="M20" s="125">
        <f t="shared" si="4"/>
        <v>6420553.7399999984</v>
      </c>
      <c r="N20" s="125">
        <f t="shared" si="4"/>
        <v>13700000</v>
      </c>
      <c r="O20" s="125">
        <f t="shared" si="4"/>
        <v>45549000</v>
      </c>
      <c r="P20" s="125">
        <f t="shared" si="4"/>
        <v>5920553.7399999984</v>
      </c>
      <c r="Q20" s="125">
        <f t="shared" si="4"/>
        <v>500000</v>
      </c>
      <c r="R20" s="125">
        <f t="shared" si="4"/>
        <v>0</v>
      </c>
      <c r="S20" s="125">
        <f t="shared" si="4"/>
        <v>500000</v>
      </c>
      <c r="T20" s="125">
        <f t="shared" si="4"/>
        <v>0</v>
      </c>
      <c r="U20" s="125">
        <f t="shared" si="4"/>
        <v>13700000</v>
      </c>
      <c r="V20" s="125">
        <f t="shared" si="4"/>
        <v>8000000</v>
      </c>
      <c r="W20" s="125">
        <f t="shared" si="4"/>
        <v>5700000</v>
      </c>
      <c r="X20" s="125">
        <f t="shared" si="4"/>
        <v>0</v>
      </c>
      <c r="Y20" s="125">
        <f t="shared" si="4"/>
        <v>0</v>
      </c>
      <c r="Z20" s="125">
        <f t="shared" si="4"/>
        <v>0</v>
      </c>
      <c r="AA20" s="620"/>
      <c r="AB20" s="44"/>
      <c r="AC20" s="622"/>
      <c r="AD20" s="642"/>
      <c r="AE20" s="642"/>
      <c r="AF20" s="642"/>
      <c r="AG20" s="654"/>
      <c r="AH20" s="390"/>
      <c r="AI20" s="657"/>
      <c r="AJ20" s="658"/>
      <c r="AK20" s="390"/>
      <c r="AL20" s="391"/>
      <c r="AM20" s="391"/>
      <c r="AN20" s="391"/>
      <c r="AO20" s="391"/>
      <c r="AP20" s="390"/>
    </row>
    <row r="21" spans="1:42" s="5" customFormat="1">
      <c r="A21" s="3">
        <f>A19+1</f>
        <v>12</v>
      </c>
      <c r="B21" s="3">
        <v>1281</v>
      </c>
      <c r="C21" s="3" t="s">
        <v>71</v>
      </c>
      <c r="D21" s="4">
        <f>'תקציב אגף ת.ב.ל 2019'!D9</f>
        <v>213755840</v>
      </c>
      <c r="E21" s="4">
        <f>'תקציב אגף ת.ב.ל 2019'!E9</f>
        <v>213755840</v>
      </c>
      <c r="F21" s="4">
        <f>'תקציב אגף ת.ב.ל 2019'!F9</f>
        <v>0</v>
      </c>
      <c r="G21" s="4">
        <f>'תקציב אגף ת.ב.ל 2019'!G9</f>
        <v>213755840</v>
      </c>
      <c r="H21" s="4">
        <f>'תקציב אגף ת.ב.ל 2019'!H9</f>
        <v>212539376.11000001</v>
      </c>
      <c r="I21" s="4">
        <f>'תקציב אגף ת.ב.ל 2019'!I9</f>
        <v>508824.28</v>
      </c>
      <c r="J21" s="4">
        <f>'תקציב אגף ת.ב.ל 2019'!J9</f>
        <v>666378.97</v>
      </c>
      <c r="K21" s="4">
        <f>'תקציב אגף ת.ב.ל 2019'!K9</f>
        <v>1175203.25</v>
      </c>
      <c r="L21" s="4">
        <f>'תקציב אגף ת.ב.ל 2019'!L9</f>
        <v>213714579.36000001</v>
      </c>
      <c r="M21" s="4">
        <f>'תקציב אגף ת.ב.ל 2019'!M9</f>
        <v>41260.639999985695</v>
      </c>
      <c r="N21" s="4">
        <f>'תקציב אגף ת.ב.ל 2019'!N9</f>
        <v>0</v>
      </c>
      <c r="O21" s="4">
        <f>'תקציב אגף ת.ב.ל 2019'!O9</f>
        <v>0</v>
      </c>
      <c r="P21" s="4">
        <f>'תקציב אגף ת.ב.ל 2019'!P9</f>
        <v>41260.639999985695</v>
      </c>
      <c r="Q21" s="4">
        <f>'תקציב אגף ת.ב.ל 2019'!Q9</f>
        <v>0</v>
      </c>
      <c r="R21" s="4">
        <f>'תקציב אגף ת.ב.ל 2019'!R9</f>
        <v>0</v>
      </c>
      <c r="S21" s="4">
        <f>'תקציב אגף ת.ב.ל 2019'!S9</f>
        <v>0</v>
      </c>
      <c r="T21" s="4">
        <f>'תקציב אגף ת.ב.ל 2019'!T9</f>
        <v>0</v>
      </c>
      <c r="U21" s="4">
        <f>'תקציב אגף ת.ב.ל 2019'!U9</f>
        <v>0</v>
      </c>
      <c r="V21" s="4">
        <f>'תקציב אגף ת.ב.ל 2019'!V9</f>
        <v>0</v>
      </c>
      <c r="W21" s="4">
        <f>'תקציב אגף ת.ב.ל 2019'!W9</f>
        <v>0</v>
      </c>
      <c r="X21" s="4">
        <f>'תקציב אגף ת.ב.ל 2019'!X9</f>
        <v>0</v>
      </c>
      <c r="Y21" s="4">
        <f>'תקציב אגף ת.ב.ל 2019'!Y9</f>
        <v>0</v>
      </c>
      <c r="Z21" s="4">
        <f>'תקציב אגף ת.ב.ל 2019'!Z9</f>
        <v>0</v>
      </c>
      <c r="AA21" s="124">
        <f>'תקציב אגף ת.ב.ל 2019'!AA9</f>
        <v>0</v>
      </c>
      <c r="AB21" s="3">
        <f>'תקציב אגף ת.ב.ל 2019'!AB9</f>
        <v>810000</v>
      </c>
      <c r="AC21" s="266"/>
      <c r="AD21" s="247"/>
      <c r="AE21" s="247"/>
      <c r="AF21" s="247"/>
      <c r="AG21" s="34"/>
      <c r="AH21" s="30"/>
      <c r="AI21" s="447"/>
      <c r="AJ21" s="448"/>
      <c r="AK21" s="449"/>
      <c r="AL21" s="31"/>
      <c r="AM21" s="31"/>
      <c r="AN21" s="31"/>
      <c r="AO21" s="31"/>
      <c r="AP21" s="30"/>
    </row>
    <row r="22" spans="1:42" s="5" customFormat="1">
      <c r="A22" s="3">
        <f t="shared" ref="A22:A55" si="5">A21+1</f>
        <v>13</v>
      </c>
      <c r="B22" s="3">
        <v>1372</v>
      </c>
      <c r="C22" s="3" t="s">
        <v>72</v>
      </c>
      <c r="D22" s="4">
        <f>'תקציב אגף ת.ב.ל 2019'!D10</f>
        <v>1500000</v>
      </c>
      <c r="E22" s="4">
        <f>'תקציב אגף ת.ב.ל 2019'!E10</f>
        <v>2900000</v>
      </c>
      <c r="F22" s="4">
        <f>'תקציב אגף ת.ב.ל 2019'!F10</f>
        <v>-1400000</v>
      </c>
      <c r="G22" s="4">
        <f>'תקציב אגף ת.ב.ל 2019'!G10</f>
        <v>1500000</v>
      </c>
      <c r="H22" s="4">
        <f>'תקציב אגף ת.ב.ל 2019'!H10</f>
        <v>1488243.38</v>
      </c>
      <c r="I22" s="4">
        <f>'תקציב אגף ת.ב.ל 2019'!I10</f>
        <v>0</v>
      </c>
      <c r="J22" s="4">
        <f>'תקציב אגף ת.ב.ל 2019'!J10</f>
        <v>11535</v>
      </c>
      <c r="K22" s="4">
        <f>'תקציב אגף ת.ב.ל 2019'!K10</f>
        <v>11535</v>
      </c>
      <c r="L22" s="4">
        <f>'תקציב אגף ת.ב.ל 2019'!L10</f>
        <v>1499778.38</v>
      </c>
      <c r="M22" s="4">
        <f>'תקציב אגף ת.ב.ל 2019'!M10</f>
        <v>221.62000000011176</v>
      </c>
      <c r="N22" s="4">
        <f>'תקציב אגף ת.ב.ל 2019'!N10</f>
        <v>0</v>
      </c>
      <c r="O22" s="4">
        <f>'תקציב אגף ת.ב.ל 2019'!O10</f>
        <v>0</v>
      </c>
      <c r="P22" s="4">
        <f>'תקציב אגף ת.ב.ל 2019'!P10</f>
        <v>221.62000000011176</v>
      </c>
      <c r="Q22" s="4">
        <f>'תקציב אגף ת.ב.ל 2019'!Q10</f>
        <v>0</v>
      </c>
      <c r="R22" s="4">
        <f>'תקציב אגף ת.ב.ל 2019'!R10</f>
        <v>0</v>
      </c>
      <c r="S22" s="4">
        <f>'תקציב אגף ת.ב.ל 2019'!S10</f>
        <v>0</v>
      </c>
      <c r="T22" s="4">
        <f>'תקציב אגף ת.ב.ל 2019'!T10</f>
        <v>0</v>
      </c>
      <c r="U22" s="4">
        <f>'תקציב אגף ת.ב.ל 2019'!U10</f>
        <v>0</v>
      </c>
      <c r="V22" s="4">
        <f>'תקציב אגף ת.ב.ל 2019'!V10</f>
        <v>0</v>
      </c>
      <c r="W22" s="4">
        <f>'תקציב אגף ת.ב.ל 2019'!W10</f>
        <v>0</v>
      </c>
      <c r="X22" s="4">
        <f>'תקציב אגף ת.ב.ל 2019'!X10</f>
        <v>0</v>
      </c>
      <c r="Y22" s="4">
        <f>'תקציב אגף ת.ב.ל 2019'!Y10</f>
        <v>0</v>
      </c>
      <c r="Z22" s="4">
        <f>'תקציב אגף ת.ב.ל 2019'!Z10</f>
        <v>0</v>
      </c>
      <c r="AA22" s="124">
        <f>'תקציב אגף ת.ב.ל 2019'!AA10</f>
        <v>0</v>
      </c>
      <c r="AB22" s="3">
        <f>'תקציב אגף ת.ב.ל 2019'!AB10</f>
        <v>810000</v>
      </c>
      <c r="AC22" s="266"/>
      <c r="AD22" s="247"/>
      <c r="AE22" s="247"/>
      <c r="AF22" s="247"/>
      <c r="AG22" s="34"/>
      <c r="AH22" s="30"/>
      <c r="AI22" s="447"/>
      <c r="AJ22" s="448"/>
      <c r="AK22" s="449"/>
      <c r="AL22" s="31"/>
      <c r="AM22" s="31"/>
      <c r="AN22" s="31"/>
      <c r="AO22" s="31"/>
      <c r="AP22" s="30"/>
    </row>
    <row r="23" spans="1:42" s="5" customFormat="1" ht="28">
      <c r="A23" s="3">
        <f t="shared" si="5"/>
        <v>14</v>
      </c>
      <c r="B23" s="3">
        <v>1472</v>
      </c>
      <c r="C23" s="3" t="s">
        <v>74</v>
      </c>
      <c r="D23" s="4">
        <f>'תקציב אגף ת.ב.ל 2019'!D13</f>
        <v>11350000</v>
      </c>
      <c r="E23" s="4">
        <f>'תקציב אגף ת.ב.ל 2019'!E13</f>
        <v>11350000</v>
      </c>
      <c r="F23" s="4">
        <f>'תקציב אגף ת.ב.ל 2019'!F13</f>
        <v>0</v>
      </c>
      <c r="G23" s="4">
        <f>'תקציב אגף ת.ב.ל 2019'!G13</f>
        <v>11106096</v>
      </c>
      <c r="H23" s="4">
        <f>'תקציב אגף ת.ב.ל 2019'!H13</f>
        <v>11063444.289999999</v>
      </c>
      <c r="I23" s="4">
        <f>'תקציב אגף ת.ב.ל 2019'!I13</f>
        <v>0</v>
      </c>
      <c r="J23" s="4">
        <f>'תקציב אגף ת.ב.ל 2019'!J13</f>
        <v>0</v>
      </c>
      <c r="K23" s="4">
        <f>'תקציב אגף ת.ב.ל 2019'!K13</f>
        <v>0</v>
      </c>
      <c r="L23" s="4">
        <f>'תקציב אגף ת.ב.ל 2019'!L13</f>
        <v>11063444.289999999</v>
      </c>
      <c r="M23" s="4">
        <f>'תקציב אגף ת.ב.ל 2019'!M13</f>
        <v>42651.710000000894</v>
      </c>
      <c r="N23" s="4">
        <f>'תקציב אגף ת.ב.ל 2019'!N13</f>
        <v>100000</v>
      </c>
      <c r="O23" s="4">
        <f>'תקציב אגף ת.ב.ל 2019'!O13</f>
        <v>143904</v>
      </c>
      <c r="P23" s="4">
        <f>'תקציב אגף ת.ב.ל 2019'!P13</f>
        <v>42651.710000000894</v>
      </c>
      <c r="Q23" s="4">
        <f>'תקציב אגף ת.ב.ל 2019'!Q13</f>
        <v>0</v>
      </c>
      <c r="R23" s="4">
        <f>'תקציב אגף ת.ב.ל 2019'!R13</f>
        <v>0</v>
      </c>
      <c r="S23" s="4">
        <f>'תקציב אגף ת.ב.ל 2019'!S13</f>
        <v>0</v>
      </c>
      <c r="T23" s="4">
        <f>'תקציב אגף ת.ב.ל 2019'!T13</f>
        <v>0</v>
      </c>
      <c r="U23" s="4">
        <f>'תקציב אגף ת.ב.ל 2019'!U13</f>
        <v>100000</v>
      </c>
      <c r="V23" s="4">
        <f>'תקציב אגף ת.ב.ל 2019'!V13</f>
        <v>0</v>
      </c>
      <c r="W23" s="4">
        <f>'תקציב אגף ת.ב.ל 2019'!W13</f>
        <v>100000</v>
      </c>
      <c r="X23" s="4">
        <f>'תקציב אגף ת.ב.ל 2019'!X13</f>
        <v>0</v>
      </c>
      <c r="Y23" s="4">
        <f>'תקציב אגף ת.ב.ל 2019'!Y13</f>
        <v>0</v>
      </c>
      <c r="Z23" s="4">
        <f>'תקציב אגף ת.ב.ל 2019'!Z13</f>
        <v>0</v>
      </c>
      <c r="AA23" s="124" t="str">
        <f>'תקציב אגף ת.ב.ל 2019'!AA13</f>
        <v>סל להחלפה ושדרוג מזגנים במוסדות עירייה.</v>
      </c>
      <c r="AB23" s="3">
        <f>'תקציב אגף ת.ב.ל 2019'!AB13</f>
        <v>810000</v>
      </c>
      <c r="AC23" s="266"/>
      <c r="AD23" s="247"/>
      <c r="AE23" s="247"/>
      <c r="AF23" s="247"/>
      <c r="AG23" s="34"/>
      <c r="AH23" s="30"/>
      <c r="AI23" s="447"/>
      <c r="AJ23" s="448"/>
      <c r="AK23" s="449"/>
      <c r="AL23" s="31"/>
      <c r="AM23" s="31"/>
      <c r="AN23" s="31"/>
      <c r="AO23" s="31"/>
      <c r="AP23" s="30"/>
    </row>
    <row r="24" spans="1:42" s="5" customFormat="1">
      <c r="A24" s="3">
        <f t="shared" si="5"/>
        <v>15</v>
      </c>
      <c r="B24" s="3">
        <v>1476</v>
      </c>
      <c r="C24" s="3" t="s">
        <v>290</v>
      </c>
      <c r="D24" s="4">
        <f>'תקציב אגף ת.ב.ל 2019'!D14</f>
        <v>900000</v>
      </c>
      <c r="E24" s="4">
        <f>'תקציב אגף ת.ב.ל 2019'!E14</f>
        <v>900000</v>
      </c>
      <c r="F24" s="4">
        <f>'תקציב אגף ת.ב.ל 2019'!F14</f>
        <v>0</v>
      </c>
      <c r="G24" s="4">
        <f>'תקציב אגף ת.ב.ל 2019'!G14</f>
        <v>900000</v>
      </c>
      <c r="H24" s="4">
        <f>'תקציב אגף ת.ב.ל 2019'!H14</f>
        <v>842544.93</v>
      </c>
      <c r="I24" s="4">
        <f>'תקציב אגף ת.ב.ל 2019'!I14</f>
        <v>0</v>
      </c>
      <c r="J24" s="4">
        <f>'תקציב אגף ת.ב.ל 2019'!J14</f>
        <v>47985.91</v>
      </c>
      <c r="K24" s="4">
        <f>'תקציב אגף ת.ב.ל 2019'!K14</f>
        <v>47985.91</v>
      </c>
      <c r="L24" s="4">
        <f>'תקציב אגף ת.ב.ל 2019'!L14</f>
        <v>890530.84000000008</v>
      </c>
      <c r="M24" s="4">
        <f>'תקציב אגף ת.ב.ל 2019'!M14</f>
        <v>9469.1599999999162</v>
      </c>
      <c r="N24" s="4">
        <f>'תקציב אגף ת.ב.ל 2019'!N14</f>
        <v>0</v>
      </c>
      <c r="O24" s="4">
        <f>'תקציב אגף ת.ב.ל 2019'!O14</f>
        <v>0</v>
      </c>
      <c r="P24" s="4">
        <f>'תקציב אגף ת.ב.ל 2019'!P14</f>
        <v>9469.1599999999162</v>
      </c>
      <c r="Q24" s="4">
        <f>'תקציב אגף ת.ב.ל 2019'!Q14</f>
        <v>0</v>
      </c>
      <c r="R24" s="4">
        <f>'תקציב אגף ת.ב.ל 2019'!R14</f>
        <v>0</v>
      </c>
      <c r="S24" s="4">
        <f>'תקציב אגף ת.ב.ל 2019'!S14</f>
        <v>0</v>
      </c>
      <c r="T24" s="4">
        <f>'תקציב אגף ת.ב.ל 2019'!T14</f>
        <v>0</v>
      </c>
      <c r="U24" s="4">
        <f>'תקציב אגף ת.ב.ל 2019'!U14</f>
        <v>0</v>
      </c>
      <c r="V24" s="4">
        <f>'תקציב אגף ת.ב.ל 2019'!V14</f>
        <v>0</v>
      </c>
      <c r="W24" s="4">
        <f>'תקציב אגף ת.ב.ל 2019'!W14</f>
        <v>0</v>
      </c>
      <c r="X24" s="4">
        <f>'תקציב אגף ת.ב.ל 2019'!X14</f>
        <v>0</v>
      </c>
      <c r="Y24" s="4">
        <f>'תקציב אגף ת.ב.ל 2019'!Y14</f>
        <v>0</v>
      </c>
      <c r="Z24" s="4">
        <f>'תקציב אגף ת.ב.ל 2019'!Z14</f>
        <v>0</v>
      </c>
      <c r="AA24" s="124">
        <f>'תקציב אגף ת.ב.ל 2019'!AA14</f>
        <v>0</v>
      </c>
      <c r="AB24" s="3">
        <f>'תקציב אגף ת.ב.ל 2019'!AB14</f>
        <v>810000</v>
      </c>
      <c r="AC24" s="266"/>
      <c r="AD24" s="247"/>
      <c r="AE24" s="247"/>
      <c r="AF24" s="247"/>
      <c r="AG24" s="34"/>
      <c r="AH24" s="30"/>
      <c r="AI24" s="447"/>
      <c r="AJ24" s="448"/>
      <c r="AK24" s="449"/>
      <c r="AL24" s="31"/>
      <c r="AM24" s="31"/>
      <c r="AN24" s="31"/>
      <c r="AO24" s="31"/>
      <c r="AP24" s="30"/>
    </row>
    <row r="25" spans="1:42" s="5" customFormat="1" ht="42">
      <c r="A25" s="3">
        <f t="shared" si="5"/>
        <v>16</v>
      </c>
      <c r="B25" s="3">
        <v>1477</v>
      </c>
      <c r="C25" s="3" t="s">
        <v>746</v>
      </c>
      <c r="D25" s="4">
        <f>'תקציב אגף ת.ב.ל 2019'!D15</f>
        <v>9350000</v>
      </c>
      <c r="E25" s="4">
        <f>'תקציב אגף ת.ב.ל 2019'!E15</f>
        <v>2200000</v>
      </c>
      <c r="F25" s="4">
        <f>'תקציב אגף ת.ב.ל 2019'!F15</f>
        <v>7150000</v>
      </c>
      <c r="G25" s="4">
        <f>'תקציב אגף ת.ב.ל 2019'!G15</f>
        <v>2200000</v>
      </c>
      <c r="H25" s="4">
        <f>'תקציב אגף ת.ב.ל 2019'!H15</f>
        <v>2134839.7000000002</v>
      </c>
      <c r="I25" s="4">
        <f>'תקציב אגף ת.ב.ל 2019'!I15</f>
        <v>0</v>
      </c>
      <c r="J25" s="4">
        <f>'תקציב אגף ת.ב.ל 2019'!J15</f>
        <v>45936.03</v>
      </c>
      <c r="K25" s="4">
        <f>'תקציב אגף ת.ב.ל 2019'!K15</f>
        <v>45936.03</v>
      </c>
      <c r="L25" s="4">
        <f>'תקציב אגף ת.ב.ל 2019'!L15</f>
        <v>2180775.73</v>
      </c>
      <c r="M25" s="4">
        <f>'תקציב אגף ת.ב.ל 2019'!M15</f>
        <v>19224.270000000019</v>
      </c>
      <c r="N25" s="4">
        <f>'תקציב אגף ת.ב.ל 2019'!N15</f>
        <v>1650000</v>
      </c>
      <c r="O25" s="4">
        <f>'תקציב אגף ת.ב.ל 2019'!O15</f>
        <v>5500000</v>
      </c>
      <c r="P25" s="4">
        <f>'תקציב אגף ת.ב.ל 2019'!P15</f>
        <v>19224.270000000019</v>
      </c>
      <c r="Q25" s="4">
        <f>'תקציב אגף ת.ב.ל 2019'!Q15</f>
        <v>0</v>
      </c>
      <c r="R25" s="4">
        <f>'תקציב אגף ת.ב.ל 2019'!R15</f>
        <v>0</v>
      </c>
      <c r="S25" s="4">
        <f>'תקציב אגף ת.ב.ל 2019'!S15</f>
        <v>0</v>
      </c>
      <c r="T25" s="4">
        <f>'תקציב אגף ת.ב.ל 2019'!T15</f>
        <v>0</v>
      </c>
      <c r="U25" s="4">
        <f>'תקציב אגף ת.ב.ל 2019'!U15</f>
        <v>1650000</v>
      </c>
      <c r="V25" s="4">
        <f>'תקציב אגף ת.ב.ל 2019'!V15</f>
        <v>1650000</v>
      </c>
      <c r="W25" s="4">
        <f>'תקציב אגף ת.ב.ל 2019'!W15</f>
        <v>0</v>
      </c>
      <c r="X25" s="4">
        <f>'תקציב אגף ת.ב.ל 2019'!X15</f>
        <v>0</v>
      </c>
      <c r="Y25" s="4">
        <f>'תקציב אגף ת.ב.ל 2019'!Y15</f>
        <v>0</v>
      </c>
      <c r="Z25" s="4">
        <f>'תקציב אגף ת.ב.ל 2019'!Z15</f>
        <v>0</v>
      </c>
      <c r="AA25" s="124" t="str">
        <f>'תקציב אגף ת.ב.ל 2019'!AA15</f>
        <v>הצללות קבועות מעל מגרשי ספורט  עפ"י תוכנית רב שנתית. ב - 2019 :ויצמן,רעות ונבון.</v>
      </c>
      <c r="AB25" s="3">
        <f>'תקציב אגף ת.ב.ל 2019'!AB15</f>
        <v>810000</v>
      </c>
      <c r="AC25" s="266"/>
      <c r="AD25" s="247"/>
      <c r="AE25" s="247"/>
      <c r="AF25" s="247"/>
      <c r="AG25" s="34"/>
      <c r="AH25" s="30"/>
      <c r="AI25" s="447"/>
      <c r="AJ25" s="448"/>
      <c r="AK25" s="449"/>
      <c r="AL25" s="31"/>
      <c r="AM25" s="31"/>
      <c r="AN25" s="31"/>
      <c r="AO25" s="31"/>
      <c r="AP25" s="30"/>
    </row>
    <row r="26" spans="1:42" s="5" customFormat="1">
      <c r="A26" s="3">
        <f t="shared" si="5"/>
        <v>17</v>
      </c>
      <c r="B26" s="3">
        <v>1479</v>
      </c>
      <c r="C26" s="3" t="s">
        <v>76</v>
      </c>
      <c r="D26" s="4">
        <f>'תקציב אגף ת.ב.ל 2019'!D17</f>
        <v>1400000</v>
      </c>
      <c r="E26" s="4">
        <f>'תקציב אגף ת.ב.ל 2019'!E17</f>
        <v>1400000</v>
      </c>
      <c r="F26" s="4">
        <f>'תקציב אגף ת.ב.ל 2019'!F17</f>
        <v>0</v>
      </c>
      <c r="G26" s="4">
        <f>'תקציב אגף ת.ב.ל 2019'!G17</f>
        <v>1400000</v>
      </c>
      <c r="H26" s="4">
        <f>'תקציב אגף ת.ב.ל 2019'!H17</f>
        <v>1372325.72</v>
      </c>
      <c r="I26" s="4">
        <f>'תקציב אגף ת.ב.ל 2019'!I17</f>
        <v>0</v>
      </c>
      <c r="J26" s="4">
        <f>'תקציב אגף ת.ב.ל 2019'!J17</f>
        <v>12373.96</v>
      </c>
      <c r="K26" s="4">
        <f>'תקציב אגף ת.ב.ל 2019'!K17</f>
        <v>12373.96</v>
      </c>
      <c r="L26" s="4">
        <f>'תקציב אגף ת.ב.ל 2019'!L17</f>
        <v>1384699.68</v>
      </c>
      <c r="M26" s="4">
        <f>'תקציב אגף ת.ב.ל 2019'!M17</f>
        <v>15300.320000000065</v>
      </c>
      <c r="N26" s="4">
        <f>'תקציב אגף ת.ב.ל 2019'!N17</f>
        <v>0</v>
      </c>
      <c r="O26" s="4">
        <f>'תקציב אגף ת.ב.ל 2019'!O17</f>
        <v>0</v>
      </c>
      <c r="P26" s="4">
        <f>'תקציב אגף ת.ב.ל 2019'!P17</f>
        <v>15300.320000000065</v>
      </c>
      <c r="Q26" s="4">
        <f>'תקציב אגף ת.ב.ל 2019'!Q17</f>
        <v>0</v>
      </c>
      <c r="R26" s="4">
        <f>'תקציב אגף ת.ב.ל 2019'!R17</f>
        <v>0</v>
      </c>
      <c r="S26" s="4">
        <f>'תקציב אגף ת.ב.ל 2019'!S17</f>
        <v>0</v>
      </c>
      <c r="T26" s="4">
        <f>'תקציב אגף ת.ב.ל 2019'!T17</f>
        <v>0</v>
      </c>
      <c r="U26" s="4">
        <f>'תקציב אגף ת.ב.ל 2019'!U17</f>
        <v>0</v>
      </c>
      <c r="V26" s="4">
        <f>'תקציב אגף ת.ב.ל 2019'!V17</f>
        <v>0</v>
      </c>
      <c r="W26" s="4">
        <f>'תקציב אגף ת.ב.ל 2019'!W17</f>
        <v>0</v>
      </c>
      <c r="X26" s="4">
        <f>'תקציב אגף ת.ב.ל 2019'!X17</f>
        <v>0</v>
      </c>
      <c r="Y26" s="4">
        <f>'תקציב אגף ת.ב.ל 2019'!Y17</f>
        <v>0</v>
      </c>
      <c r="Z26" s="4">
        <f>'תקציב אגף ת.ב.ל 2019'!Z17</f>
        <v>0</v>
      </c>
      <c r="AA26" s="124">
        <f>'תקציב אגף ת.ב.ל 2019'!AA17</f>
        <v>0</v>
      </c>
      <c r="AB26" s="3">
        <f>'תקציב אגף ת.ב.ל 2019'!AB17</f>
        <v>810000</v>
      </c>
      <c r="AC26" s="266"/>
      <c r="AD26" s="247"/>
      <c r="AE26" s="247"/>
      <c r="AF26" s="247"/>
      <c r="AG26" s="34"/>
      <c r="AH26" s="30"/>
      <c r="AI26" s="447"/>
      <c r="AJ26" s="448"/>
      <c r="AK26" s="449"/>
      <c r="AL26" s="31"/>
      <c r="AM26" s="31"/>
      <c r="AN26" s="31"/>
      <c r="AO26" s="31"/>
      <c r="AP26" s="30"/>
    </row>
    <row r="27" spans="1:42" s="5" customFormat="1">
      <c r="A27" s="3">
        <f t="shared" si="5"/>
        <v>18</v>
      </c>
      <c r="B27" s="3">
        <v>1480</v>
      </c>
      <c r="C27" s="3" t="s">
        <v>77</v>
      </c>
      <c r="D27" s="4">
        <f>'תקציב אגף ת.ב.ל 2019'!D18</f>
        <v>3500000</v>
      </c>
      <c r="E27" s="4">
        <f>'תקציב אגף ת.ב.ל 2019'!E18</f>
        <v>4500000</v>
      </c>
      <c r="F27" s="4">
        <f>'תקציב אגף ת.ב.ל 2019'!F18</f>
        <v>-1000000</v>
      </c>
      <c r="G27" s="4">
        <f>'תקציב אגף ת.ב.ל 2019'!G18</f>
        <v>3500000</v>
      </c>
      <c r="H27" s="4">
        <f>'תקציב אגף ת.ב.ל 2019'!H18</f>
        <v>3168200.37</v>
      </c>
      <c r="I27" s="4">
        <f>'תקציב אגף ת.ב.ל 2019'!I18</f>
        <v>0</v>
      </c>
      <c r="J27" s="4">
        <f>'תקציב אגף ת.ב.ל 2019'!J18</f>
        <v>313331</v>
      </c>
      <c r="K27" s="4">
        <f>'תקציב אגף ת.ב.ל 2019'!K18</f>
        <v>313331</v>
      </c>
      <c r="L27" s="4">
        <f>'תקציב אגף ת.ב.ל 2019'!L18</f>
        <v>3481531.37</v>
      </c>
      <c r="M27" s="4">
        <f>'תקציב אגף ת.ב.ל 2019'!M18</f>
        <v>18468.629999999888</v>
      </c>
      <c r="N27" s="4">
        <f>'תקציב אגף ת.ב.ל 2019'!N18</f>
        <v>0</v>
      </c>
      <c r="O27" s="4">
        <f>'תקציב אגף ת.ב.ל 2019'!O18</f>
        <v>0</v>
      </c>
      <c r="P27" s="4">
        <f>'תקציב אגף ת.ב.ל 2019'!P18</f>
        <v>18468.629999999888</v>
      </c>
      <c r="Q27" s="4">
        <f>'תקציב אגף ת.ב.ל 2019'!Q18</f>
        <v>0</v>
      </c>
      <c r="R27" s="4">
        <f>'תקציב אגף ת.ב.ל 2019'!R18</f>
        <v>0</v>
      </c>
      <c r="S27" s="4">
        <f>'תקציב אגף ת.ב.ל 2019'!S18</f>
        <v>0</v>
      </c>
      <c r="T27" s="4">
        <f>'תקציב אגף ת.ב.ל 2019'!T18</f>
        <v>0</v>
      </c>
      <c r="U27" s="4">
        <f>'תקציב אגף ת.ב.ל 2019'!U18</f>
        <v>0</v>
      </c>
      <c r="V27" s="4">
        <f>'תקציב אגף ת.ב.ל 2019'!V18</f>
        <v>0</v>
      </c>
      <c r="W27" s="4">
        <f>'תקציב אגף ת.ב.ל 2019'!W18</f>
        <v>0</v>
      </c>
      <c r="X27" s="4">
        <f>'תקציב אגף ת.ב.ל 2019'!X18</f>
        <v>0</v>
      </c>
      <c r="Y27" s="4">
        <f>'תקציב אגף ת.ב.ל 2019'!Y18</f>
        <v>0</v>
      </c>
      <c r="Z27" s="4">
        <f>'תקציב אגף ת.ב.ל 2019'!Z18</f>
        <v>0</v>
      </c>
      <c r="AA27" s="124" t="str">
        <f>'תקציב אגף ת.ב.ל 2019'!AA18</f>
        <v>סל לעבודות בטיחות במוס"ח.</v>
      </c>
      <c r="AB27" s="3">
        <f>'תקציב אגף ת.ב.ל 2019'!AB18</f>
        <v>810000</v>
      </c>
      <c r="AC27" s="266"/>
      <c r="AD27" s="247"/>
      <c r="AE27" s="247"/>
      <c r="AF27" s="247"/>
      <c r="AG27" s="34"/>
      <c r="AH27" s="30"/>
      <c r="AI27" s="447"/>
      <c r="AJ27" s="448"/>
      <c r="AK27" s="449"/>
      <c r="AL27" s="31"/>
      <c r="AM27" s="31"/>
      <c r="AN27" s="31"/>
      <c r="AO27" s="31"/>
      <c r="AP27" s="30"/>
    </row>
    <row r="28" spans="1:42" s="5" customFormat="1">
      <c r="A28" s="3">
        <f t="shared" si="5"/>
        <v>19</v>
      </c>
      <c r="B28" s="3">
        <v>1482</v>
      </c>
      <c r="C28" s="3" t="s">
        <v>78</v>
      </c>
      <c r="D28" s="4">
        <f>'תקציב אגף ת.ב.ל 2019'!D20</f>
        <v>1450000</v>
      </c>
      <c r="E28" s="4">
        <f>'תקציב אגף ת.ב.ל 2019'!E20</f>
        <v>1450000</v>
      </c>
      <c r="F28" s="4">
        <f>'תקציב אגף ת.ב.ל 2019'!F20</f>
        <v>0</v>
      </c>
      <c r="G28" s="4">
        <f>'תקציב אגף ת.ב.ל 2019'!G20</f>
        <v>1450000</v>
      </c>
      <c r="H28" s="4">
        <f>'תקציב אגף ת.ב.ל 2019'!H20</f>
        <v>1391606.01</v>
      </c>
      <c r="I28" s="4">
        <f>'תקציב אגף ת.ב.ל 2019'!I20</f>
        <v>0</v>
      </c>
      <c r="J28" s="4">
        <f>'תקציב אגף ת.ב.ל 2019'!J20</f>
        <v>17207.22</v>
      </c>
      <c r="K28" s="4">
        <f>'תקציב אגף ת.ב.ל 2019'!K20</f>
        <v>17207.22</v>
      </c>
      <c r="L28" s="4">
        <f>'תקציב אגף ת.ב.ל 2019'!L20</f>
        <v>1408813.23</v>
      </c>
      <c r="M28" s="4">
        <f>'תקציב אגף ת.ב.ל 2019'!M20</f>
        <v>41186.770000000019</v>
      </c>
      <c r="N28" s="4">
        <f>'תקציב אגף ת.ב.ל 2019'!N20</f>
        <v>0</v>
      </c>
      <c r="O28" s="4">
        <f>'תקציב אגף ת.ב.ל 2019'!O20</f>
        <v>0</v>
      </c>
      <c r="P28" s="4">
        <f>'תקציב אגף ת.ב.ל 2019'!P20</f>
        <v>41186.770000000019</v>
      </c>
      <c r="Q28" s="4">
        <f>'תקציב אגף ת.ב.ל 2019'!Q20</f>
        <v>0</v>
      </c>
      <c r="R28" s="4">
        <f>'תקציב אגף ת.ב.ל 2019'!R20</f>
        <v>0</v>
      </c>
      <c r="S28" s="4">
        <f>'תקציב אגף ת.ב.ל 2019'!S20</f>
        <v>0</v>
      </c>
      <c r="T28" s="4">
        <f>'תקציב אגף ת.ב.ל 2019'!T20</f>
        <v>0</v>
      </c>
      <c r="U28" s="4">
        <f>'תקציב אגף ת.ב.ל 2019'!U20</f>
        <v>0</v>
      </c>
      <c r="V28" s="4">
        <f>'תקציב אגף ת.ב.ל 2019'!V20</f>
        <v>0</v>
      </c>
      <c r="W28" s="4">
        <f>'תקציב אגף ת.ב.ל 2019'!W20</f>
        <v>0</v>
      </c>
      <c r="X28" s="4">
        <f>'תקציב אגף ת.ב.ל 2019'!X20</f>
        <v>0</v>
      </c>
      <c r="Y28" s="4">
        <f>'תקציב אגף ת.ב.ל 2019'!Y20</f>
        <v>0</v>
      </c>
      <c r="Z28" s="4">
        <f>'תקציב אגף ת.ב.ל 2019'!Z20</f>
        <v>0</v>
      </c>
      <c r="AA28" s="124">
        <f>'תקציב אגף ת.ב.ל 2019'!AA20</f>
        <v>0</v>
      </c>
      <c r="AB28" s="3">
        <f>'תקציב אגף ת.ב.ל 2019'!AB20</f>
        <v>810000</v>
      </c>
      <c r="AC28" s="266"/>
      <c r="AD28" s="247"/>
      <c r="AE28" s="247"/>
      <c r="AF28" s="247"/>
      <c r="AG28" s="34"/>
      <c r="AH28" s="30"/>
      <c r="AI28" s="447"/>
      <c r="AJ28" s="448"/>
      <c r="AK28" s="449"/>
      <c r="AL28" s="31"/>
      <c r="AM28" s="31"/>
      <c r="AN28" s="31"/>
      <c r="AO28" s="31"/>
      <c r="AP28" s="30"/>
    </row>
    <row r="29" spans="1:42" s="5" customFormat="1">
      <c r="A29" s="3">
        <f t="shared" si="5"/>
        <v>20</v>
      </c>
      <c r="B29" s="3">
        <v>1676</v>
      </c>
      <c r="C29" s="3" t="s">
        <v>292</v>
      </c>
      <c r="D29" s="4">
        <f>'תקציב אגף ת.ב.ל 2019'!D25</f>
        <v>42765000</v>
      </c>
      <c r="E29" s="4">
        <f>'תקציב אגף ת.ב.ל 2019'!E25</f>
        <v>43215000</v>
      </c>
      <c r="F29" s="4">
        <f>'תקציב אגף ת.ב.ל 2019'!F25</f>
        <v>-450000</v>
      </c>
      <c r="G29" s="4">
        <f>'תקציב אגף ת.ב.ל 2019'!G25</f>
        <v>43215000</v>
      </c>
      <c r="H29" s="4">
        <f>'תקציב אגף ת.ב.ל 2019'!H25</f>
        <v>42484661.57</v>
      </c>
      <c r="I29" s="4">
        <f>'תקציב אגף ת.ב.ל 2019'!I25</f>
        <v>209870.43</v>
      </c>
      <c r="J29" s="4">
        <f>'תקציב אגף ת.ב.ל 2019'!J25</f>
        <v>586.61</v>
      </c>
      <c r="K29" s="4">
        <f>'תקציב אגף ת.ב.ל 2019'!K25</f>
        <v>210457.03999999998</v>
      </c>
      <c r="L29" s="4">
        <f>'תקציב אגף ת.ב.ל 2019'!L25</f>
        <v>42695118.609999999</v>
      </c>
      <c r="M29" s="4">
        <f>'תקציב אגף ת.ב.ל 2019'!M25</f>
        <v>69881.390000000596</v>
      </c>
      <c r="N29" s="4">
        <f>'תקציב אגף ת.ב.ל 2019'!N25</f>
        <v>0</v>
      </c>
      <c r="O29" s="4">
        <f>'תקציב אגף ת.ב.ל 2019'!O25</f>
        <v>0</v>
      </c>
      <c r="P29" s="4">
        <f>'תקציב אגף ת.ב.ל 2019'!P25</f>
        <v>519881.3900000006</v>
      </c>
      <c r="Q29" s="4">
        <f>'תקציב אגף ת.ב.ל 2019'!Q25</f>
        <v>0</v>
      </c>
      <c r="R29" s="4">
        <f>'תקציב אגף ת.ב.ל 2019'!R25</f>
        <v>0</v>
      </c>
      <c r="S29" s="4">
        <f>'תקציב אגף ת.ב.ל 2019'!S25</f>
        <v>0</v>
      </c>
      <c r="T29" s="4">
        <f>'תקציב אגף ת.ב.ל 2019'!T25</f>
        <v>450000</v>
      </c>
      <c r="U29" s="4">
        <f>'תקציב אגף ת.ב.ל 2019'!U25</f>
        <v>-450000</v>
      </c>
      <c r="V29" s="4">
        <f>'תקציב אגף ת.ב.ל 2019'!V25</f>
        <v>0</v>
      </c>
      <c r="W29" s="4">
        <f>'תקציב אגף ת.ב.ל 2019'!W25</f>
        <v>-450000</v>
      </c>
      <c r="X29" s="4">
        <f>'תקציב אגף ת.ב.ל 2019'!X25</f>
        <v>0</v>
      </c>
      <c r="Y29" s="4">
        <f>'תקציב אגף ת.ב.ל 2019'!Y25</f>
        <v>0</v>
      </c>
      <c r="Z29" s="4">
        <f>'תקציב אגף ת.ב.ל 2019'!Z25</f>
        <v>0</v>
      </c>
      <c r="AA29" s="124">
        <f>'תקציב אגף ת.ב.ל 2019'!AA25</f>
        <v>0</v>
      </c>
      <c r="AB29" s="3">
        <f>'תקציב אגף ת.ב.ל 2019'!AB25</f>
        <v>810000</v>
      </c>
      <c r="AC29" s="266"/>
      <c r="AD29" s="247"/>
      <c r="AE29" s="247"/>
      <c r="AF29" s="247"/>
      <c r="AG29" s="34"/>
      <c r="AH29" s="30"/>
      <c r="AI29" s="447"/>
      <c r="AJ29" s="448"/>
      <c r="AK29" s="449"/>
      <c r="AL29" s="31"/>
      <c r="AM29" s="31"/>
      <c r="AN29" s="31"/>
      <c r="AO29" s="31"/>
      <c r="AP29" s="30"/>
    </row>
    <row r="30" spans="1:42" s="5" customFormat="1">
      <c r="A30" s="3">
        <f t="shared" si="5"/>
        <v>21</v>
      </c>
      <c r="B30" s="3">
        <v>1677</v>
      </c>
      <c r="C30" s="3" t="s">
        <v>83</v>
      </c>
      <c r="D30" s="4">
        <f>'תקציב אגף ת.ב.ל 2019'!D26</f>
        <v>18500000</v>
      </c>
      <c r="E30" s="4">
        <f>'תקציב אגף ת.ב.ל 2019'!E26</f>
        <v>18500000</v>
      </c>
      <c r="F30" s="4">
        <f>'תקציב אגף ת.ב.ל 2019'!F26</f>
        <v>0</v>
      </c>
      <c r="G30" s="4">
        <f>'תקציב אגף ת.ב.ל 2019'!G26</f>
        <v>18500000</v>
      </c>
      <c r="H30" s="4">
        <f>'תקציב אגף ת.ב.ל 2019'!H26</f>
        <v>17903593.199999999</v>
      </c>
      <c r="I30" s="4">
        <f>'תקציב אגף ת.ב.ל 2019'!I26</f>
        <v>302080</v>
      </c>
      <c r="J30" s="4">
        <f>'תקציב אגף ת.ב.ל 2019'!J26</f>
        <v>232254</v>
      </c>
      <c r="K30" s="4">
        <f>'תקציב אגף ת.ב.ל 2019'!K26</f>
        <v>534334</v>
      </c>
      <c r="L30" s="4">
        <f>'תקציב אגף ת.ב.ל 2019'!L26</f>
        <v>18437927.199999999</v>
      </c>
      <c r="M30" s="4">
        <f>'תקציב אגף ת.ב.ל 2019'!M26</f>
        <v>62072.800000000745</v>
      </c>
      <c r="N30" s="4">
        <f>'תקציב אגף ת.ב.ל 2019'!N26</f>
        <v>0</v>
      </c>
      <c r="O30" s="4">
        <f>'תקציב אגף ת.ב.ל 2019'!O26</f>
        <v>0</v>
      </c>
      <c r="P30" s="4">
        <f>'תקציב אגף ת.ב.ל 2019'!P26</f>
        <v>62072.800000000745</v>
      </c>
      <c r="Q30" s="4">
        <f>'תקציב אגף ת.ב.ל 2019'!Q26</f>
        <v>0</v>
      </c>
      <c r="R30" s="4">
        <f>'תקציב אגף ת.ב.ל 2019'!R26</f>
        <v>0</v>
      </c>
      <c r="S30" s="4">
        <f>'תקציב אגף ת.ב.ל 2019'!S26</f>
        <v>0</v>
      </c>
      <c r="T30" s="4">
        <f>'תקציב אגף ת.ב.ל 2019'!T26</f>
        <v>0</v>
      </c>
      <c r="U30" s="4">
        <f>'תקציב אגף ת.ב.ל 2019'!U26</f>
        <v>0</v>
      </c>
      <c r="V30" s="4">
        <f>'תקציב אגף ת.ב.ל 2019'!V26</f>
        <v>0</v>
      </c>
      <c r="W30" s="4">
        <f>'תקציב אגף ת.ב.ל 2019'!W26</f>
        <v>0</v>
      </c>
      <c r="X30" s="4">
        <f>'תקציב אגף ת.ב.ל 2019'!X26</f>
        <v>0</v>
      </c>
      <c r="Y30" s="4">
        <f>'תקציב אגף ת.ב.ל 2019'!Y26</f>
        <v>0</v>
      </c>
      <c r="Z30" s="4">
        <f>'תקציב אגף ת.ב.ל 2019'!Z26</f>
        <v>0</v>
      </c>
      <c r="AA30" s="124">
        <f>'תקציב אגף ת.ב.ל 2019'!AA26</f>
        <v>0</v>
      </c>
      <c r="AB30" s="3">
        <f>'תקציב אגף ת.ב.ל 2019'!AB26</f>
        <v>810000</v>
      </c>
      <c r="AC30" s="266"/>
      <c r="AD30" s="247"/>
      <c r="AE30" s="247"/>
      <c r="AF30" s="247"/>
      <c r="AG30" s="34"/>
      <c r="AH30" s="30"/>
      <c r="AI30" s="447"/>
      <c r="AJ30" s="448"/>
      <c r="AK30" s="449"/>
      <c r="AL30" s="31"/>
      <c r="AM30" s="31"/>
      <c r="AN30" s="31"/>
      <c r="AO30" s="31"/>
      <c r="AP30" s="30"/>
    </row>
    <row r="31" spans="1:42" s="5" customFormat="1">
      <c r="A31" s="3">
        <f t="shared" si="5"/>
        <v>22</v>
      </c>
      <c r="B31" s="3">
        <v>1691</v>
      </c>
      <c r="C31" s="3" t="s">
        <v>293</v>
      </c>
      <c r="D31" s="4">
        <f>'תקציב אגף ת.ב.ל 2019'!D27</f>
        <v>210000</v>
      </c>
      <c r="E31" s="4">
        <f>'תקציב אגף ת.ב.ל 2019'!E27</f>
        <v>210000</v>
      </c>
      <c r="F31" s="4">
        <f>'תקציב אגף ת.ב.ל 2019'!F27</f>
        <v>0</v>
      </c>
      <c r="G31" s="4">
        <f>'תקציב אגף ת.ב.ל 2019'!G27</f>
        <v>210000</v>
      </c>
      <c r="H31" s="4">
        <f>'תקציב אגף ת.ב.ל 2019'!H27</f>
        <v>184253.53</v>
      </c>
      <c r="I31" s="4">
        <f>'תקציב אגף ת.ב.ל 2019'!I27</f>
        <v>0</v>
      </c>
      <c r="J31" s="4">
        <f>'תקציב אגף ת.ב.ל 2019'!J27</f>
        <v>0</v>
      </c>
      <c r="K31" s="4">
        <f>'תקציב אגף ת.ב.ל 2019'!K27</f>
        <v>0</v>
      </c>
      <c r="L31" s="4">
        <f>'תקציב אגף ת.ב.ל 2019'!L27</f>
        <v>184253.53</v>
      </c>
      <c r="M31" s="4">
        <f>'תקציב אגף ת.ב.ל 2019'!M27</f>
        <v>25746.47</v>
      </c>
      <c r="N31" s="4">
        <f>'תקציב אגף ת.ב.ל 2019'!N27</f>
        <v>0</v>
      </c>
      <c r="O31" s="4">
        <f>'תקציב אגף ת.ב.ל 2019'!O27</f>
        <v>0</v>
      </c>
      <c r="P31" s="4">
        <f>'תקציב אגף ת.ב.ל 2019'!P27</f>
        <v>25746.47</v>
      </c>
      <c r="Q31" s="4">
        <f>'תקציב אגף ת.ב.ל 2019'!Q27</f>
        <v>0</v>
      </c>
      <c r="R31" s="4">
        <f>'תקציב אגף ת.ב.ל 2019'!R27</f>
        <v>0</v>
      </c>
      <c r="S31" s="4">
        <f>'תקציב אגף ת.ב.ל 2019'!S27</f>
        <v>0</v>
      </c>
      <c r="T31" s="4">
        <f>'תקציב אגף ת.ב.ל 2019'!T27</f>
        <v>0</v>
      </c>
      <c r="U31" s="4">
        <f>'תקציב אגף ת.ב.ל 2019'!U27</f>
        <v>0</v>
      </c>
      <c r="V31" s="4">
        <f>'תקציב אגף ת.ב.ל 2019'!V27</f>
        <v>0</v>
      </c>
      <c r="W31" s="4">
        <f>'תקציב אגף ת.ב.ל 2019'!W27</f>
        <v>0</v>
      </c>
      <c r="X31" s="4">
        <f>'תקציב אגף ת.ב.ל 2019'!X27</f>
        <v>0</v>
      </c>
      <c r="Y31" s="4">
        <f>'תקציב אגף ת.ב.ל 2019'!Y27</f>
        <v>0</v>
      </c>
      <c r="Z31" s="4">
        <f>'תקציב אגף ת.ב.ל 2019'!Z27</f>
        <v>0</v>
      </c>
      <c r="AA31" s="124">
        <f>'תקציב אגף ת.ב.ל 2019'!AA27</f>
        <v>0</v>
      </c>
      <c r="AB31" s="3">
        <f>'תקציב אגף ת.ב.ל 2019'!AB27</f>
        <v>810000</v>
      </c>
      <c r="AC31" s="266"/>
      <c r="AD31" s="247"/>
      <c r="AE31" s="247"/>
      <c r="AF31" s="247"/>
      <c r="AG31" s="34"/>
      <c r="AH31" s="30"/>
      <c r="AI31" s="447"/>
      <c r="AJ31" s="448"/>
      <c r="AK31" s="449"/>
      <c r="AL31" s="31"/>
      <c r="AM31" s="31"/>
      <c r="AN31" s="31"/>
      <c r="AO31" s="31"/>
      <c r="AP31" s="30"/>
    </row>
    <row r="32" spans="1:42" s="5" customFormat="1">
      <c r="A32" s="3">
        <f t="shared" si="5"/>
        <v>23</v>
      </c>
      <c r="B32" s="3">
        <v>1711</v>
      </c>
      <c r="C32" s="3" t="s">
        <v>85</v>
      </c>
      <c r="D32" s="4">
        <f>'תקציב אגף ת.ב.ל 2019'!D28</f>
        <v>385000</v>
      </c>
      <c r="E32" s="4">
        <f>'תקציב אגף ת.ב.ל 2019'!E28</f>
        <v>445000</v>
      </c>
      <c r="F32" s="4">
        <f>'תקציב אגף ת.ב.ל 2019'!F28</f>
        <v>-60000</v>
      </c>
      <c r="G32" s="4">
        <f>'תקציב אגף ת.ב.ל 2019'!G28</f>
        <v>425000</v>
      </c>
      <c r="H32" s="4">
        <f>'תקציב אגף ת.ב.ל 2019'!H28</f>
        <v>326380.49</v>
      </c>
      <c r="I32" s="4">
        <f>'תקציב אגף ת.ב.ל 2019'!I28</f>
        <v>0</v>
      </c>
      <c r="J32" s="4">
        <f>'תקציב אגף ת.ב.ל 2019'!J28</f>
        <v>10077.280000000001</v>
      </c>
      <c r="K32" s="4">
        <f>'תקציב אגף ת.ב.ל 2019'!K28</f>
        <v>10077.280000000001</v>
      </c>
      <c r="L32" s="4">
        <f>'תקציב אגף ת.ב.ל 2019'!L28</f>
        <v>336457.77</v>
      </c>
      <c r="M32" s="4">
        <f>'תקציב אגף ת.ב.ל 2019'!M28</f>
        <v>48542.229999999981</v>
      </c>
      <c r="N32" s="4">
        <f>'תקציב אגף ת.ב.ל 2019'!N28</f>
        <v>0</v>
      </c>
      <c r="O32" s="4">
        <f>'תקציב אגף ת.ב.ל 2019'!O28</f>
        <v>0</v>
      </c>
      <c r="P32" s="4">
        <f>'תקציב אגף ת.ב.ל 2019'!P28</f>
        <v>88542.229999999981</v>
      </c>
      <c r="Q32" s="4">
        <f>'תקציב אגף ת.ב.ל 2019'!Q28</f>
        <v>0</v>
      </c>
      <c r="R32" s="4">
        <f>'תקציב אגף ת.ב.ל 2019'!R28</f>
        <v>0</v>
      </c>
      <c r="S32" s="4">
        <f>'תקציב אגף ת.ב.ל 2019'!S28</f>
        <v>0</v>
      </c>
      <c r="T32" s="4">
        <f>'תקציב אגף ת.ב.ל 2019'!T28</f>
        <v>40000</v>
      </c>
      <c r="U32" s="4">
        <f>'תקציב אגף ת.ב.ל 2019'!U28</f>
        <v>-40000</v>
      </c>
      <c r="V32" s="4">
        <f>'תקציב אגף ת.ב.ל 2019'!V28</f>
        <v>0</v>
      </c>
      <c r="W32" s="4">
        <f>'תקציב אגף ת.ב.ל 2019'!W28</f>
        <v>-40000</v>
      </c>
      <c r="X32" s="4">
        <f>'תקציב אגף ת.ב.ל 2019'!X28</f>
        <v>0</v>
      </c>
      <c r="Y32" s="4">
        <f>'תקציב אגף ת.ב.ל 2019'!Y28</f>
        <v>0</v>
      </c>
      <c r="Z32" s="4">
        <f>'תקציב אגף ת.ב.ל 2019'!Z28</f>
        <v>0</v>
      </c>
      <c r="AA32" s="124">
        <f>'תקציב אגף ת.ב.ל 2019'!AA28</f>
        <v>0</v>
      </c>
      <c r="AB32" s="3">
        <f>'תקציב אגף ת.ב.ל 2019'!AB28</f>
        <v>810000</v>
      </c>
      <c r="AC32" s="266"/>
      <c r="AD32" s="247"/>
      <c r="AE32" s="247"/>
      <c r="AF32" s="247"/>
      <c r="AG32" s="34"/>
      <c r="AH32" s="30"/>
      <c r="AI32" s="447"/>
      <c r="AJ32" s="448"/>
      <c r="AK32" s="449"/>
      <c r="AL32" s="31"/>
      <c r="AM32" s="31"/>
      <c r="AN32" s="31"/>
      <c r="AO32" s="31"/>
      <c r="AP32" s="30"/>
    </row>
    <row r="33" spans="1:43" s="5" customFormat="1">
      <c r="A33" s="3">
        <f t="shared" si="5"/>
        <v>24</v>
      </c>
      <c r="B33" s="3">
        <v>1769</v>
      </c>
      <c r="C33" s="3" t="s">
        <v>86</v>
      </c>
      <c r="D33" s="4">
        <f>'תקציב אגף ת.ב.ל 2019'!D29</f>
        <v>4870000</v>
      </c>
      <c r="E33" s="4">
        <f>'תקציב אגף ת.ב.ל 2019'!E29</f>
        <v>4870000</v>
      </c>
      <c r="F33" s="4">
        <f>'תקציב אגף ת.ב.ל 2019'!F29</f>
        <v>0</v>
      </c>
      <c r="G33" s="4">
        <f>'תקציב אגף ת.ב.ל 2019'!G29</f>
        <v>4870000</v>
      </c>
      <c r="H33" s="4">
        <f>'תקציב אגף ת.ב.ל 2019'!H29</f>
        <v>4767927.57</v>
      </c>
      <c r="I33" s="4">
        <f>'תקציב אגף ת.ב.ל 2019'!I29</f>
        <v>65828.67</v>
      </c>
      <c r="J33" s="4">
        <f>'תקציב אגף ת.ב.ל 2019'!J29</f>
        <v>0</v>
      </c>
      <c r="K33" s="4">
        <f>'תקציב אגף ת.ב.ל 2019'!K29</f>
        <v>65828.67</v>
      </c>
      <c r="L33" s="4">
        <f>'תקציב אגף ת.ב.ל 2019'!L29</f>
        <v>4833756.24</v>
      </c>
      <c r="M33" s="4">
        <f>'תקציב אגף ת.ב.ל 2019'!M29</f>
        <v>36243.759999999776</v>
      </c>
      <c r="N33" s="4">
        <f>'תקציב אגף ת.ב.ל 2019'!N29</f>
        <v>0</v>
      </c>
      <c r="O33" s="4">
        <f>'תקציב אגף ת.ב.ל 2019'!O29</f>
        <v>0</v>
      </c>
      <c r="P33" s="4">
        <f>'תקציב אגף ת.ב.ל 2019'!P29</f>
        <v>36243.759999999776</v>
      </c>
      <c r="Q33" s="4">
        <f>'תקציב אגף ת.ב.ל 2019'!Q29</f>
        <v>0</v>
      </c>
      <c r="R33" s="4">
        <f>'תקציב אגף ת.ב.ל 2019'!R29</f>
        <v>0</v>
      </c>
      <c r="S33" s="4">
        <f>'תקציב אגף ת.ב.ל 2019'!S29</f>
        <v>0</v>
      </c>
      <c r="T33" s="4">
        <f>'תקציב אגף ת.ב.ל 2019'!T29</f>
        <v>0</v>
      </c>
      <c r="U33" s="4">
        <f>'תקציב אגף ת.ב.ל 2019'!U29</f>
        <v>0</v>
      </c>
      <c r="V33" s="4">
        <f>'תקציב אגף ת.ב.ל 2019'!V29</f>
        <v>0</v>
      </c>
      <c r="W33" s="4">
        <f>'תקציב אגף ת.ב.ל 2019'!W29</f>
        <v>0</v>
      </c>
      <c r="X33" s="4">
        <f>'תקציב אגף ת.ב.ל 2019'!X29</f>
        <v>0</v>
      </c>
      <c r="Y33" s="4">
        <f>'תקציב אגף ת.ב.ל 2019'!Y29</f>
        <v>0</v>
      </c>
      <c r="Z33" s="4">
        <f>'תקציב אגף ת.ב.ל 2019'!Z29</f>
        <v>0</v>
      </c>
      <c r="AA33" s="124">
        <f>'תקציב אגף ת.ב.ל 2019'!AA29</f>
        <v>0</v>
      </c>
      <c r="AB33" s="3">
        <f>'תקציב אגף ת.ב.ל 2019'!AB29</f>
        <v>810000</v>
      </c>
      <c r="AC33" s="266"/>
      <c r="AD33" s="247"/>
      <c r="AE33" s="247"/>
      <c r="AF33" s="247"/>
      <c r="AG33" s="34"/>
      <c r="AH33" s="30"/>
      <c r="AI33" s="447"/>
      <c r="AJ33" s="448"/>
      <c r="AK33" s="449"/>
      <c r="AL33" s="31"/>
      <c r="AM33" s="31"/>
      <c r="AN33" s="31"/>
      <c r="AO33" s="31"/>
      <c r="AP33" s="30"/>
    </row>
    <row r="34" spans="1:43" s="5" customFormat="1" ht="28">
      <c r="A34" s="3">
        <f t="shared" si="5"/>
        <v>25</v>
      </c>
      <c r="B34" s="3">
        <v>1770</v>
      </c>
      <c r="C34" s="3" t="s">
        <v>751</v>
      </c>
      <c r="D34" s="4">
        <f>'תקציב אגף ת.ב.ל 2019'!D30</f>
        <v>29752105</v>
      </c>
      <c r="E34" s="4">
        <f>'תקציב אגף ת.ב.ל 2019'!E30</f>
        <v>29752105</v>
      </c>
      <c r="F34" s="4">
        <f>'תקציב אגף ת.ב.ל 2019'!F30</f>
        <v>0</v>
      </c>
      <c r="G34" s="4">
        <f>'תקציב אגף ת.ב.ל 2019'!G30</f>
        <v>29752105</v>
      </c>
      <c r="H34" s="4">
        <f>'תקציב אגף ת.ב.ל 2019'!H30</f>
        <v>26831640.559999999</v>
      </c>
      <c r="I34" s="4">
        <f>'תקציב אגף ת.ב.ל 2019'!I30</f>
        <v>2156197.21</v>
      </c>
      <c r="J34" s="4">
        <f>'תקציב אגף ת.ב.ל 2019'!J30</f>
        <v>525628</v>
      </c>
      <c r="K34" s="4">
        <f>'תקציב אגף ת.ב.ל 2019'!K30</f>
        <v>2681825.21</v>
      </c>
      <c r="L34" s="4">
        <f>'תקציב אגף ת.ב.ל 2019'!L30</f>
        <v>29513465.77</v>
      </c>
      <c r="M34" s="4">
        <f>'תקציב אגף ת.ב.ל 2019'!M30</f>
        <v>238639.23000000045</v>
      </c>
      <c r="N34" s="4">
        <f>'תקציב אגף ת.ב.ל 2019'!N30</f>
        <v>0</v>
      </c>
      <c r="O34" s="4">
        <f>'תקציב אגף ת.ב.ל 2019'!O30</f>
        <v>0</v>
      </c>
      <c r="P34" s="4">
        <f>'תקציב אגף ת.ב.ל 2019'!P30</f>
        <v>238639.23000000045</v>
      </c>
      <c r="Q34" s="4">
        <f>'תקציב אגף ת.ב.ל 2019'!Q30</f>
        <v>0</v>
      </c>
      <c r="R34" s="4">
        <f>'תקציב אגף ת.ב.ל 2019'!R30</f>
        <v>0</v>
      </c>
      <c r="S34" s="4">
        <f>'תקציב אגף ת.ב.ל 2019'!S30</f>
        <v>0</v>
      </c>
      <c r="T34" s="4">
        <f>'תקציב אגף ת.ב.ל 2019'!T30</f>
        <v>0</v>
      </c>
      <c r="U34" s="4">
        <f>'תקציב אגף ת.ב.ל 2019'!U30</f>
        <v>0</v>
      </c>
      <c r="V34" s="4">
        <f>'תקציב אגף ת.ב.ל 2019'!V30</f>
        <v>0</v>
      </c>
      <c r="W34" s="4">
        <f>'תקציב אגף ת.ב.ל 2019'!W30</f>
        <v>0</v>
      </c>
      <c r="X34" s="4">
        <f>'תקציב אגף ת.ב.ל 2019'!X30</f>
        <v>0</v>
      </c>
      <c r="Y34" s="4">
        <f>'תקציב אגף ת.ב.ל 2019'!Y30</f>
        <v>0</v>
      </c>
      <c r="Z34" s="4">
        <f>'תקציב אגף ת.ב.ל 2019'!Z30</f>
        <v>0</v>
      </c>
      <c r="AA34" s="124">
        <f>'תקציב אגף ת.ב.ל 2019'!AA30</f>
        <v>0</v>
      </c>
      <c r="AB34" s="3">
        <f>'תקציב אגף ת.ב.ל 2019'!AB30</f>
        <v>810000</v>
      </c>
      <c r="AC34" s="266"/>
      <c r="AD34" s="247"/>
      <c r="AE34" s="247"/>
      <c r="AF34" s="247"/>
      <c r="AG34" s="34"/>
      <c r="AH34" s="30"/>
      <c r="AI34" s="447"/>
      <c r="AJ34" s="448"/>
      <c r="AK34" s="449"/>
      <c r="AL34" s="31"/>
      <c r="AM34" s="31"/>
      <c r="AN34" s="31"/>
      <c r="AO34" s="31"/>
      <c r="AP34" s="30"/>
    </row>
    <row r="35" spans="1:43" s="5" customFormat="1" ht="28">
      <c r="A35" s="3">
        <f t="shared" si="5"/>
        <v>26</v>
      </c>
      <c r="B35" s="3">
        <v>1850</v>
      </c>
      <c r="C35" s="3" t="s">
        <v>1327</v>
      </c>
      <c r="D35" s="4">
        <f>'תקציב אגף ת.ב.ל 2019'!D35</f>
        <v>14600000</v>
      </c>
      <c r="E35" s="4">
        <f>'תקציב אגף ת.ב.ל 2019'!E35</f>
        <v>14600000</v>
      </c>
      <c r="F35" s="4">
        <f>'תקציב אגף ת.ב.ל 2019'!F35</f>
        <v>0</v>
      </c>
      <c r="G35" s="4">
        <f>'תקציב אגף ת.ב.ל 2019'!G35</f>
        <v>3080000</v>
      </c>
      <c r="H35" s="4">
        <f>'תקציב אגף ת.ב.ל 2019'!H35</f>
        <v>1188851</v>
      </c>
      <c r="I35" s="4">
        <f>'תקציב אגף ת.ב.ל 2019'!I35</f>
        <v>0</v>
      </c>
      <c r="J35" s="4">
        <f>'תקציב אגף ת.ב.ל 2019'!J35</f>
        <v>1268465</v>
      </c>
      <c r="K35" s="4">
        <f>'תקציב אגף ת.ב.ל 2019'!K35</f>
        <v>1268465</v>
      </c>
      <c r="L35" s="4">
        <f>'תקציב אגף ת.ב.ל 2019'!L35</f>
        <v>2457316</v>
      </c>
      <c r="M35" s="4">
        <f>'תקציב אגף ת.ב.ל 2019'!M35</f>
        <v>622684</v>
      </c>
      <c r="N35" s="4">
        <f>'תקציב אגף ת.ב.ל 2019'!N35</f>
        <v>1050000</v>
      </c>
      <c r="O35" s="4">
        <f>'תקציב אגף ת.ב.ל 2019'!O35</f>
        <v>10470000</v>
      </c>
      <c r="P35" s="4">
        <f>'תקציב אגף ת.ב.ל 2019'!P35</f>
        <v>622684</v>
      </c>
      <c r="Q35" s="4">
        <f>'תקציב אגף ת.ב.ל 2019'!Q35</f>
        <v>0</v>
      </c>
      <c r="R35" s="4">
        <f>'תקציב אגף ת.ב.ל 2019'!R35</f>
        <v>0</v>
      </c>
      <c r="S35" s="4">
        <f>'תקציב אגף ת.ב.ל 2019'!S35</f>
        <v>0</v>
      </c>
      <c r="T35" s="4">
        <f>'תקציב אגף ת.ב.ל 2019'!T35</f>
        <v>0</v>
      </c>
      <c r="U35" s="4">
        <f>'תקציב אגף ת.ב.ל 2019'!U35</f>
        <v>1050000</v>
      </c>
      <c r="V35" s="4">
        <f>'תקציב אגף ת.ב.ל 2019'!V35</f>
        <v>0</v>
      </c>
      <c r="W35" s="4">
        <f>'תקציב אגף ת.ב.ל 2019'!W35</f>
        <v>1050000</v>
      </c>
      <c r="X35" s="4">
        <f>'תקציב אגף ת.ב.ל 2019'!X35</f>
        <v>0</v>
      </c>
      <c r="Y35" s="4">
        <f>'תקציב אגף ת.ב.ל 2019'!Y35</f>
        <v>0</v>
      </c>
      <c r="Z35" s="4">
        <f>'תקציב אגף ת.ב.ל 2019'!Z35</f>
        <v>0</v>
      </c>
      <c r="AA35" s="124" t="str">
        <f>'תקציב אגף ת.ב.ל 2019'!AA35</f>
        <v>סל לעבודות הסדרת ליקויים כיבוי אש במוס"ח  לפי סקר.</v>
      </c>
      <c r="AB35" s="3">
        <f>'תקציב אגף ת.ב.ל 2019'!AB35</f>
        <v>810000</v>
      </c>
      <c r="AC35" s="266"/>
      <c r="AD35" s="247"/>
      <c r="AE35" s="247"/>
      <c r="AF35" s="247"/>
      <c r="AG35" s="34"/>
      <c r="AH35" s="30"/>
      <c r="AI35" s="447"/>
      <c r="AJ35" s="448"/>
      <c r="AK35" s="449"/>
      <c r="AL35" s="31"/>
      <c r="AM35" s="31"/>
      <c r="AN35" s="30"/>
      <c r="AO35" s="30"/>
      <c r="AP35" s="30"/>
    </row>
    <row r="36" spans="1:43" s="5" customFormat="1">
      <c r="A36" s="3">
        <f t="shared" si="5"/>
        <v>27</v>
      </c>
      <c r="B36" s="3">
        <v>1851</v>
      </c>
      <c r="C36" s="3" t="s">
        <v>219</v>
      </c>
      <c r="D36" s="4">
        <f>'תקציב אגף ת.ב.ל 2019'!D36</f>
        <v>3050000</v>
      </c>
      <c r="E36" s="4">
        <f>'תקציב אגף ת.ב.ל 2019'!E36</f>
        <v>3050000</v>
      </c>
      <c r="F36" s="4">
        <f>'תקציב אגף ת.ב.ל 2019'!F36</f>
        <v>0</v>
      </c>
      <c r="G36" s="4">
        <f>'תקציב אגף ת.ב.ל 2019'!G36</f>
        <v>3050000</v>
      </c>
      <c r="H36" s="4">
        <f>'תקציב אגף ת.ב.ל 2019'!H36</f>
        <v>2991435.5</v>
      </c>
      <c r="I36" s="4">
        <f>'תקציב אגף ת.ב.ל 2019'!I36</f>
        <v>23133.24</v>
      </c>
      <c r="J36" s="4">
        <f>'תקציב אגף ת.ב.ל 2019'!J36</f>
        <v>8424</v>
      </c>
      <c r="K36" s="4">
        <f>'תקציב אגף ת.ב.ל 2019'!K36</f>
        <v>31557.24</v>
      </c>
      <c r="L36" s="4">
        <f>'תקציב אגף ת.ב.ל 2019'!L36</f>
        <v>3022992.74</v>
      </c>
      <c r="M36" s="4">
        <f>'תקציב אגף ת.ב.ל 2019'!M36</f>
        <v>27007.259999999776</v>
      </c>
      <c r="N36" s="4">
        <f>'תקציב אגף ת.ב.ל 2019'!N36</f>
        <v>0</v>
      </c>
      <c r="O36" s="4">
        <f>'תקציב אגף ת.ב.ל 2019'!O36</f>
        <v>0</v>
      </c>
      <c r="P36" s="4">
        <f>'תקציב אגף ת.ב.ל 2019'!P36</f>
        <v>27007.259999999776</v>
      </c>
      <c r="Q36" s="4">
        <f>'תקציב אגף ת.ב.ל 2019'!Q36</f>
        <v>0</v>
      </c>
      <c r="R36" s="4">
        <f>'תקציב אגף ת.ב.ל 2019'!R36</f>
        <v>0</v>
      </c>
      <c r="S36" s="4">
        <f>'תקציב אגף ת.ב.ל 2019'!S36</f>
        <v>0</v>
      </c>
      <c r="T36" s="4">
        <f>'תקציב אגף ת.ב.ל 2019'!T36</f>
        <v>0</v>
      </c>
      <c r="U36" s="4">
        <f>'תקציב אגף ת.ב.ל 2019'!U36</f>
        <v>0</v>
      </c>
      <c r="V36" s="4">
        <f>'תקציב אגף ת.ב.ל 2019'!V36</f>
        <v>0</v>
      </c>
      <c r="W36" s="4">
        <f>'תקציב אגף ת.ב.ל 2019'!W36</f>
        <v>0</v>
      </c>
      <c r="X36" s="4">
        <f>'תקציב אגף ת.ב.ל 2019'!X36</f>
        <v>0</v>
      </c>
      <c r="Y36" s="4">
        <f>'תקציב אגף ת.ב.ל 2019'!Y36</f>
        <v>0</v>
      </c>
      <c r="Z36" s="4">
        <f>'תקציב אגף ת.ב.ל 2019'!Z36</f>
        <v>0</v>
      </c>
      <c r="AA36" s="124">
        <f>'תקציב אגף ת.ב.ל 2019'!AA36</f>
        <v>0</v>
      </c>
      <c r="AB36" s="3">
        <f>'תקציב אגף ת.ב.ל 2019'!AB36</f>
        <v>810000</v>
      </c>
      <c r="AC36" s="266"/>
      <c r="AD36" s="247"/>
      <c r="AE36" s="247"/>
      <c r="AF36" s="247"/>
      <c r="AG36" s="34"/>
      <c r="AH36" s="30"/>
      <c r="AI36" s="447"/>
      <c r="AJ36" s="448"/>
      <c r="AK36" s="449"/>
      <c r="AL36" s="451"/>
      <c r="AM36" s="451"/>
      <c r="AN36" s="451"/>
      <c r="AO36" s="451"/>
      <c r="AP36" s="452"/>
      <c r="AQ36" s="453"/>
    </row>
    <row r="37" spans="1:43" s="5" customFormat="1" ht="28">
      <c r="A37" s="3">
        <f t="shared" si="5"/>
        <v>28</v>
      </c>
      <c r="B37" s="3">
        <v>1883</v>
      </c>
      <c r="C37" s="3" t="s">
        <v>221</v>
      </c>
      <c r="D37" s="4">
        <f>'תקציב אגף ת.ב.ל 2019'!D38</f>
        <v>26215000</v>
      </c>
      <c r="E37" s="4">
        <f>'תקציב אגף ת.ב.ל 2019'!E38</f>
        <v>26115000</v>
      </c>
      <c r="F37" s="4">
        <f>'תקציב אגף ת.ב.ל 2019'!F38</f>
        <v>100000</v>
      </c>
      <c r="G37" s="4">
        <f>'תקציב אגף ת.ב.ל 2019'!G38</f>
        <v>26115000</v>
      </c>
      <c r="H37" s="4">
        <f>'תקציב אגף ת.ב.ל 2019'!H38</f>
        <v>15254644.43</v>
      </c>
      <c r="I37" s="4">
        <f>'תקציב אגף ת.ב.ל 2019'!I38</f>
        <v>9525412</v>
      </c>
      <c r="J37" s="4">
        <f>'תקציב אגף ת.ב.ל 2019'!J38</f>
        <v>521548.07</v>
      </c>
      <c r="K37" s="4">
        <f>'תקציב אגף ת.ב.ל 2019'!K38</f>
        <v>10046960.07</v>
      </c>
      <c r="L37" s="4">
        <f>'תקציב אגף ת.ב.ל 2019'!L38</f>
        <v>25301604.5</v>
      </c>
      <c r="M37" s="4">
        <f>'תקציב אגף ת.ב.ל 2019'!M38</f>
        <v>813395.5</v>
      </c>
      <c r="N37" s="4">
        <f>'תקציב אגף ת.ב.ל 2019'!N38</f>
        <v>100000</v>
      </c>
      <c r="O37" s="4">
        <f>'תקציב אגף ת.ב.ל 2019'!O38</f>
        <v>0</v>
      </c>
      <c r="P37" s="4">
        <f>'תקציב אגף ת.ב.ל 2019'!P38</f>
        <v>813395.5</v>
      </c>
      <c r="Q37" s="4">
        <f>'תקציב אגף ת.ב.ל 2019'!Q38</f>
        <v>0</v>
      </c>
      <c r="R37" s="4">
        <f>'תקציב אגף ת.ב.ל 2019'!R38</f>
        <v>0</v>
      </c>
      <c r="S37" s="4">
        <f>'תקציב אגף ת.ב.ל 2019'!S38</f>
        <v>0</v>
      </c>
      <c r="T37" s="4">
        <f>'תקציב אגף ת.ב.ל 2019'!T38</f>
        <v>0</v>
      </c>
      <c r="U37" s="4">
        <f>'תקציב אגף ת.ב.ל 2019'!U38</f>
        <v>100000</v>
      </c>
      <c r="V37" s="4">
        <f>'תקציב אגף ת.ב.ל 2019'!V38</f>
        <v>0</v>
      </c>
      <c r="W37" s="4">
        <f>'תקציב אגף ת.ב.ל 2019'!W38</f>
        <v>100000</v>
      </c>
      <c r="X37" s="4">
        <f>'תקציב אגף ת.ב.ל 2019'!X38</f>
        <v>0</v>
      </c>
      <c r="Y37" s="4">
        <f>'תקציב אגף ת.ב.ל 2019'!Y38</f>
        <v>0</v>
      </c>
      <c r="Z37" s="4">
        <f>'תקציב אגף ת.ב.ל 2019'!Z38</f>
        <v>0</v>
      </c>
      <c r="AA37" s="124" t="str">
        <f>'תקציב אגף ת.ב.ל 2019'!AA38</f>
        <v>ב - 2019: הצטיידות אולם הספורט בר אילן.</v>
      </c>
      <c r="AB37" s="3">
        <f>'תקציב אגף ת.ב.ל 2019'!AB38</f>
        <v>810000</v>
      </c>
      <c r="AC37" s="266"/>
      <c r="AD37" s="247"/>
      <c r="AE37" s="247"/>
      <c r="AF37" s="247"/>
      <c r="AG37" s="34"/>
      <c r="AH37" s="30"/>
      <c r="AI37" s="447"/>
      <c r="AJ37" s="448"/>
      <c r="AK37" s="449"/>
      <c r="AL37" s="31"/>
      <c r="AM37" s="31"/>
      <c r="AN37" s="30"/>
      <c r="AO37" s="30"/>
      <c r="AP37" s="30"/>
    </row>
    <row r="38" spans="1:43" s="5" customFormat="1">
      <c r="A38" s="3">
        <f t="shared" si="5"/>
        <v>29</v>
      </c>
      <c r="B38" s="3">
        <v>1884</v>
      </c>
      <c r="C38" s="3" t="s">
        <v>222</v>
      </c>
      <c r="D38" s="4">
        <f>'תקציב אגף ת.ב.ל 2019'!D39</f>
        <v>2100000</v>
      </c>
      <c r="E38" s="4">
        <f>'תקציב אגף ת.ב.ל 2019'!E39</f>
        <v>2100000</v>
      </c>
      <c r="F38" s="4">
        <f>'תקציב אגף ת.ב.ל 2019'!F39</f>
        <v>0</v>
      </c>
      <c r="G38" s="4">
        <f>'תקציב אגף ת.ב.ל 2019'!G39</f>
        <v>2100000</v>
      </c>
      <c r="H38" s="4">
        <f>'תקציב אגף ת.ב.ל 2019'!H39</f>
        <v>2069481.78</v>
      </c>
      <c r="I38" s="4">
        <f>'תקציב אגף ת.ב.ל 2019'!I39</f>
        <v>0</v>
      </c>
      <c r="J38" s="4">
        <f>'תקציב אגף ת.ב.ל 2019'!J39</f>
        <v>28954.57</v>
      </c>
      <c r="K38" s="4">
        <f>'תקציב אגף ת.ב.ל 2019'!K39</f>
        <v>28954.57</v>
      </c>
      <c r="L38" s="4">
        <f>'תקציב אגף ת.ב.ל 2019'!L39</f>
        <v>2098436.35</v>
      </c>
      <c r="M38" s="4">
        <f>'תקציב אגף ת.ב.ל 2019'!M39</f>
        <v>1563.6499999999069</v>
      </c>
      <c r="N38" s="4">
        <f>'תקציב אגף ת.ב.ל 2019'!N39</f>
        <v>0</v>
      </c>
      <c r="O38" s="4">
        <f>'תקציב אגף ת.ב.ל 2019'!O39</f>
        <v>0</v>
      </c>
      <c r="P38" s="4">
        <f>'תקציב אגף ת.ב.ל 2019'!P39</f>
        <v>1563.6499999999069</v>
      </c>
      <c r="Q38" s="4">
        <f>'תקציב אגף ת.ב.ל 2019'!Q39</f>
        <v>0</v>
      </c>
      <c r="R38" s="4">
        <f>'תקציב אגף ת.ב.ל 2019'!R39</f>
        <v>0</v>
      </c>
      <c r="S38" s="4">
        <f>'תקציב אגף ת.ב.ל 2019'!S39</f>
        <v>0</v>
      </c>
      <c r="T38" s="4">
        <f>'תקציב אגף ת.ב.ל 2019'!T39</f>
        <v>0</v>
      </c>
      <c r="U38" s="4">
        <f>'תקציב אגף ת.ב.ל 2019'!U39</f>
        <v>0</v>
      </c>
      <c r="V38" s="4">
        <f>'תקציב אגף ת.ב.ל 2019'!V39</f>
        <v>0</v>
      </c>
      <c r="W38" s="4">
        <f>'תקציב אגף ת.ב.ל 2019'!W39</f>
        <v>0</v>
      </c>
      <c r="X38" s="4">
        <f>'תקציב אגף ת.ב.ל 2019'!X39</f>
        <v>0</v>
      </c>
      <c r="Y38" s="4">
        <f>'תקציב אגף ת.ב.ל 2019'!Y39</f>
        <v>0</v>
      </c>
      <c r="Z38" s="4">
        <f>'תקציב אגף ת.ב.ל 2019'!Z39</f>
        <v>0</v>
      </c>
      <c r="AA38" s="124">
        <f>'תקציב אגף ת.ב.ל 2019'!AA39</f>
        <v>0</v>
      </c>
      <c r="AB38" s="3">
        <f>'תקציב אגף ת.ב.ל 2019'!AB39</f>
        <v>810000</v>
      </c>
      <c r="AC38" s="266"/>
      <c r="AD38" s="247"/>
      <c r="AE38" s="247"/>
      <c r="AF38" s="247"/>
      <c r="AG38" s="34"/>
      <c r="AH38" s="30"/>
      <c r="AI38" s="447"/>
      <c r="AJ38" s="448"/>
      <c r="AK38" s="449"/>
      <c r="AL38" s="31"/>
      <c r="AM38" s="31"/>
      <c r="AN38" s="30"/>
      <c r="AO38" s="30"/>
      <c r="AP38" s="30"/>
    </row>
    <row r="39" spans="1:43" s="5" customFormat="1">
      <c r="A39" s="3">
        <f t="shared" si="5"/>
        <v>30</v>
      </c>
      <c r="B39" s="3">
        <v>1885</v>
      </c>
      <c r="C39" s="3" t="s">
        <v>258</v>
      </c>
      <c r="D39" s="4">
        <f>'תקציב אגף ת.ב.ל 2019'!D40</f>
        <v>300000</v>
      </c>
      <c r="E39" s="4">
        <f>'תקציב אגף ת.ב.ל 2019'!E40</f>
        <v>300000</v>
      </c>
      <c r="F39" s="4">
        <f>'תקציב אגף ת.ב.ל 2019'!F40</f>
        <v>0</v>
      </c>
      <c r="G39" s="4">
        <f>'תקציב אגף ת.ב.ל 2019'!G40</f>
        <v>300000</v>
      </c>
      <c r="H39" s="4">
        <f>'תקציב אגף ת.ב.ל 2019'!H40</f>
        <v>288973</v>
      </c>
      <c r="I39" s="4">
        <f>'תקציב אגף ת.ב.ל 2019'!I40</f>
        <v>2080.2600000000002</v>
      </c>
      <c r="J39" s="4">
        <f>'תקציב אגף ת.ב.ל 2019'!J40</f>
        <v>0</v>
      </c>
      <c r="K39" s="4">
        <f>'תקציב אגף ת.ב.ל 2019'!K40</f>
        <v>2080.2600000000002</v>
      </c>
      <c r="L39" s="4">
        <f>'תקציב אגף ת.ב.ל 2019'!L40</f>
        <v>291053.26</v>
      </c>
      <c r="M39" s="4">
        <f>'תקציב אגף ת.ב.ל 2019'!M40</f>
        <v>8946.7399999999907</v>
      </c>
      <c r="N39" s="4">
        <f>'תקציב אגף ת.ב.ל 2019'!N40</f>
        <v>0</v>
      </c>
      <c r="O39" s="4">
        <f>'תקציב אגף ת.ב.ל 2019'!O40</f>
        <v>0</v>
      </c>
      <c r="P39" s="4">
        <f>'תקציב אגף ת.ב.ל 2019'!P40</f>
        <v>8946.7399999999907</v>
      </c>
      <c r="Q39" s="4">
        <f>'תקציב אגף ת.ב.ל 2019'!Q40</f>
        <v>0</v>
      </c>
      <c r="R39" s="4">
        <f>'תקציב אגף ת.ב.ל 2019'!R40</f>
        <v>0</v>
      </c>
      <c r="S39" s="4">
        <f>'תקציב אגף ת.ב.ל 2019'!S40</f>
        <v>0</v>
      </c>
      <c r="T39" s="4">
        <f>'תקציב אגף ת.ב.ל 2019'!T40</f>
        <v>0</v>
      </c>
      <c r="U39" s="4">
        <f>'תקציב אגף ת.ב.ל 2019'!U40</f>
        <v>0</v>
      </c>
      <c r="V39" s="4">
        <f>'תקציב אגף ת.ב.ל 2019'!V40</f>
        <v>0</v>
      </c>
      <c r="W39" s="4">
        <f>'תקציב אגף ת.ב.ל 2019'!W40</f>
        <v>0</v>
      </c>
      <c r="X39" s="4">
        <f>'תקציב אגף ת.ב.ל 2019'!X40</f>
        <v>0</v>
      </c>
      <c r="Y39" s="4">
        <f>'תקציב אגף ת.ב.ל 2019'!Y40</f>
        <v>0</v>
      </c>
      <c r="Z39" s="4">
        <f>'תקציב אגף ת.ב.ל 2019'!Z40</f>
        <v>0</v>
      </c>
      <c r="AA39" s="124">
        <f>'תקציב אגף ת.ב.ל 2019'!AA40</f>
        <v>0</v>
      </c>
      <c r="AB39" s="3">
        <f>'תקציב אגף ת.ב.ל 2019'!AB40</f>
        <v>810000</v>
      </c>
      <c r="AC39" s="266"/>
      <c r="AD39" s="247"/>
      <c r="AE39" s="247"/>
      <c r="AF39" s="247"/>
      <c r="AG39" s="34"/>
      <c r="AH39" s="30"/>
      <c r="AI39" s="447"/>
      <c r="AJ39" s="448"/>
      <c r="AK39" s="449"/>
      <c r="AL39" s="31"/>
      <c r="AM39" s="31"/>
      <c r="AN39" s="30"/>
      <c r="AO39" s="30"/>
      <c r="AP39" s="30"/>
    </row>
    <row r="40" spans="1:43" s="453" customFormat="1">
      <c r="A40" s="3">
        <f t="shared" si="5"/>
        <v>31</v>
      </c>
      <c r="B40" s="3">
        <v>1886</v>
      </c>
      <c r="C40" s="3" t="s">
        <v>305</v>
      </c>
      <c r="D40" s="4">
        <f>'תקציב אגף ת.ב.ל 2019'!D41</f>
        <v>4830000</v>
      </c>
      <c r="E40" s="4">
        <f>'תקציב אגף ת.ב.ל 2019'!E41</f>
        <v>4830000</v>
      </c>
      <c r="F40" s="4">
        <f>'תקציב אגף ת.ב.ל 2019'!F41</f>
        <v>0</v>
      </c>
      <c r="G40" s="4">
        <f>'תקציב אגף ת.ב.ל 2019'!G41</f>
        <v>4830000</v>
      </c>
      <c r="H40" s="4">
        <f>'תקציב אגף ת.ב.ל 2019'!H41</f>
        <v>4617996.9400000004</v>
      </c>
      <c r="I40" s="4">
        <f>'תקציב אגף ת.ב.ל 2019'!I41</f>
        <v>0</v>
      </c>
      <c r="J40" s="4">
        <f>'תקציב אגף ת.ב.ל 2019'!J41</f>
        <v>5630</v>
      </c>
      <c r="K40" s="4">
        <f>'תקציב אגף ת.ב.ל 2019'!K41</f>
        <v>5630</v>
      </c>
      <c r="L40" s="4">
        <f>'תקציב אגף ת.ב.ל 2019'!L41</f>
        <v>4623626.9400000004</v>
      </c>
      <c r="M40" s="4">
        <f>'תקציב אגף ת.ב.ל 2019'!M41</f>
        <v>206373.05999999959</v>
      </c>
      <c r="N40" s="4">
        <f>'תקציב אגף ת.ב.ל 2019'!N41</f>
        <v>0</v>
      </c>
      <c r="O40" s="4">
        <f>'תקציב אגף ת.ב.ל 2019'!O41</f>
        <v>0</v>
      </c>
      <c r="P40" s="4">
        <f>'תקציב אגף ת.ב.ל 2019'!P41</f>
        <v>206373.05999999959</v>
      </c>
      <c r="Q40" s="4">
        <f>'תקציב אגף ת.ב.ל 2019'!Q41</f>
        <v>0</v>
      </c>
      <c r="R40" s="4">
        <f>'תקציב אגף ת.ב.ל 2019'!R41</f>
        <v>0</v>
      </c>
      <c r="S40" s="4">
        <f>'תקציב אגף ת.ב.ל 2019'!S41</f>
        <v>0</v>
      </c>
      <c r="T40" s="4">
        <f>'תקציב אגף ת.ב.ל 2019'!T41</f>
        <v>0</v>
      </c>
      <c r="U40" s="4">
        <f>'תקציב אגף ת.ב.ל 2019'!U41</f>
        <v>0</v>
      </c>
      <c r="V40" s="4">
        <f>'תקציב אגף ת.ב.ל 2019'!V41</f>
        <v>0</v>
      </c>
      <c r="W40" s="4">
        <f>'תקציב אגף ת.ב.ל 2019'!W41</f>
        <v>0</v>
      </c>
      <c r="X40" s="4">
        <f>'תקציב אגף ת.ב.ל 2019'!X41</f>
        <v>0</v>
      </c>
      <c r="Y40" s="4">
        <f>'תקציב אגף ת.ב.ל 2019'!Y41</f>
        <v>0</v>
      </c>
      <c r="Z40" s="4">
        <f>'תקציב אגף ת.ב.ל 2019'!Z41</f>
        <v>0</v>
      </c>
      <c r="AA40" s="124">
        <f>'תקציב אגף ת.ב.ל 2019'!AA41</f>
        <v>0</v>
      </c>
      <c r="AB40" s="3">
        <f>'תקציב אגף ת.ב.ל 2019'!AB41</f>
        <v>810000</v>
      </c>
      <c r="AC40" s="266"/>
      <c r="AD40" s="247"/>
      <c r="AE40" s="247"/>
      <c r="AF40" s="247"/>
      <c r="AG40" s="34"/>
      <c r="AH40" s="30"/>
      <c r="AI40" s="447"/>
      <c r="AJ40" s="448"/>
      <c r="AK40" s="449"/>
      <c r="AL40" s="31"/>
      <c r="AM40" s="31"/>
      <c r="AN40" s="30"/>
      <c r="AO40" s="30"/>
      <c r="AP40" s="30"/>
      <c r="AQ40" s="5"/>
    </row>
    <row r="41" spans="1:43" s="5" customFormat="1" ht="42">
      <c r="A41" s="3">
        <f t="shared" si="5"/>
        <v>32</v>
      </c>
      <c r="B41" s="3">
        <v>1887</v>
      </c>
      <c r="C41" s="3" t="s">
        <v>223</v>
      </c>
      <c r="D41" s="4">
        <f>'תקציב אגף ת.ב.ל 2019'!D42</f>
        <v>5200000</v>
      </c>
      <c r="E41" s="4">
        <f>'תקציב אגף ת.ב.ל 2019'!E42</f>
        <v>4200000</v>
      </c>
      <c r="F41" s="4">
        <f>'תקציב אגף ת.ב.ל 2019'!F42</f>
        <v>1000000</v>
      </c>
      <c r="G41" s="4">
        <f>'תקציב אגף ת.ב.ל 2019'!G42</f>
        <v>4200000</v>
      </c>
      <c r="H41" s="4">
        <f>'תקציב אגף ת.ב.ל 2019'!H42</f>
        <v>841218</v>
      </c>
      <c r="I41" s="4">
        <f>'תקציב אגף ת.ב.ל 2019'!I42</f>
        <v>41365</v>
      </c>
      <c r="J41" s="4">
        <f>'תקציב אגף ת.ב.ל 2019'!J42</f>
        <v>234592</v>
      </c>
      <c r="K41" s="4">
        <f>'תקציב אגף ת.ב.ל 2019'!K42</f>
        <v>275957</v>
      </c>
      <c r="L41" s="4">
        <f>'תקציב אגף ת.ב.ל 2019'!L42</f>
        <v>1117175</v>
      </c>
      <c r="M41" s="4">
        <f>'תקציב אגף ת.ב.ל 2019'!M42</f>
        <v>3082825</v>
      </c>
      <c r="N41" s="4">
        <f>'תקציב אגף ת.ב.ל 2019'!N42</f>
        <v>1000000</v>
      </c>
      <c r="O41" s="4">
        <f>'תקציב אגף ת.ב.ל 2019'!O42</f>
        <v>0</v>
      </c>
      <c r="P41" s="4">
        <f>'תקציב אגף ת.ב.ל 2019'!P42</f>
        <v>3082825</v>
      </c>
      <c r="Q41" s="4">
        <f>'תקציב אגף ת.ב.ל 2019'!Q42</f>
        <v>0</v>
      </c>
      <c r="R41" s="4">
        <f>'תקציב אגף ת.ב.ל 2019'!R42</f>
        <v>0</v>
      </c>
      <c r="S41" s="4">
        <f>'תקציב אגף ת.ב.ל 2019'!S42</f>
        <v>0</v>
      </c>
      <c r="T41" s="4">
        <f>'תקציב אגף ת.ב.ל 2019'!T42</f>
        <v>0</v>
      </c>
      <c r="U41" s="4">
        <f>'תקציב אגף ת.ב.ל 2019'!U42</f>
        <v>1000000</v>
      </c>
      <c r="V41" s="4">
        <f>'תקציב אגף ת.ב.ל 2019'!V42</f>
        <v>0</v>
      </c>
      <c r="W41" s="4">
        <f>'תקציב אגף ת.ב.ל 2019'!W42</f>
        <v>1000000</v>
      </c>
      <c r="X41" s="4">
        <f>'תקציב אגף ת.ב.ל 2019'!X42</f>
        <v>0</v>
      </c>
      <c r="Y41" s="4">
        <f>'תקציב אגף ת.ב.ל 2019'!Y42</f>
        <v>0</v>
      </c>
      <c r="Z41" s="4">
        <f>'תקציב אגף ת.ב.ל 2019'!Z42</f>
        <v>0</v>
      </c>
      <c r="AA41" s="124" t="str">
        <f>'תקציב אגף ת.ב.ל 2019'!AA42</f>
        <v>שלב ב' של עבודות שיפוצים יסודיים הרחבות בקומת הקרקע, מטבח, חזיתות.</v>
      </c>
      <c r="AB41" s="3">
        <f>'תקציב אגף ת.ב.ל 2019'!AB42</f>
        <v>810000</v>
      </c>
      <c r="AC41" s="266"/>
      <c r="AD41" s="247"/>
      <c r="AE41" s="247"/>
      <c r="AF41" s="247"/>
      <c r="AG41" s="34"/>
      <c r="AH41" s="30"/>
      <c r="AI41" s="447"/>
      <c r="AJ41" s="448"/>
      <c r="AK41" s="30"/>
      <c r="AL41" s="31"/>
      <c r="AM41" s="31"/>
      <c r="AN41" s="30"/>
      <c r="AO41" s="30"/>
      <c r="AP41" s="30"/>
    </row>
    <row r="42" spans="1:43" s="5" customFormat="1" ht="28">
      <c r="A42" s="3">
        <f t="shared" si="5"/>
        <v>33</v>
      </c>
      <c r="B42" s="3">
        <v>1889</v>
      </c>
      <c r="C42" s="3" t="s">
        <v>232</v>
      </c>
      <c r="D42" s="4">
        <f>'תקציב אגף ת.ב.ל 2019'!D43</f>
        <v>1400000</v>
      </c>
      <c r="E42" s="4">
        <f>'תקציב אגף ת.ב.ל 2019'!E43</f>
        <v>1450000</v>
      </c>
      <c r="F42" s="4">
        <f>'תקציב אגף ת.ב.ל 2019'!F43</f>
        <v>-50000</v>
      </c>
      <c r="G42" s="4">
        <f>'תקציב אגף ת.ב.ל 2019'!G43</f>
        <v>1450000</v>
      </c>
      <c r="H42" s="4">
        <f>'תקציב אגף ת.ב.ל 2019'!H43</f>
        <v>1381767</v>
      </c>
      <c r="I42" s="4">
        <f>'תקציב אגף ת.ב.ל 2019'!I43</f>
        <v>13781.43</v>
      </c>
      <c r="J42" s="4">
        <f>'תקציב אגף ת.ב.ל 2019'!J43</f>
        <v>0</v>
      </c>
      <c r="K42" s="4">
        <f>'תקציב אגף ת.ב.ל 2019'!K43</f>
        <v>13781.43</v>
      </c>
      <c r="L42" s="4">
        <f>'תקציב אגף ת.ב.ל 2019'!L43</f>
        <v>1395548.43</v>
      </c>
      <c r="M42" s="4">
        <f>'תקציב אגף ת.ב.ל 2019'!M43</f>
        <v>4451.5700000000652</v>
      </c>
      <c r="N42" s="4">
        <f>'תקציב אגף ת.ב.ל 2019'!N43</f>
        <v>0</v>
      </c>
      <c r="O42" s="4">
        <f>'תקציב אגף ת.ב.ל 2019'!O43</f>
        <v>0</v>
      </c>
      <c r="P42" s="4">
        <f>'תקציב אגף ת.ב.ל 2019'!P43</f>
        <v>54451.570000000065</v>
      </c>
      <c r="Q42" s="4">
        <f>'תקציב אגף ת.ב.ל 2019'!Q43</f>
        <v>0</v>
      </c>
      <c r="R42" s="4">
        <f>'תקציב אגף ת.ב.ל 2019'!R43</f>
        <v>0</v>
      </c>
      <c r="S42" s="4">
        <f>'תקציב אגף ת.ב.ל 2019'!S43</f>
        <v>0</v>
      </c>
      <c r="T42" s="4">
        <f>'תקציב אגף ת.ב.ל 2019'!T43</f>
        <v>50000</v>
      </c>
      <c r="U42" s="4">
        <f>'תקציב אגף ת.ב.ל 2019'!U43</f>
        <v>-50000</v>
      </c>
      <c r="V42" s="4">
        <f>'תקציב אגף ת.ב.ל 2019'!V43</f>
        <v>0</v>
      </c>
      <c r="W42" s="4">
        <f>'תקציב אגף ת.ב.ל 2019'!W43</f>
        <v>-50000</v>
      </c>
      <c r="X42" s="4">
        <f>'תקציב אגף ת.ב.ל 2019'!X43</f>
        <v>0</v>
      </c>
      <c r="Y42" s="4">
        <f>'תקציב אגף ת.ב.ל 2019'!Y43</f>
        <v>0</v>
      </c>
      <c r="Z42" s="4">
        <f>'תקציב אגף ת.ב.ל 2019'!Z43</f>
        <v>0</v>
      </c>
      <c r="AA42" s="124">
        <f>'תקציב אגף ת.ב.ל 2019'!AA43</f>
        <v>0</v>
      </c>
      <c r="AB42" s="3">
        <f>'תקציב אגף ת.ב.ל 2019'!AB43</f>
        <v>810000</v>
      </c>
      <c r="AC42" s="266"/>
      <c r="AD42" s="247"/>
      <c r="AE42" s="247"/>
      <c r="AF42" s="247"/>
      <c r="AG42" s="34"/>
      <c r="AH42" s="30"/>
      <c r="AI42" s="447"/>
      <c r="AJ42" s="448"/>
      <c r="AK42" s="449"/>
      <c r="AL42" s="31"/>
      <c r="AM42" s="31"/>
      <c r="AN42" s="30"/>
      <c r="AO42" s="30"/>
      <c r="AP42" s="30"/>
    </row>
    <row r="43" spans="1:43" s="5" customFormat="1">
      <c r="A43" s="3">
        <f t="shared" si="5"/>
        <v>34</v>
      </c>
      <c r="B43" s="3">
        <v>1900</v>
      </c>
      <c r="C43" s="3" t="s">
        <v>224</v>
      </c>
      <c r="D43" s="4">
        <f>'תקציב אגף ת.ב.ל 2019'!D44</f>
        <v>700000</v>
      </c>
      <c r="E43" s="4">
        <f>'תקציב אגף ת.ב.ל 2019'!E44</f>
        <v>700000</v>
      </c>
      <c r="F43" s="4">
        <f>'תקציב אגף ת.ב.ל 2019'!F44</f>
        <v>0</v>
      </c>
      <c r="G43" s="4">
        <f>'תקציב אגף ת.ב.ל 2019'!G44</f>
        <v>700000</v>
      </c>
      <c r="H43" s="4">
        <f>'תקציב אגף ת.ב.ל 2019'!H44</f>
        <v>0</v>
      </c>
      <c r="I43" s="4">
        <f>'תקציב אגף ת.ב.ל 2019'!I44</f>
        <v>522410.57</v>
      </c>
      <c r="J43" s="4">
        <f>'תקציב אגף ת.ב.ל 2019'!J44</f>
        <v>0</v>
      </c>
      <c r="K43" s="4">
        <f>'תקציב אגף ת.ב.ל 2019'!K44</f>
        <v>522410.57</v>
      </c>
      <c r="L43" s="4">
        <f>'תקציב אגף ת.ב.ל 2019'!L44</f>
        <v>522410.57</v>
      </c>
      <c r="M43" s="4">
        <f>'תקציב אגף ת.ב.ל 2019'!M44</f>
        <v>177589.43</v>
      </c>
      <c r="N43" s="4">
        <f>'תקציב אגף ת.ב.ל 2019'!N44</f>
        <v>0</v>
      </c>
      <c r="O43" s="4">
        <f>'תקציב אגף ת.ב.ל 2019'!O44</f>
        <v>0</v>
      </c>
      <c r="P43" s="4">
        <f>'תקציב אגף ת.ב.ל 2019'!P44</f>
        <v>177589.43</v>
      </c>
      <c r="Q43" s="4">
        <f>'תקציב אגף ת.ב.ל 2019'!Q44</f>
        <v>0</v>
      </c>
      <c r="R43" s="4">
        <f>'תקציב אגף ת.ב.ל 2019'!R44</f>
        <v>0</v>
      </c>
      <c r="S43" s="4">
        <f>'תקציב אגף ת.ב.ל 2019'!S44</f>
        <v>0</v>
      </c>
      <c r="T43" s="4">
        <f>'תקציב אגף ת.ב.ל 2019'!T44</f>
        <v>0</v>
      </c>
      <c r="U43" s="4">
        <f>'תקציב אגף ת.ב.ל 2019'!U44</f>
        <v>0</v>
      </c>
      <c r="V43" s="4">
        <f>'תקציב אגף ת.ב.ל 2019'!V44</f>
        <v>0</v>
      </c>
      <c r="W43" s="4">
        <f>'תקציב אגף ת.ב.ל 2019'!W44</f>
        <v>0</v>
      </c>
      <c r="X43" s="4">
        <f>'תקציב אגף ת.ב.ל 2019'!X44</f>
        <v>0</v>
      </c>
      <c r="Y43" s="4">
        <f>'תקציב אגף ת.ב.ל 2019'!Y44</f>
        <v>0</v>
      </c>
      <c r="Z43" s="4">
        <f>'תקציב אגף ת.ב.ל 2019'!Z44</f>
        <v>0</v>
      </c>
      <c r="AA43" s="124">
        <f>'תקציב אגף ת.ב.ל 2019'!AA44</f>
        <v>0</v>
      </c>
      <c r="AB43" s="3">
        <f>'תקציב אגף ת.ב.ל 2019'!AB44</f>
        <v>810000</v>
      </c>
      <c r="AC43" s="266"/>
      <c r="AD43" s="247"/>
      <c r="AE43" s="247"/>
      <c r="AF43" s="247"/>
      <c r="AG43" s="34"/>
      <c r="AH43" s="30"/>
      <c r="AI43" s="447"/>
      <c r="AJ43" s="448"/>
      <c r="AK43" s="449"/>
      <c r="AL43" s="31"/>
      <c r="AM43" s="31"/>
      <c r="AN43" s="31"/>
      <c r="AO43" s="31"/>
      <c r="AP43" s="30"/>
    </row>
    <row r="44" spans="1:43" s="5" customFormat="1" ht="28">
      <c r="A44" s="3">
        <f t="shared" si="5"/>
        <v>35</v>
      </c>
      <c r="B44" s="3">
        <v>1931</v>
      </c>
      <c r="C44" s="3" t="s">
        <v>231</v>
      </c>
      <c r="D44" s="4">
        <f>'תקציב אגף ת.ב.ל 2019'!D47</f>
        <v>831000</v>
      </c>
      <c r="E44" s="4">
        <f>'תקציב אגף ת.ב.ל 2019'!E47</f>
        <v>831000</v>
      </c>
      <c r="F44" s="4">
        <f>'תקציב אגף ת.ב.ל 2019'!F47</f>
        <v>0</v>
      </c>
      <c r="G44" s="4">
        <f>'תקציב אגף ת.ב.ל 2019'!G47</f>
        <v>831000</v>
      </c>
      <c r="H44" s="4">
        <f>'תקציב אגף ת.ב.ל 2019'!H47</f>
        <v>766233</v>
      </c>
      <c r="I44" s="4">
        <f>'תקציב אגף ת.ב.ל 2019'!I47</f>
        <v>0</v>
      </c>
      <c r="J44" s="4">
        <f>'תקציב אגף ת.ב.ל 2019'!J47</f>
        <v>58500</v>
      </c>
      <c r="K44" s="4">
        <f>'תקציב אגף ת.ב.ל 2019'!K47</f>
        <v>58500</v>
      </c>
      <c r="L44" s="4">
        <f>'תקציב אגף ת.ב.ל 2019'!L47</f>
        <v>824733</v>
      </c>
      <c r="M44" s="4">
        <f>'תקציב אגף ת.ב.ל 2019'!M47</f>
        <v>6267</v>
      </c>
      <c r="N44" s="4">
        <f>'תקציב אגף ת.ב.ל 2019'!N47</f>
        <v>0</v>
      </c>
      <c r="O44" s="4">
        <f>'תקציב אגף ת.ב.ל 2019'!O47</f>
        <v>0</v>
      </c>
      <c r="P44" s="4">
        <f>'תקציב אגף ת.ב.ל 2019'!P47</f>
        <v>6267</v>
      </c>
      <c r="Q44" s="4">
        <f>'תקציב אגף ת.ב.ל 2019'!Q47</f>
        <v>0</v>
      </c>
      <c r="R44" s="4">
        <f>'תקציב אגף ת.ב.ל 2019'!R47</f>
        <v>0</v>
      </c>
      <c r="S44" s="4">
        <f>'תקציב אגף ת.ב.ל 2019'!S47</f>
        <v>0</v>
      </c>
      <c r="T44" s="4">
        <f>'תקציב אגף ת.ב.ל 2019'!T47</f>
        <v>0</v>
      </c>
      <c r="U44" s="4">
        <f>'תקציב אגף ת.ב.ל 2019'!U47</f>
        <v>0</v>
      </c>
      <c r="V44" s="4">
        <f>'תקציב אגף ת.ב.ל 2019'!V47</f>
        <v>0</v>
      </c>
      <c r="W44" s="4">
        <f>'תקציב אגף ת.ב.ל 2019'!W47</f>
        <v>0</v>
      </c>
      <c r="X44" s="4">
        <f>'תקציב אגף ת.ב.ל 2019'!X47</f>
        <v>0</v>
      </c>
      <c r="Y44" s="4">
        <f>'תקציב אגף ת.ב.ל 2019'!Y47</f>
        <v>0</v>
      </c>
      <c r="Z44" s="4">
        <f>'תקציב אגף ת.ב.ל 2019'!Z47</f>
        <v>0</v>
      </c>
      <c r="AA44" s="124">
        <f>'תקציב אגף ת.ב.ל 2019'!AA47</f>
        <v>0</v>
      </c>
      <c r="AB44" s="3">
        <f>'תקציב אגף ת.ב.ל 2019'!AB47</f>
        <v>810000</v>
      </c>
      <c r="AC44" s="266"/>
      <c r="AD44" s="247"/>
      <c r="AE44" s="247"/>
      <c r="AF44" s="247"/>
      <c r="AG44" s="34"/>
      <c r="AH44" s="30"/>
      <c r="AI44" s="447"/>
      <c r="AJ44" s="448"/>
      <c r="AK44" s="449"/>
      <c r="AL44" s="31"/>
      <c r="AM44" s="31"/>
      <c r="AN44" s="31"/>
      <c r="AO44" s="31"/>
      <c r="AP44" s="30"/>
    </row>
    <row r="45" spans="1:43" s="5" customFormat="1">
      <c r="A45" s="3">
        <f t="shared" si="5"/>
        <v>36</v>
      </c>
      <c r="B45" s="3">
        <v>1946</v>
      </c>
      <c r="C45" s="3" t="s">
        <v>760</v>
      </c>
      <c r="D45" s="4">
        <f>'תקציב אגף ת.ב.ל 2019'!D50</f>
        <v>890000</v>
      </c>
      <c r="E45" s="4">
        <f>'תקציב אגף ת.ב.ל 2019'!E50</f>
        <v>890000</v>
      </c>
      <c r="F45" s="4">
        <f>'תקציב אגף ת.ב.ל 2019'!F50</f>
        <v>0</v>
      </c>
      <c r="G45" s="4">
        <f>'תקציב אגף ת.ב.ל 2019'!G50</f>
        <v>890000</v>
      </c>
      <c r="H45" s="4">
        <f>'תקציב אגף ת.ב.ל 2019'!H50</f>
        <v>550267</v>
      </c>
      <c r="I45" s="4">
        <f>'תקציב אגף ת.ב.ל 2019'!I50</f>
        <v>0</v>
      </c>
      <c r="J45" s="4">
        <f>'תקציב אגף ת.ב.ל 2019'!J50</f>
        <v>51559</v>
      </c>
      <c r="K45" s="4">
        <f>'תקציב אגף ת.ב.ל 2019'!K50</f>
        <v>51559</v>
      </c>
      <c r="L45" s="4">
        <f>'תקציב אגף ת.ב.ל 2019'!L50</f>
        <v>601826</v>
      </c>
      <c r="M45" s="4">
        <f>'תקציב אגף ת.ב.ל 2019'!M50</f>
        <v>288174</v>
      </c>
      <c r="N45" s="4">
        <f>'תקציב אגף ת.ב.ל 2019'!N50</f>
        <v>0</v>
      </c>
      <c r="O45" s="4">
        <f>'תקציב אגף ת.ב.ל 2019'!O50</f>
        <v>0</v>
      </c>
      <c r="P45" s="4">
        <f>'תקציב אגף ת.ב.ל 2019'!P50</f>
        <v>288174</v>
      </c>
      <c r="Q45" s="4">
        <f>'תקציב אגף ת.ב.ל 2019'!Q50</f>
        <v>0</v>
      </c>
      <c r="R45" s="4">
        <f>'תקציב אגף ת.ב.ל 2019'!R50</f>
        <v>0</v>
      </c>
      <c r="S45" s="4">
        <f>'תקציב אגף ת.ב.ל 2019'!S50</f>
        <v>0</v>
      </c>
      <c r="T45" s="4">
        <f>'תקציב אגף ת.ב.ל 2019'!T50</f>
        <v>0</v>
      </c>
      <c r="U45" s="4">
        <f>'תקציב אגף ת.ב.ל 2019'!U50</f>
        <v>0</v>
      </c>
      <c r="V45" s="4">
        <f>'תקציב אגף ת.ב.ל 2019'!V50</f>
        <v>0</v>
      </c>
      <c r="W45" s="4">
        <f>'תקציב אגף ת.ב.ל 2019'!W50</f>
        <v>0</v>
      </c>
      <c r="X45" s="4">
        <f>'תקציב אגף ת.ב.ל 2019'!X50</f>
        <v>0</v>
      </c>
      <c r="Y45" s="4">
        <f>'תקציב אגף ת.ב.ל 2019'!Y50</f>
        <v>0</v>
      </c>
      <c r="Z45" s="4">
        <f>'תקציב אגף ת.ב.ל 2019'!Z50</f>
        <v>0</v>
      </c>
      <c r="AA45" s="124">
        <f>'תקציב אגף ת.ב.ל 2019'!AA50</f>
        <v>0</v>
      </c>
      <c r="AB45" s="3">
        <f>'תקציב אגף ת.ב.ל 2019'!AB50</f>
        <v>810000</v>
      </c>
      <c r="AC45" s="266"/>
      <c r="AD45" s="247"/>
      <c r="AE45" s="247"/>
      <c r="AF45" s="247"/>
      <c r="AG45" s="34"/>
      <c r="AH45" s="30"/>
      <c r="AI45" s="447"/>
      <c r="AJ45" s="448"/>
      <c r="AK45" s="449"/>
      <c r="AL45" s="31"/>
      <c r="AM45" s="31"/>
      <c r="AN45" s="31"/>
      <c r="AO45" s="31"/>
      <c r="AP45" s="30"/>
    </row>
    <row r="46" spans="1:43" s="5" customFormat="1" ht="42">
      <c r="A46" s="3">
        <f t="shared" si="5"/>
        <v>37</v>
      </c>
      <c r="B46" s="3">
        <v>1967</v>
      </c>
      <c r="C46" s="3" t="s">
        <v>262</v>
      </c>
      <c r="D46" s="4">
        <f>'תקציב אגף ת.ב.ל 2019'!D53</f>
        <v>12929000</v>
      </c>
      <c r="E46" s="4">
        <f>'תקציב אגף ת.ב.ל 2019'!E53</f>
        <v>3929000</v>
      </c>
      <c r="F46" s="4">
        <f>'תקציב אגף ת.ב.ל 2019'!F53</f>
        <v>9000000</v>
      </c>
      <c r="G46" s="4">
        <f>'תקציב אגף ת.ב.ל 2019'!G53</f>
        <v>2429000</v>
      </c>
      <c r="H46" s="4">
        <f>'תקציב אגף ת.ב.ל 2019'!H53</f>
        <v>379994.6</v>
      </c>
      <c r="I46" s="4">
        <f>'תקציב אגף ת.ב.ל 2019'!I53</f>
        <v>1538063.98</v>
      </c>
      <c r="J46" s="4">
        <f>'תקציב אגף ת.ב.ל 2019'!J53</f>
        <v>502180</v>
      </c>
      <c r="K46" s="4">
        <f>'תקציב אגף ת.ב.ל 2019'!K53</f>
        <v>2040243.98</v>
      </c>
      <c r="L46" s="4">
        <f>'תקציב אגף ת.ב.ל 2019'!L53</f>
        <v>2420238.58</v>
      </c>
      <c r="M46" s="4">
        <f>'תקציב אגף ת.ב.ל 2019'!M53</f>
        <v>8761.4199999999255</v>
      </c>
      <c r="N46" s="4">
        <f>'תקציב אגף ת.ב.ל 2019'!N53</f>
        <v>3380000</v>
      </c>
      <c r="O46" s="4">
        <f>'תקציב אגף ת.ב.ל 2019'!O53</f>
        <v>7120000</v>
      </c>
      <c r="P46" s="4">
        <f>'תקציב אגף ת.ב.ל 2019'!P53</f>
        <v>8761.4199999999255</v>
      </c>
      <c r="Q46" s="4">
        <f>'תקציב אגף ת.ב.ל 2019'!Q53</f>
        <v>0</v>
      </c>
      <c r="R46" s="4">
        <f>'תקציב אגף ת.ב.ל 2019'!R53</f>
        <v>0</v>
      </c>
      <c r="S46" s="4">
        <f>'תקציב אגף ת.ב.ל 2019'!S53</f>
        <v>0</v>
      </c>
      <c r="T46" s="4">
        <f>'תקציב אגף ת.ב.ל 2019'!T53</f>
        <v>0</v>
      </c>
      <c r="U46" s="4">
        <f>'תקציב אגף ת.ב.ל 2019'!U53</f>
        <v>3380000</v>
      </c>
      <c r="V46" s="4">
        <f>'תקציב אגף ת.ב.ל 2019'!V53</f>
        <v>3270000</v>
      </c>
      <c r="W46" s="4">
        <f>'תקציב אגף ת.ב.ל 2019'!W53</f>
        <v>0</v>
      </c>
      <c r="X46" s="4">
        <f>'תקציב אגף ת.ב.ל 2019'!X53</f>
        <v>0</v>
      </c>
      <c r="Y46" s="4">
        <f>'תקציב אגף ת.ב.ל 2019'!Y53</f>
        <v>0</v>
      </c>
      <c r="Z46" s="4">
        <f>'תקציב אגף ת.ב.ל 2019'!Z53</f>
        <v>110000</v>
      </c>
      <c r="AA46" s="124" t="str">
        <f>'תקציב אגף ת.ב.ל 2019'!AA53</f>
        <v>התקנת מעליות, שרותים ,רמפות בבי"ס עפ"י תוכנית רב שנתית.</v>
      </c>
      <c r="AB46" s="3">
        <f>'תקציב אגף ת.ב.ל 2019'!AB53</f>
        <v>810000</v>
      </c>
      <c r="AC46" s="266"/>
      <c r="AD46" s="247"/>
      <c r="AE46" s="247"/>
      <c r="AF46" s="247"/>
      <c r="AG46" s="34"/>
      <c r="AH46" s="30"/>
      <c r="AI46" s="447"/>
      <c r="AJ46" s="448"/>
      <c r="AK46" s="30"/>
      <c r="AL46" s="31"/>
      <c r="AM46" s="31"/>
      <c r="AN46" s="31"/>
      <c r="AO46" s="31"/>
      <c r="AP46" s="30"/>
    </row>
    <row r="47" spans="1:43" s="5" customFormat="1" ht="42">
      <c r="A47" s="3">
        <f t="shared" si="5"/>
        <v>38</v>
      </c>
      <c r="B47" s="3">
        <v>1969</v>
      </c>
      <c r="C47" s="3" t="s">
        <v>264</v>
      </c>
      <c r="D47" s="4">
        <f>'תקציב אגף ת.ב.ל 2019'!D55</f>
        <v>900000</v>
      </c>
      <c r="E47" s="4">
        <f>'תקציב אגף ת.ב.ל 2019'!E55</f>
        <v>1485000</v>
      </c>
      <c r="F47" s="4">
        <f>'תקציב אגף ת.ב.ל 2019'!F55</f>
        <v>-585000</v>
      </c>
      <c r="G47" s="4">
        <f>'תקציב אגף ת.ב.ל 2019'!G55</f>
        <v>900000</v>
      </c>
      <c r="H47" s="4">
        <f>'תקציב אגף ת.ב.ל 2019'!H55</f>
        <v>632558.23</v>
      </c>
      <c r="I47" s="4">
        <f>'תקציב אגף ת.ב.ל 2019'!I55</f>
        <v>0</v>
      </c>
      <c r="J47" s="4">
        <f>'תקציב אגף ת.ב.ל 2019'!J55</f>
        <v>43923</v>
      </c>
      <c r="K47" s="4">
        <f>'תקציב אגף ת.ב.ל 2019'!K55</f>
        <v>43923</v>
      </c>
      <c r="L47" s="4">
        <f>'תקציב אגף ת.ב.ל 2019'!L55</f>
        <v>676481.23</v>
      </c>
      <c r="M47" s="4">
        <f>'תקציב אגף ת.ב.ל 2019'!M55</f>
        <v>223518.77000000002</v>
      </c>
      <c r="N47" s="4">
        <f>'תקציב אגף ת.ב.ל 2019'!N55</f>
        <v>0</v>
      </c>
      <c r="O47" s="4">
        <f>'תקציב אגף ת.ב.ל 2019'!O55</f>
        <v>0</v>
      </c>
      <c r="P47" s="4">
        <f>'תקציב אגף ת.ב.ל 2019'!P55</f>
        <v>223518.77000000002</v>
      </c>
      <c r="Q47" s="4">
        <f>'תקציב אגף ת.ב.ל 2019'!Q55</f>
        <v>0</v>
      </c>
      <c r="R47" s="4">
        <f>'תקציב אגף ת.ב.ל 2019'!R55</f>
        <v>0</v>
      </c>
      <c r="S47" s="4">
        <f>'תקציב אגף ת.ב.ל 2019'!S55</f>
        <v>0</v>
      </c>
      <c r="T47" s="4">
        <f>'תקציב אגף ת.ב.ל 2019'!T55</f>
        <v>0</v>
      </c>
      <c r="U47" s="4">
        <f>'תקציב אגף ת.ב.ל 2019'!U55</f>
        <v>0</v>
      </c>
      <c r="V47" s="4">
        <f>'תקציב אגף ת.ב.ל 2019'!V55</f>
        <v>0</v>
      </c>
      <c r="W47" s="4">
        <f>'תקציב אגף ת.ב.ל 2019'!W55</f>
        <v>0</v>
      </c>
      <c r="X47" s="4">
        <f>'תקציב אגף ת.ב.ל 2019'!X55</f>
        <v>0</v>
      </c>
      <c r="Y47" s="4">
        <f>'תקציב אגף ת.ב.ל 2019'!Y55</f>
        <v>0</v>
      </c>
      <c r="Z47" s="4">
        <f>'תקציב אגף ת.ב.ל 2019'!Z55</f>
        <v>0</v>
      </c>
      <c r="AA47" s="124" t="str">
        <f>'תקציב אגף ת.ב.ל 2019'!AA55</f>
        <v>סל להחלפת ושדרוג תקרות אקוסטיות במוס"ח,בעקבות שדרוג התאורה</v>
      </c>
      <c r="AB47" s="3">
        <f>'תקציב אגף ת.ב.ל 2019'!AB55</f>
        <v>810000</v>
      </c>
      <c r="AC47" s="266"/>
      <c r="AD47" s="247"/>
      <c r="AE47" s="247"/>
      <c r="AF47" s="247"/>
      <c r="AG47" s="34"/>
      <c r="AH47" s="30"/>
      <c r="AI47" s="447"/>
      <c r="AJ47" s="448"/>
      <c r="AK47" s="449"/>
      <c r="AL47" s="31"/>
      <c r="AM47" s="31"/>
      <c r="AN47" s="31"/>
      <c r="AO47" s="31"/>
      <c r="AP47" s="30"/>
    </row>
    <row r="48" spans="1:43" s="5" customFormat="1" ht="56">
      <c r="A48" s="3">
        <f t="shared" si="5"/>
        <v>39</v>
      </c>
      <c r="B48" s="3">
        <v>1970</v>
      </c>
      <c r="C48" s="3" t="s">
        <v>294</v>
      </c>
      <c r="D48" s="4">
        <f>'תקציב אגף ת.ב.ל 2019'!D56</f>
        <v>13200000</v>
      </c>
      <c r="E48" s="4">
        <f>'תקציב אגף ת.ב.ל 2019'!E56</f>
        <v>7200000</v>
      </c>
      <c r="F48" s="4">
        <f>'תקציב אגף ת.ב.ל 2019'!F56</f>
        <v>6000000</v>
      </c>
      <c r="G48" s="4">
        <f>'תקציב אגף ת.ב.ל 2019'!G56</f>
        <v>7200000</v>
      </c>
      <c r="H48" s="4">
        <f>'תקציב אגף ת.ב.ל 2019'!H56</f>
        <v>3512620</v>
      </c>
      <c r="I48" s="4">
        <f>'תקציב אגף ת.ב.ל 2019'!I56</f>
        <v>277409</v>
      </c>
      <c r="J48" s="4">
        <f>'תקציב אגף ת.ב.ל 2019'!J56</f>
        <v>3028845</v>
      </c>
      <c r="K48" s="4">
        <f>'תקציב אגף ת.ב.ל 2019'!K56</f>
        <v>3306254</v>
      </c>
      <c r="L48" s="4">
        <f>'תקציב אגף ת.ב.ל 2019'!L56</f>
        <v>6818874</v>
      </c>
      <c r="M48" s="4">
        <f>'תקציב אגף ת.ב.ל 2019'!M56</f>
        <v>381126</v>
      </c>
      <c r="N48" s="4">
        <f>'תקציב אגף ת.ב.ל 2019'!N56</f>
        <v>6000000</v>
      </c>
      <c r="O48" s="4">
        <f>'תקציב אגף ת.ב.ל 2019'!O56</f>
        <v>0</v>
      </c>
      <c r="P48" s="4">
        <f>'תקציב אגף ת.ב.ל 2019'!P56</f>
        <v>381126</v>
      </c>
      <c r="Q48" s="4">
        <f>'תקציב אגף ת.ב.ל 2019'!Q56</f>
        <v>0</v>
      </c>
      <c r="R48" s="4">
        <f>'תקציב אגף ת.ב.ל 2019'!R56</f>
        <v>0</v>
      </c>
      <c r="S48" s="4">
        <f>'תקציב אגף ת.ב.ל 2019'!S56</f>
        <v>0</v>
      </c>
      <c r="T48" s="4">
        <f>'תקציב אגף ת.ב.ל 2019'!T56</f>
        <v>0</v>
      </c>
      <c r="U48" s="4">
        <f>'תקציב אגף ת.ב.ל 2019'!U56</f>
        <v>6000000</v>
      </c>
      <c r="V48" s="4">
        <f>'תקציב אגף ת.ב.ל 2019'!V56</f>
        <v>2000000</v>
      </c>
      <c r="W48" s="4">
        <f>'תקציב אגף ת.ב.ל 2019'!W56</f>
        <v>4000000</v>
      </c>
      <c r="X48" s="4">
        <f>'תקציב אגף ת.ב.ל 2019'!X56</f>
        <v>0</v>
      </c>
      <c r="Y48" s="4">
        <f>'תקציב אגף ת.ב.ל 2019'!Y56</f>
        <v>0</v>
      </c>
      <c r="Z48" s="4">
        <f>'תקציב אגף ת.ב.ל 2019'!Z56</f>
        <v>0</v>
      </c>
      <c r="AA48" s="124" t="str">
        <f>'תקציב אגף ת.ב.ל 2019'!AA56</f>
        <v>סל עבודות שיפוצים שונות במוס"ח לרבות שיפוצים יסודיים בגנ"י  על פי רשימה שתאושר ע"י הנהלת העיר.</v>
      </c>
      <c r="AB48" s="3">
        <f>'תקציב אגף ת.ב.ל 2019'!AB56</f>
        <v>810000</v>
      </c>
      <c r="AC48" s="266"/>
      <c r="AD48" s="247"/>
      <c r="AE48" s="247"/>
      <c r="AF48" s="247"/>
      <c r="AG48" s="34"/>
      <c r="AH48" s="30"/>
      <c r="AI48" s="447"/>
      <c r="AJ48" s="448"/>
      <c r="AK48" s="449"/>
      <c r="AL48" s="31"/>
      <c r="AM48" s="31"/>
      <c r="AN48" s="31"/>
      <c r="AO48" s="31"/>
      <c r="AP48" s="30"/>
    </row>
    <row r="49" spans="1:42" s="5" customFormat="1" ht="28">
      <c r="A49" s="3">
        <f t="shared" si="5"/>
        <v>40</v>
      </c>
      <c r="B49" s="3">
        <v>2001</v>
      </c>
      <c r="C49" s="3" t="s">
        <v>328</v>
      </c>
      <c r="D49" s="4">
        <f>'תקציב אגף ת.ב.ל 2019'!D58</f>
        <v>18500000</v>
      </c>
      <c r="E49" s="4">
        <f>'תקציב אגף ת.ב.ל 2019'!E58</f>
        <v>18500000</v>
      </c>
      <c r="F49" s="4">
        <f>'תקציב אגף ת.ב.ל 2019'!F58</f>
        <v>0</v>
      </c>
      <c r="G49" s="4">
        <f>'תקציב אגף ת.ב.ל 2019'!G58</f>
        <v>998700</v>
      </c>
      <c r="H49" s="4">
        <f>'תקציב אגף ת.ב.ל 2019'!H58</f>
        <v>0</v>
      </c>
      <c r="I49" s="4">
        <f>'תקציב אגף ת.ב.ל 2019'!I58</f>
        <v>816746.6</v>
      </c>
      <c r="J49" s="4">
        <f>'תקציב אגף ת.ב.ל 2019'!J58</f>
        <v>0</v>
      </c>
      <c r="K49" s="4">
        <f>'תקציב אגף ת.ב.ל 2019'!K58</f>
        <v>816746.6</v>
      </c>
      <c r="L49" s="4">
        <f>'תקציב אגף ת.ב.ל 2019'!L58</f>
        <v>816746.6</v>
      </c>
      <c r="M49" s="4">
        <f>'תקציב אגף ת.ב.ל 2019'!M58</f>
        <v>181953.40000000002</v>
      </c>
      <c r="N49" s="4">
        <f>'תקציב אגף ת.ב.ל 2019'!N58</f>
        <v>9001300</v>
      </c>
      <c r="O49" s="4">
        <f>'תקציב אגף ת.ב.ל 2019'!O58</f>
        <v>8500000</v>
      </c>
      <c r="P49" s="4">
        <f>'תקציב אגף ת.ב.ל 2019'!P58</f>
        <v>181953.40000000002</v>
      </c>
      <c r="Q49" s="4">
        <f>'תקציב אגף ת.ב.ל 2019'!Q58</f>
        <v>0</v>
      </c>
      <c r="R49" s="4">
        <f>'תקציב אגף ת.ב.ל 2019'!R58</f>
        <v>0</v>
      </c>
      <c r="S49" s="4">
        <f>'תקציב אגף ת.ב.ל 2019'!S58</f>
        <v>0</v>
      </c>
      <c r="T49" s="4">
        <f>'תקציב אגף ת.ב.ל 2019'!T58</f>
        <v>0</v>
      </c>
      <c r="U49" s="4">
        <f>'תקציב אגף ת.ב.ל 2019'!U58</f>
        <v>9001300</v>
      </c>
      <c r="V49" s="4">
        <f>'תקציב אגף ת.ב.ל 2019'!V58</f>
        <v>0</v>
      </c>
      <c r="W49" s="4">
        <f>'תקציב אגף ת.ב.ל 2019'!W58</f>
        <v>0</v>
      </c>
      <c r="X49" s="4">
        <f>'תקציב אגף ת.ב.ל 2019'!X58</f>
        <v>0</v>
      </c>
      <c r="Y49" s="4">
        <f>'תקציב אגף ת.ב.ל 2019'!Y58</f>
        <v>0</v>
      </c>
      <c r="Z49" s="4">
        <f>'תקציב אגף ת.ב.ל 2019'!Z58</f>
        <v>9001300</v>
      </c>
      <c r="AA49" s="124" t="str">
        <f>'תקציב אגף ת.ב.ל 2019'!AA58</f>
        <v xml:space="preserve">בניית בית ספר ברח' משה-12 כתות </v>
      </c>
      <c r="AB49" s="3">
        <f>'תקציב אגף ת.ב.ל 2019'!AB58</f>
        <v>810000</v>
      </c>
      <c r="AC49" s="266"/>
      <c r="AD49" s="247"/>
      <c r="AE49" s="247"/>
      <c r="AF49" s="247"/>
      <c r="AG49" s="34"/>
      <c r="AH49" s="30"/>
      <c r="AI49" s="447"/>
      <c r="AJ49" s="448"/>
      <c r="AK49" s="30"/>
      <c r="AL49" s="31"/>
      <c r="AM49" s="31"/>
      <c r="AN49" s="31"/>
      <c r="AO49" s="31"/>
      <c r="AP49" s="30"/>
    </row>
    <row r="50" spans="1:42" s="5" customFormat="1" ht="28">
      <c r="A50" s="3">
        <f t="shared" si="5"/>
        <v>41</v>
      </c>
      <c r="B50" s="3">
        <v>2027</v>
      </c>
      <c r="C50" s="3" t="s">
        <v>763</v>
      </c>
      <c r="D50" s="4">
        <f>'תקציב אגף ת.ב.ל 2019'!D59</f>
        <v>1930000</v>
      </c>
      <c r="E50" s="4">
        <f>'תקציב אגף ת.ב.ל 2019'!E59</f>
        <v>1930000</v>
      </c>
      <c r="F50" s="4">
        <f>'תקציב אגף ת.ב.ל 2019'!F59</f>
        <v>0</v>
      </c>
      <c r="G50" s="4">
        <f>'תקציב אגף ת.ב.ל 2019'!G59</f>
        <v>1930000</v>
      </c>
      <c r="H50" s="4">
        <f>'תקציב אגף ת.ב.ל 2019'!H59</f>
        <v>518384</v>
      </c>
      <c r="I50" s="4">
        <f>'תקציב אגף ת.ב.ל 2019'!I59</f>
        <v>1193879</v>
      </c>
      <c r="J50" s="4">
        <f>'תקציב אגף ת.ב.ל 2019'!J59</f>
        <v>53911</v>
      </c>
      <c r="K50" s="4">
        <f>'תקציב אגף ת.ב.ל 2019'!K59</f>
        <v>1247790</v>
      </c>
      <c r="L50" s="4">
        <f>'תקציב אגף ת.ב.ל 2019'!L59</f>
        <v>1766174</v>
      </c>
      <c r="M50" s="4">
        <f>'תקציב אגף ת.ב.ל 2019'!M59</f>
        <v>163826</v>
      </c>
      <c r="N50" s="4">
        <f>'תקציב אגף ת.ב.ל 2019'!N59</f>
        <v>0</v>
      </c>
      <c r="O50" s="4">
        <f>'תקציב אגף ת.ב.ל 2019'!O59</f>
        <v>0</v>
      </c>
      <c r="P50" s="4">
        <f>'תקציב אגף ת.ב.ל 2019'!P59</f>
        <v>163826</v>
      </c>
      <c r="Q50" s="4">
        <f>'תקציב אגף ת.ב.ל 2019'!Q59</f>
        <v>0</v>
      </c>
      <c r="R50" s="4">
        <f>'תקציב אגף ת.ב.ל 2019'!R59</f>
        <v>0</v>
      </c>
      <c r="S50" s="4">
        <f>'תקציב אגף ת.ב.ל 2019'!S59</f>
        <v>0</v>
      </c>
      <c r="T50" s="4">
        <f>'תקציב אגף ת.ב.ל 2019'!T59</f>
        <v>0</v>
      </c>
      <c r="U50" s="4">
        <f>'תקציב אגף ת.ב.ל 2019'!U59</f>
        <v>0</v>
      </c>
      <c r="V50" s="4">
        <f>'תקציב אגף ת.ב.ל 2019'!V59</f>
        <v>0</v>
      </c>
      <c r="W50" s="4">
        <f>'תקציב אגף ת.ב.ל 2019'!W59</f>
        <v>0</v>
      </c>
      <c r="X50" s="4">
        <f>'תקציב אגף ת.ב.ל 2019'!X59</f>
        <v>0</v>
      </c>
      <c r="Y50" s="4">
        <f>'תקציב אגף ת.ב.ל 2019'!Y59</f>
        <v>0</v>
      </c>
      <c r="Z50" s="4">
        <f>'תקציב אגף ת.ב.ל 2019'!Z59</f>
        <v>0</v>
      </c>
      <c r="AA50" s="124">
        <f>'תקציב אגף ת.ב.ל 2019'!AA59</f>
        <v>0</v>
      </c>
      <c r="AB50" s="3">
        <f>'תקציב אגף ת.ב.ל 2019'!AB59</f>
        <v>810000</v>
      </c>
      <c r="AC50" s="266"/>
      <c r="AD50" s="247"/>
      <c r="AE50" s="247"/>
      <c r="AF50" s="247"/>
      <c r="AG50" s="34"/>
      <c r="AH50" s="30"/>
      <c r="AI50" s="447"/>
      <c r="AJ50" s="448"/>
      <c r="AK50" s="449"/>
      <c r="AL50" s="31"/>
      <c r="AM50" s="31"/>
      <c r="AN50" s="31"/>
      <c r="AO50" s="31"/>
      <c r="AP50" s="30"/>
    </row>
    <row r="51" spans="1:42" s="5" customFormat="1" ht="28">
      <c r="A51" s="3">
        <f t="shared" si="5"/>
        <v>42</v>
      </c>
      <c r="B51" s="3">
        <v>2028</v>
      </c>
      <c r="C51" s="3" t="s">
        <v>764</v>
      </c>
      <c r="D51" s="4">
        <f>'תקציב אגף ת.ב.ל 2019'!D60</f>
        <v>1800000</v>
      </c>
      <c r="E51" s="4">
        <f>'תקציב אגף ת.ב.ל 2019'!E60</f>
        <v>1800000</v>
      </c>
      <c r="F51" s="4">
        <f>'תקציב אגף ת.ב.ל 2019'!F60</f>
        <v>0</v>
      </c>
      <c r="G51" s="4">
        <f>'תקציב אגף ת.ב.ל 2019'!G60</f>
        <v>1800000</v>
      </c>
      <c r="H51" s="4">
        <f>'תקציב אגף ת.ב.ל 2019'!H60</f>
        <v>6084</v>
      </c>
      <c r="I51" s="4">
        <f>'תקציב אגף ת.ב.ל 2019'!I60</f>
        <v>124488</v>
      </c>
      <c r="J51" s="4">
        <f>'תקציב אגף ת.ב.ל 2019'!J60</f>
        <v>24428</v>
      </c>
      <c r="K51" s="4">
        <f>'תקציב אגף ת.ב.ל 2019'!K60</f>
        <v>148916</v>
      </c>
      <c r="L51" s="4">
        <f>'תקציב אגף ת.ב.ל 2019'!L60</f>
        <v>155000</v>
      </c>
      <c r="M51" s="4">
        <f>'תקציב אגף ת.ב.ל 2019'!M60</f>
        <v>1645000</v>
      </c>
      <c r="N51" s="4">
        <f>'תקציב אגף ת.ב.ל 2019'!N60</f>
        <v>0</v>
      </c>
      <c r="O51" s="4">
        <f>'תקציב אגף ת.ב.ל 2019'!O60</f>
        <v>0</v>
      </c>
      <c r="P51" s="4">
        <f>'תקציב אגף ת.ב.ל 2019'!P60</f>
        <v>1645000</v>
      </c>
      <c r="Q51" s="4">
        <f>'תקציב אגף ת.ב.ל 2019'!Q60</f>
        <v>0</v>
      </c>
      <c r="R51" s="4">
        <f>'תקציב אגף ת.ב.ל 2019'!R60</f>
        <v>0</v>
      </c>
      <c r="S51" s="4">
        <f>'תקציב אגף ת.ב.ל 2019'!S60</f>
        <v>0</v>
      </c>
      <c r="T51" s="4">
        <f>'תקציב אגף ת.ב.ל 2019'!T60</f>
        <v>0</v>
      </c>
      <c r="U51" s="4">
        <f>'תקציב אגף ת.ב.ל 2019'!U60</f>
        <v>0</v>
      </c>
      <c r="V51" s="4">
        <f>'תקציב אגף ת.ב.ל 2019'!V60</f>
        <v>0</v>
      </c>
      <c r="W51" s="4">
        <f>'תקציב אגף ת.ב.ל 2019'!W60</f>
        <v>0</v>
      </c>
      <c r="X51" s="4">
        <f>'תקציב אגף ת.ב.ל 2019'!X60</f>
        <v>0</v>
      </c>
      <c r="Y51" s="4">
        <f>'תקציב אגף ת.ב.ל 2019'!Y60</f>
        <v>0</v>
      </c>
      <c r="Z51" s="4">
        <f>'תקציב אגף ת.ב.ל 2019'!Z60</f>
        <v>0</v>
      </c>
      <c r="AA51" s="124">
        <f>'תקציב אגף ת.ב.ל 2019'!AA60</f>
        <v>0</v>
      </c>
      <c r="AB51" s="3">
        <f>'תקציב אגף ת.ב.ל 2019'!AB60</f>
        <v>810000</v>
      </c>
      <c r="AC51" s="266"/>
      <c r="AD51" s="247"/>
      <c r="AE51" s="247"/>
      <c r="AF51" s="247"/>
      <c r="AG51" s="34"/>
      <c r="AH51" s="30"/>
      <c r="AI51" s="447"/>
      <c r="AJ51" s="448"/>
      <c r="AK51" s="30"/>
      <c r="AL51" s="31"/>
      <c r="AM51" s="31"/>
      <c r="AN51" s="31"/>
      <c r="AO51" s="31"/>
      <c r="AP51" s="30"/>
    </row>
    <row r="52" spans="1:42" s="5" customFormat="1" ht="56">
      <c r="A52" s="3">
        <f t="shared" si="5"/>
        <v>43</v>
      </c>
      <c r="B52" s="3">
        <v>2030</v>
      </c>
      <c r="C52" s="3" t="s">
        <v>580</v>
      </c>
      <c r="D52" s="4">
        <f>'תקציב אגף ת.ב.ל 2019'!D62</f>
        <v>31500000</v>
      </c>
      <c r="E52" s="4">
        <f>'תקציב אגף ת.ב.ל 2019'!E62</f>
        <v>28000000</v>
      </c>
      <c r="F52" s="4">
        <f>'תקציב אגף ת.ב.ל 2019'!F62</f>
        <v>3500000</v>
      </c>
      <c r="G52" s="4">
        <f>'תקציב אגף ת.ב.ל 2019'!G62</f>
        <v>3000000</v>
      </c>
      <c r="H52" s="4">
        <f>'תקציב אגף ת.ב.ל 2019'!H62</f>
        <v>584408.21</v>
      </c>
      <c r="I52" s="4">
        <f>'תקציב אגף ת.ב.ל 2019'!I62</f>
        <v>570857.04</v>
      </c>
      <c r="J52" s="4">
        <f>'תקציב אגף ת.ב.ל 2019'!J62</f>
        <v>1364331</v>
      </c>
      <c r="K52" s="4">
        <f>'תקציב אגף ת.ב.ל 2019'!K62</f>
        <v>1935188.04</v>
      </c>
      <c r="L52" s="4">
        <f>'תקציב אגף ת.ב.ל 2019'!L62</f>
        <v>2519596.25</v>
      </c>
      <c r="M52" s="4">
        <f>'תקציב אגף ת.ב.ל 2019'!M62</f>
        <v>480403.75</v>
      </c>
      <c r="N52" s="4">
        <f>'תקציב אגף ת.ב.ל 2019'!N62</f>
        <v>8000000</v>
      </c>
      <c r="O52" s="4">
        <f>'תקציב אגף ת.ב.ל 2019'!O62</f>
        <v>20500000</v>
      </c>
      <c r="P52" s="4">
        <f>'תקציב אגף ת.ב.ל 2019'!P62</f>
        <v>480403.75</v>
      </c>
      <c r="Q52" s="4">
        <f>'תקציב אגף ת.ב.ל 2019'!Q62</f>
        <v>0</v>
      </c>
      <c r="R52" s="4">
        <f>'תקציב אגף ת.ב.ל 2019'!R62</f>
        <v>0</v>
      </c>
      <c r="S52" s="4">
        <f>'תקציב אגף ת.ב.ל 2019'!S62</f>
        <v>0</v>
      </c>
      <c r="T52" s="4">
        <f>'תקציב אגף ת.ב.ל 2019'!T62</f>
        <v>0</v>
      </c>
      <c r="U52" s="4">
        <f>'תקציב אגף ת.ב.ל 2019'!U62</f>
        <v>8000000</v>
      </c>
      <c r="V52" s="4">
        <f>'תקציב אגף ת.ב.ל 2019'!V62</f>
        <v>7890000</v>
      </c>
      <c r="W52" s="4">
        <f>'תקציב אגף ת.ב.ל 2019'!W62</f>
        <v>0</v>
      </c>
      <c r="X52" s="4">
        <f>'תקציב אגף ת.ב.ל 2019'!X62</f>
        <v>0</v>
      </c>
      <c r="Y52" s="4">
        <f>'תקציב אגף ת.ב.ל 2019'!Y62</f>
        <v>0</v>
      </c>
      <c r="Z52" s="4">
        <f>'תקציב אגף ת.ב.ל 2019'!Z62</f>
        <v>110000</v>
      </c>
      <c r="AA52" s="124" t="str">
        <f>'תקציב אגף ת.ב.ל 2019'!AA62</f>
        <v>פרויקט  בניית אודיטוריום ,תוספת 6 כתות ו-2 ממ"דים , שיפוץ כללי. בשנת 2019: בניית אודיטוריום.</v>
      </c>
      <c r="AB52" s="3">
        <f>'תקציב אגף ת.ב.ל 2019'!AB62</f>
        <v>810000</v>
      </c>
      <c r="AC52" s="266"/>
      <c r="AD52" s="247"/>
      <c r="AE52" s="247"/>
      <c r="AF52" s="247"/>
      <c r="AG52" s="34"/>
      <c r="AH52" s="30"/>
      <c r="AI52" s="447"/>
      <c r="AJ52" s="448"/>
      <c r="AK52" s="30"/>
      <c r="AL52" s="31"/>
      <c r="AM52" s="31"/>
      <c r="AN52" s="30"/>
      <c r="AO52" s="30"/>
      <c r="AP52" s="30"/>
    </row>
    <row r="53" spans="1:42" s="5" customFormat="1" ht="28">
      <c r="A53" s="3">
        <f t="shared" si="5"/>
        <v>44</v>
      </c>
      <c r="B53" s="3">
        <v>2063</v>
      </c>
      <c r="C53" s="3" t="s">
        <v>767</v>
      </c>
      <c r="D53" s="4">
        <f>'תקציב אגף ת.ב.ל 2019'!D64</f>
        <v>1490000</v>
      </c>
      <c r="E53" s="4">
        <f>'תקציב אגף ת.ב.ל 2019'!E64</f>
        <v>1490000</v>
      </c>
      <c r="F53" s="4">
        <f>'תקציב אגף ת.ב.ל 2019'!F64</f>
        <v>0</v>
      </c>
      <c r="G53" s="4">
        <f>'תקציב אגף ת.ב.ל 2019'!G64</f>
        <v>1490000</v>
      </c>
      <c r="H53" s="4">
        <f>'תקציב אגף ת.ב.ל 2019'!H64</f>
        <v>0</v>
      </c>
      <c r="I53" s="4">
        <f>'תקציב אגף ת.ב.ל 2019'!I64</f>
        <v>61074</v>
      </c>
      <c r="J53" s="4">
        <f>'תקציב אגף ת.ב.ל 2019'!J64</f>
        <v>27787.5</v>
      </c>
      <c r="K53" s="4">
        <f>'תקציב אגף ת.ב.ל 2019'!K64</f>
        <v>88861.5</v>
      </c>
      <c r="L53" s="4">
        <f>'תקציב אגף ת.ב.ל 2019'!L64</f>
        <v>88861.5</v>
      </c>
      <c r="M53" s="4">
        <f>'תקציב אגף ת.ב.ל 2019'!M64</f>
        <v>1401138.5</v>
      </c>
      <c r="N53" s="4">
        <f>'תקציב אגף ת.ב.ל 2019'!N64</f>
        <v>0</v>
      </c>
      <c r="O53" s="4">
        <f>'תקציב אגף ת.ב.ל 2019'!O64</f>
        <v>0</v>
      </c>
      <c r="P53" s="4">
        <f>'תקציב אגף ת.ב.ל 2019'!P64</f>
        <v>1401138.5</v>
      </c>
      <c r="Q53" s="4">
        <f>'תקציב אגף ת.ב.ל 2019'!Q64</f>
        <v>0</v>
      </c>
      <c r="R53" s="4">
        <f>'תקציב אגף ת.ב.ל 2019'!R64</f>
        <v>0</v>
      </c>
      <c r="S53" s="4">
        <f>'תקציב אגף ת.ב.ל 2019'!S64</f>
        <v>0</v>
      </c>
      <c r="T53" s="4">
        <f>'תקציב אגף ת.ב.ל 2019'!T64</f>
        <v>0</v>
      </c>
      <c r="U53" s="4">
        <f>'תקציב אגף ת.ב.ל 2019'!U64</f>
        <v>0</v>
      </c>
      <c r="V53" s="4">
        <f>'תקציב אגף ת.ב.ל 2019'!V64</f>
        <v>0</v>
      </c>
      <c r="W53" s="4">
        <f>'תקציב אגף ת.ב.ל 2019'!W64</f>
        <v>0</v>
      </c>
      <c r="X53" s="4">
        <f>'תקציב אגף ת.ב.ל 2019'!X64</f>
        <v>0</v>
      </c>
      <c r="Y53" s="4">
        <f>'תקציב אגף ת.ב.ל 2019'!Y64</f>
        <v>0</v>
      </c>
      <c r="Z53" s="4">
        <f>'תקציב אגף ת.ב.ל 2019'!Z64</f>
        <v>0</v>
      </c>
      <c r="AA53" s="124" t="str">
        <f>'תקציב אגף ת.ב.ל 2019'!AA64</f>
        <v>תוספת כיתות וחדרי ספח בקומת המסד בבי"ס ברנדיס.</v>
      </c>
      <c r="AB53" s="3">
        <f>'תקציב אגף ת.ב.ל 2019'!AB64</f>
        <v>810000</v>
      </c>
      <c r="AC53" s="266"/>
      <c r="AD53" s="247"/>
      <c r="AE53" s="247"/>
      <c r="AF53" s="247"/>
      <c r="AG53" s="34"/>
      <c r="AH53" s="30"/>
      <c r="AI53" s="447"/>
      <c r="AJ53" s="448"/>
      <c r="AK53" s="30"/>
      <c r="AL53" s="31"/>
      <c r="AM53" s="31"/>
      <c r="AN53" s="31"/>
      <c r="AO53" s="31"/>
      <c r="AP53" s="30"/>
    </row>
    <row r="54" spans="1:42" s="5" customFormat="1" ht="28">
      <c r="A54" s="3">
        <f t="shared" si="5"/>
        <v>45</v>
      </c>
      <c r="B54" s="3">
        <v>2065</v>
      </c>
      <c r="C54" s="3" t="s">
        <v>768</v>
      </c>
      <c r="D54" s="4">
        <f>'תקציב אגף ת.ב.ל 2019'!D65</f>
        <v>700000</v>
      </c>
      <c r="E54" s="4">
        <f>'תקציב אגף ת.ב.ל 2019'!E65</f>
        <v>700000</v>
      </c>
      <c r="F54" s="4">
        <f>'תקציב אגף ת.ב.ל 2019'!F65</f>
        <v>0</v>
      </c>
      <c r="G54" s="4">
        <f>'תקציב אגף ת.ב.ל 2019'!G65</f>
        <v>700000</v>
      </c>
      <c r="H54" s="4">
        <f>'תקציב אגף ת.ב.ל 2019'!H65</f>
        <v>546750.99</v>
      </c>
      <c r="I54" s="4">
        <f>'תקציב אגף ת.ב.ל 2019'!I65</f>
        <v>0</v>
      </c>
      <c r="J54" s="4">
        <f>'תקציב אגף ת.ב.ל 2019'!J65</f>
        <v>153196</v>
      </c>
      <c r="K54" s="4">
        <f>'תקציב אגף ת.ב.ל 2019'!K65</f>
        <v>153196</v>
      </c>
      <c r="L54" s="4">
        <f>'תקציב אגף ת.ב.ל 2019'!L65</f>
        <v>699946.99</v>
      </c>
      <c r="M54" s="4">
        <f>'תקציב אגף ת.ב.ל 2019'!M65</f>
        <v>53.010000000009313</v>
      </c>
      <c r="N54" s="4">
        <f>'תקציב אגף ת.ב.ל 2019'!N65</f>
        <v>0</v>
      </c>
      <c r="O54" s="4">
        <f>'תקציב אגף ת.ב.ל 2019'!O65</f>
        <v>0</v>
      </c>
      <c r="P54" s="4">
        <f>'תקציב אגף ת.ב.ל 2019'!P65</f>
        <v>53.010000000009313</v>
      </c>
      <c r="Q54" s="4">
        <f>'תקציב אגף ת.ב.ל 2019'!Q65</f>
        <v>0</v>
      </c>
      <c r="R54" s="4">
        <f>'תקציב אגף ת.ב.ל 2019'!R65</f>
        <v>0</v>
      </c>
      <c r="S54" s="4">
        <f>'תקציב אגף ת.ב.ל 2019'!S65</f>
        <v>0</v>
      </c>
      <c r="T54" s="4">
        <f>'תקציב אגף ת.ב.ל 2019'!T65</f>
        <v>0</v>
      </c>
      <c r="U54" s="4">
        <f>'תקציב אגף ת.ב.ל 2019'!U65</f>
        <v>0</v>
      </c>
      <c r="V54" s="4">
        <f>'תקציב אגף ת.ב.ל 2019'!V65</f>
        <v>0</v>
      </c>
      <c r="W54" s="4">
        <f>'תקציב אגף ת.ב.ל 2019'!W65</f>
        <v>0</v>
      </c>
      <c r="X54" s="4">
        <f>'תקציב אגף ת.ב.ל 2019'!X65</f>
        <v>0</v>
      </c>
      <c r="Y54" s="4">
        <f>'תקציב אגף ת.ב.ל 2019'!Y65</f>
        <v>0</v>
      </c>
      <c r="Z54" s="4">
        <f>'תקציב אגף ת.ב.ל 2019'!Z65</f>
        <v>0</v>
      </c>
      <c r="AA54" s="124" t="str">
        <f>'תקציב אגף ת.ב.ל 2019'!AA65</f>
        <v>התאמת מבנה ושיפוץ יסודי של 2 גנ"י.</v>
      </c>
      <c r="AB54" s="3">
        <f>'תקציב אגף ת.ב.ל 2019'!AB65</f>
        <v>810000</v>
      </c>
      <c r="AC54" s="266"/>
      <c r="AD54" s="247"/>
      <c r="AE54" s="247"/>
      <c r="AF54" s="247"/>
      <c r="AG54" s="440"/>
      <c r="AH54" s="30"/>
      <c r="AI54" s="447"/>
      <c r="AJ54" s="448"/>
      <c r="AK54" s="30"/>
      <c r="AL54" s="31"/>
      <c r="AM54" s="31"/>
      <c r="AN54" s="31"/>
      <c r="AO54" s="31"/>
      <c r="AP54" s="30"/>
    </row>
    <row r="55" spans="1:42" s="5" customFormat="1">
      <c r="A55" s="3">
        <f t="shared" si="5"/>
        <v>46</v>
      </c>
      <c r="B55" s="3">
        <v>1483</v>
      </c>
      <c r="C55" s="3" t="s">
        <v>79</v>
      </c>
      <c r="D55" s="4">
        <f>'תקציב אגף ת.ב.ל 2019'!D21</f>
        <v>2700000</v>
      </c>
      <c r="E55" s="4">
        <f>'תקציב אגף ת.ב.ל 2019'!E21</f>
        <v>2700000</v>
      </c>
      <c r="F55" s="4">
        <f>'תקציב אגף ת.ב.ל 2019'!F21</f>
        <v>0</v>
      </c>
      <c r="G55" s="4">
        <f>'תקציב אגף ת.ב.ל 2019'!G21</f>
        <v>1800000</v>
      </c>
      <c r="H55" s="4">
        <f>'תקציב אגף ת.ב.ל 2019'!H21</f>
        <v>1506475.21</v>
      </c>
      <c r="I55" s="4">
        <f>'תקציב אגף ת.ב.ל 2019'!I21</f>
        <v>0</v>
      </c>
      <c r="J55" s="4">
        <f>'תקציב אגף ת.ב.ל 2019'!J21</f>
        <v>293000</v>
      </c>
      <c r="K55" s="4">
        <f>'תקציב אגף ת.ב.ל 2019'!K21</f>
        <v>293000</v>
      </c>
      <c r="L55" s="4">
        <f>'תקציב אגף ת.ב.ל 2019'!L21</f>
        <v>1799475.21</v>
      </c>
      <c r="M55" s="4">
        <f>'תקציב אגף ת.ב.ל 2019'!M21</f>
        <v>524.79000000003725</v>
      </c>
      <c r="N55" s="4">
        <f>'תקציב אגף ת.ב.ל 2019'!N21</f>
        <v>300000</v>
      </c>
      <c r="O55" s="4">
        <f>'תקציב אגף ת.ב.ל 2019'!O21</f>
        <v>600000</v>
      </c>
      <c r="P55" s="4">
        <f>'תקציב אגף ת.ב.ל 2019'!P21</f>
        <v>524.79000000003725</v>
      </c>
      <c r="Q55" s="4">
        <f>'תקציב אגף ת.ב.ל 2019'!Q21</f>
        <v>0</v>
      </c>
      <c r="R55" s="4">
        <f>'תקציב אגף ת.ב.ל 2019'!R21</f>
        <v>0</v>
      </c>
      <c r="S55" s="4">
        <f>'תקציב אגף ת.ב.ל 2019'!S21</f>
        <v>0</v>
      </c>
      <c r="T55" s="4">
        <f>'תקציב אגף ת.ב.ל 2019'!T21</f>
        <v>0</v>
      </c>
      <c r="U55" s="4">
        <f>'תקציב אגף ת.ב.ל 2019'!U21</f>
        <v>300000</v>
      </c>
      <c r="V55" s="4">
        <f>'תקציב אגף ת.ב.ל 2019'!V21</f>
        <v>0</v>
      </c>
      <c r="W55" s="4">
        <f>'תקציב אגף ת.ב.ל 2019'!W21</f>
        <v>300000</v>
      </c>
      <c r="X55" s="4">
        <f>'תקציב אגף ת.ב.ל 2019'!X21</f>
        <v>0</v>
      </c>
      <c r="Y55" s="4">
        <f>'תקציב אגף ת.ב.ל 2019'!Y21</f>
        <v>0</v>
      </c>
      <c r="Z55" s="4">
        <f>'תקציב אגף ת.ב.ל 2019'!Z21</f>
        <v>0</v>
      </c>
      <c r="AA55" s="124" t="str">
        <f>'תקציב אגף ת.ב.ל 2019'!AA21</f>
        <v>סל לשדרוג ריהוט בגני ילדים.</v>
      </c>
      <c r="AB55" s="3">
        <f>'תקציב אגף ת.ב.ל 2019'!AB21</f>
        <v>812000</v>
      </c>
      <c r="AC55" s="266"/>
      <c r="AD55" s="247"/>
      <c r="AE55" s="247"/>
      <c r="AF55" s="247"/>
      <c r="AG55" s="34"/>
      <c r="AH55" s="30"/>
      <c r="AI55" s="447"/>
      <c r="AJ55" s="448"/>
      <c r="AK55" s="449"/>
      <c r="AL55" s="31"/>
      <c r="AM55" s="31"/>
      <c r="AN55" s="31"/>
      <c r="AO55" s="31"/>
      <c r="AP55" s="30"/>
    </row>
    <row r="56" spans="1:42" s="101" customFormat="1">
      <c r="A56" s="44"/>
      <c r="B56" s="44"/>
      <c r="C56" s="44" t="s">
        <v>1214</v>
      </c>
      <c r="D56" s="125">
        <f>SUM(D21:D55)</f>
        <v>485452945</v>
      </c>
      <c r="E56" s="125">
        <f t="shared" ref="E56:Z56" si="6">SUM(E21:E55)</f>
        <v>462247945</v>
      </c>
      <c r="F56" s="125">
        <f t="shared" si="6"/>
        <v>23205000</v>
      </c>
      <c r="G56" s="125">
        <f t="shared" si="6"/>
        <v>402577741</v>
      </c>
      <c r="H56" s="125">
        <f t="shared" si="6"/>
        <v>364137180.31999993</v>
      </c>
      <c r="I56" s="125">
        <f t="shared" si="6"/>
        <v>17953500.710000001</v>
      </c>
      <c r="J56" s="125">
        <f t="shared" si="6"/>
        <v>9552568.120000001</v>
      </c>
      <c r="K56" s="125">
        <f t="shared" si="6"/>
        <v>27506068.830000002</v>
      </c>
      <c r="L56" s="125">
        <f t="shared" si="6"/>
        <v>391643249.14999998</v>
      </c>
      <c r="M56" s="125">
        <f t="shared" si="6"/>
        <v>10394491.849999987</v>
      </c>
      <c r="N56" s="125">
        <f t="shared" si="6"/>
        <v>30581300</v>
      </c>
      <c r="O56" s="125">
        <f t="shared" si="6"/>
        <v>52833904</v>
      </c>
      <c r="P56" s="125">
        <f t="shared" si="6"/>
        <v>10934491.849999987</v>
      </c>
      <c r="Q56" s="125">
        <f t="shared" si="6"/>
        <v>0</v>
      </c>
      <c r="R56" s="125">
        <f t="shared" si="6"/>
        <v>0</v>
      </c>
      <c r="S56" s="125">
        <f t="shared" si="6"/>
        <v>0</v>
      </c>
      <c r="T56" s="125">
        <f t="shared" si="6"/>
        <v>540000</v>
      </c>
      <c r="U56" s="125">
        <f t="shared" si="6"/>
        <v>30041300</v>
      </c>
      <c r="V56" s="125">
        <f t="shared" si="6"/>
        <v>14810000</v>
      </c>
      <c r="W56" s="125">
        <f t="shared" si="6"/>
        <v>6010000</v>
      </c>
      <c r="X56" s="125">
        <f t="shared" si="6"/>
        <v>0</v>
      </c>
      <c r="Y56" s="125">
        <f t="shared" si="6"/>
        <v>0</v>
      </c>
      <c r="Z56" s="125">
        <f t="shared" si="6"/>
        <v>9221300</v>
      </c>
      <c r="AA56" s="620"/>
      <c r="AB56" s="44"/>
      <c r="AC56" s="622"/>
      <c r="AD56" s="642"/>
      <c r="AE56" s="642"/>
      <c r="AF56" s="642"/>
      <c r="AG56" s="654"/>
      <c r="AH56" s="390"/>
      <c r="AI56" s="657"/>
      <c r="AJ56" s="658"/>
      <c r="AK56" s="390"/>
      <c r="AL56" s="391"/>
      <c r="AM56" s="391"/>
      <c r="AN56" s="391"/>
      <c r="AO56" s="391"/>
      <c r="AP56" s="390"/>
    </row>
    <row r="57" spans="1:42" s="5" customFormat="1" ht="28">
      <c r="A57" s="3">
        <f>A55+1</f>
        <v>47</v>
      </c>
      <c r="B57" s="3">
        <v>1853</v>
      </c>
      <c r="C57" s="3" t="s">
        <v>220</v>
      </c>
      <c r="D57" s="4">
        <f>'תקציב אגף ת.ב.ל 2019'!D37</f>
        <v>410000</v>
      </c>
      <c r="E57" s="4">
        <f>'תקציב אגף ת.ב.ל 2019'!E37</f>
        <v>310000</v>
      </c>
      <c r="F57" s="4">
        <f>'תקציב אגף ת.ב.ל 2019'!F37</f>
        <v>100000</v>
      </c>
      <c r="G57" s="4">
        <f>'תקציב אגף ת.ב.ל 2019'!G37</f>
        <v>310000</v>
      </c>
      <c r="H57" s="4">
        <f>'תקציב אגף ת.ב.ל 2019'!H37</f>
        <v>117609</v>
      </c>
      <c r="I57" s="4">
        <f>'תקציב אגף ת.ב.ל 2019'!I37</f>
        <v>5148</v>
      </c>
      <c r="J57" s="4">
        <f>'תקציב אגף ת.ב.ל 2019'!J37</f>
        <v>184063</v>
      </c>
      <c r="K57" s="4">
        <f>'תקציב אגף ת.ב.ל 2019'!K37</f>
        <v>189211</v>
      </c>
      <c r="L57" s="4">
        <f>'תקציב אגף ת.ב.ל 2019'!L37</f>
        <v>306820</v>
      </c>
      <c r="M57" s="4">
        <f>'תקציב אגף ת.ב.ל 2019'!M37</f>
        <v>3180</v>
      </c>
      <c r="N57" s="4">
        <f>'תקציב אגף ת.ב.ל 2019'!N37</f>
        <v>100000</v>
      </c>
      <c r="O57" s="4">
        <f>'תקציב אגף ת.ב.ל 2019'!O37</f>
        <v>0</v>
      </c>
      <c r="P57" s="4">
        <f>'תקציב אגף ת.ב.ל 2019'!P37</f>
        <v>3180</v>
      </c>
      <c r="Q57" s="4">
        <f>'תקציב אגף ת.ב.ל 2019'!Q37</f>
        <v>0</v>
      </c>
      <c r="R57" s="4">
        <f>'תקציב אגף ת.ב.ל 2019'!R37</f>
        <v>0</v>
      </c>
      <c r="S57" s="4">
        <f>'תקציב אגף ת.ב.ל 2019'!S37</f>
        <v>0</v>
      </c>
      <c r="T57" s="4">
        <f>'תקציב אגף ת.ב.ל 2019'!T37</f>
        <v>0</v>
      </c>
      <c r="U57" s="4">
        <f>'תקציב אגף ת.ב.ל 2019'!U37</f>
        <v>100000</v>
      </c>
      <c r="V57" s="4">
        <f>'תקציב אגף ת.ב.ל 2019'!V37</f>
        <v>0</v>
      </c>
      <c r="W57" s="4">
        <f>'תקציב אגף ת.ב.ל 2019'!W37</f>
        <v>100000</v>
      </c>
      <c r="X57" s="4">
        <f>'תקציב אגף ת.ב.ל 2019'!X37</f>
        <v>0</v>
      </c>
      <c r="Y57" s="4">
        <f>'תקציב אגף ת.ב.ל 2019'!Y37</f>
        <v>0</v>
      </c>
      <c r="Z57" s="4">
        <f>'תקציב אגף ת.ב.ל 2019'!Z37</f>
        <v>0</v>
      </c>
      <c r="AA57" s="124" t="str">
        <f>'תקציב אגף ת.ב.ל 2019'!AA37</f>
        <v>עבודות השלמת קירוי הפטיו במתנ"ס.</v>
      </c>
      <c r="AB57" s="3">
        <f>'תקציב אגף ת.ב.ל 2019'!AB37</f>
        <v>824000</v>
      </c>
      <c r="AC57" s="266"/>
      <c r="AD57" s="247"/>
      <c r="AE57" s="247"/>
      <c r="AF57" s="247"/>
      <c r="AG57" s="34"/>
      <c r="AH57" s="30"/>
      <c r="AI57" s="447"/>
      <c r="AJ57" s="448"/>
      <c r="AK57" s="449"/>
      <c r="AL57" s="31"/>
      <c r="AM57" s="31"/>
      <c r="AN57" s="31"/>
      <c r="AO57" s="31"/>
      <c r="AP57" s="30"/>
    </row>
    <row r="58" spans="1:42" s="5" customFormat="1" ht="42">
      <c r="A58" s="3">
        <f>A57+1</f>
        <v>48</v>
      </c>
      <c r="B58" s="3">
        <v>1933</v>
      </c>
      <c r="C58" s="3" t="s">
        <v>259</v>
      </c>
      <c r="D58" s="4">
        <f>'תקציב אגף ת.ב.ל 2019'!D48</f>
        <v>1420000</v>
      </c>
      <c r="E58" s="4">
        <f>'תקציב אגף ת.ב.ל 2019'!E48</f>
        <v>1200000</v>
      </c>
      <c r="F58" s="4">
        <f>'תקציב אגף ת.ב.ל 2019'!F48</f>
        <v>220000</v>
      </c>
      <c r="G58" s="4">
        <f>'תקציב אגף ת.ב.ל 2019'!G48</f>
        <v>1200000</v>
      </c>
      <c r="H58" s="4">
        <f>'תקציב אגף ת.ב.ל 2019'!H48</f>
        <v>168219</v>
      </c>
      <c r="I58" s="4">
        <f>'תקציב אגף ת.ב.ל 2019'!I48</f>
        <v>0</v>
      </c>
      <c r="J58" s="4">
        <f>'תקציב אגף ת.ב.ל 2019'!J48</f>
        <v>429292.81</v>
      </c>
      <c r="K58" s="4">
        <f>'תקציב אגף ת.ב.ל 2019'!K48</f>
        <v>429292.81</v>
      </c>
      <c r="L58" s="4">
        <f>'תקציב אגף ת.ב.ל 2019'!L48</f>
        <v>597511.81000000006</v>
      </c>
      <c r="M58" s="4">
        <f>'תקציב אגף ת.ב.ל 2019'!M48</f>
        <v>602488.18999999994</v>
      </c>
      <c r="N58" s="4">
        <f>'תקציב אגף ת.ב.ל 2019'!N48</f>
        <v>220000</v>
      </c>
      <c r="O58" s="4">
        <f>'תקציב אגף ת.ב.ל 2019'!O48</f>
        <v>0</v>
      </c>
      <c r="P58" s="4">
        <f>'תקציב אגף ת.ב.ל 2019'!P48</f>
        <v>602488.18999999994</v>
      </c>
      <c r="Q58" s="4">
        <f>'תקציב אגף ת.ב.ל 2019'!Q48</f>
        <v>0</v>
      </c>
      <c r="R58" s="4">
        <f>'תקציב אגף ת.ב.ל 2019'!R48</f>
        <v>0</v>
      </c>
      <c r="S58" s="4">
        <f>'תקציב אגף ת.ב.ל 2019'!S48</f>
        <v>0</v>
      </c>
      <c r="T58" s="4">
        <f>'תקציב אגף ת.ב.ל 2019'!T48</f>
        <v>0</v>
      </c>
      <c r="U58" s="4">
        <f>'תקציב אגף ת.ב.ל 2019'!U48</f>
        <v>220000</v>
      </c>
      <c r="V58" s="4">
        <f>'תקציב אגף ת.ב.ל 2019'!V48</f>
        <v>0</v>
      </c>
      <c r="W58" s="4">
        <f>'תקציב אגף ת.ב.ל 2019'!W48</f>
        <v>220000</v>
      </c>
      <c r="X58" s="4">
        <f>'תקציב אגף ת.ב.ל 2019'!X48</f>
        <v>0</v>
      </c>
      <c r="Y58" s="4">
        <f>'תקציב אגף ת.ב.ל 2019'!Y48</f>
        <v>0</v>
      </c>
      <c r="Z58" s="4">
        <f>'תקציב אגף ת.ב.ל 2019'!Z48</f>
        <v>0</v>
      </c>
      <c r="AA58" s="124" t="str">
        <f>'תקציב אגף ת.ב.ל 2019'!AA48</f>
        <v xml:space="preserve">עבודות במסגרת מערכות כיבוי אש והמשך שדרוג מערכת מיזוג במוזיאון. </v>
      </c>
      <c r="AB58" s="3">
        <f>'תקציב אגף ת.ב.ל 2019'!AB48</f>
        <v>826000</v>
      </c>
      <c r="AC58" s="266"/>
      <c r="AD58" s="247"/>
      <c r="AE58" s="247"/>
      <c r="AF58" s="247"/>
      <c r="AG58" s="34"/>
      <c r="AH58" s="30"/>
      <c r="AI58" s="447"/>
      <c r="AJ58" s="448"/>
      <c r="AK58" s="30"/>
      <c r="AL58" s="31"/>
      <c r="AM58" s="31"/>
      <c r="AN58" s="31"/>
      <c r="AO58" s="31"/>
      <c r="AP58" s="30"/>
    </row>
    <row r="59" spans="1:42" s="5" customFormat="1" ht="42">
      <c r="A59" s="3">
        <f>A58+1</f>
        <v>49</v>
      </c>
      <c r="B59" s="3">
        <v>2068</v>
      </c>
      <c r="C59" s="3" t="s">
        <v>1330</v>
      </c>
      <c r="D59" s="4">
        <f>'תקציב אגף ת.ב.ל 2019'!D66</f>
        <v>280000</v>
      </c>
      <c r="E59" s="4">
        <f>'תקציב אגף ת.ב.ל 2019'!E66</f>
        <v>280000</v>
      </c>
      <c r="F59" s="4">
        <f>'תקציב אגף ת.ב.ל 2019'!F66</f>
        <v>0</v>
      </c>
      <c r="G59" s="4">
        <f>'תקציב אגף ת.ב.ל 2019'!G66</f>
        <v>280000</v>
      </c>
      <c r="H59" s="4">
        <f>'תקציב אגף ת.ב.ל 2019'!H66</f>
        <v>0</v>
      </c>
      <c r="I59" s="4">
        <f>'תקציב אגף ת.ב.ל 2019'!I66</f>
        <v>0</v>
      </c>
      <c r="J59" s="4">
        <f>'תקציב אגף ת.ב.ל 2019'!J66</f>
        <v>276360.27</v>
      </c>
      <c r="K59" s="4">
        <f>'תקציב אגף ת.ב.ל 2019'!K66</f>
        <v>276360.27</v>
      </c>
      <c r="L59" s="4">
        <f>'תקציב אגף ת.ב.ל 2019'!L66</f>
        <v>276360.27</v>
      </c>
      <c r="M59" s="4">
        <f>'תקציב אגף ת.ב.ל 2019'!M66</f>
        <v>3639.7299999999814</v>
      </c>
      <c r="N59" s="4">
        <f>'תקציב אגף ת.ב.ל 2019'!N66</f>
        <v>0</v>
      </c>
      <c r="O59" s="4">
        <f>'תקציב אגף ת.ב.ל 2019'!O66</f>
        <v>0</v>
      </c>
      <c r="P59" s="4">
        <f>'תקציב אגף ת.ב.ל 2019'!P66</f>
        <v>3639.7299999999814</v>
      </c>
      <c r="Q59" s="4">
        <f>'תקציב אגף ת.ב.ל 2019'!Q66</f>
        <v>0</v>
      </c>
      <c r="R59" s="4">
        <f>'תקציב אגף ת.ב.ל 2019'!R66</f>
        <v>0</v>
      </c>
      <c r="S59" s="4">
        <f>'תקציב אגף ת.ב.ל 2019'!S66</f>
        <v>0</v>
      </c>
      <c r="T59" s="4">
        <f>'תקציב אגף ת.ב.ל 2019'!T66</f>
        <v>0</v>
      </c>
      <c r="U59" s="4">
        <f>'תקציב אגף ת.ב.ל 2019'!U66</f>
        <v>0</v>
      </c>
      <c r="V59" s="4">
        <f>'תקציב אגף ת.ב.ל 2019'!V66</f>
        <v>0</v>
      </c>
      <c r="W59" s="4">
        <f>'תקציב אגף ת.ב.ל 2019'!W66</f>
        <v>0</v>
      </c>
      <c r="X59" s="4">
        <f>'תקציב אגף ת.ב.ל 2019'!X66</f>
        <v>0</v>
      </c>
      <c r="Y59" s="4">
        <f>'תקציב אגף ת.ב.ל 2019'!Y66</f>
        <v>0</v>
      </c>
      <c r="Z59" s="4">
        <f>'תקציב אגף ת.ב.ל 2019'!Z66</f>
        <v>0</v>
      </c>
      <c r="AA59" s="124" t="str">
        <f>'תקציב אגף ת.ב.ל 2019'!AA66</f>
        <v>התקנת מערכת ספרינקלרים באולם הספורט עפ"י דרישות רשות כיבוי אש.</v>
      </c>
      <c r="AB59" s="3">
        <f>'תקציב אגף ת.ב.ל 2019'!AB66</f>
        <v>829000</v>
      </c>
      <c r="AC59" s="266"/>
      <c r="AD59" s="247"/>
      <c r="AE59" s="247"/>
      <c r="AF59" s="247"/>
      <c r="AG59" s="34"/>
      <c r="AH59" s="30"/>
      <c r="AI59" s="447"/>
      <c r="AJ59" s="448"/>
      <c r="AK59" s="30"/>
      <c r="AL59" s="31"/>
      <c r="AM59" s="31"/>
      <c r="AN59" s="31"/>
      <c r="AO59" s="31"/>
      <c r="AP59" s="30"/>
    </row>
    <row r="60" spans="1:42" s="101" customFormat="1">
      <c r="A60" s="44"/>
      <c r="B60" s="44"/>
      <c r="C60" s="44" t="s">
        <v>1209</v>
      </c>
      <c r="D60" s="125">
        <f>SUM(D57:D59)</f>
        <v>2110000</v>
      </c>
      <c r="E60" s="125">
        <f t="shared" ref="E60:Z60" si="7">SUM(E57:E59)</f>
        <v>1790000</v>
      </c>
      <c r="F60" s="125">
        <f t="shared" si="7"/>
        <v>320000</v>
      </c>
      <c r="G60" s="125">
        <f t="shared" si="7"/>
        <v>1790000</v>
      </c>
      <c r="H60" s="125">
        <f t="shared" si="7"/>
        <v>285828</v>
      </c>
      <c r="I60" s="125">
        <f t="shared" si="7"/>
        <v>5148</v>
      </c>
      <c r="J60" s="125">
        <f t="shared" si="7"/>
        <v>889716.08000000007</v>
      </c>
      <c r="K60" s="125">
        <f t="shared" si="7"/>
        <v>894864.08000000007</v>
      </c>
      <c r="L60" s="125">
        <f t="shared" si="7"/>
        <v>1180692.08</v>
      </c>
      <c r="M60" s="125">
        <f t="shared" si="7"/>
        <v>609307.91999999993</v>
      </c>
      <c r="N60" s="125">
        <f t="shared" si="7"/>
        <v>320000</v>
      </c>
      <c r="O60" s="125">
        <f t="shared" si="7"/>
        <v>0</v>
      </c>
      <c r="P60" s="125">
        <f t="shared" si="7"/>
        <v>609307.91999999993</v>
      </c>
      <c r="Q60" s="125">
        <f t="shared" si="7"/>
        <v>0</v>
      </c>
      <c r="R60" s="125">
        <f t="shared" si="7"/>
        <v>0</v>
      </c>
      <c r="S60" s="125">
        <f t="shared" si="7"/>
        <v>0</v>
      </c>
      <c r="T60" s="125">
        <f t="shared" si="7"/>
        <v>0</v>
      </c>
      <c r="U60" s="125">
        <f t="shared" si="7"/>
        <v>320000</v>
      </c>
      <c r="V60" s="125">
        <f t="shared" si="7"/>
        <v>0</v>
      </c>
      <c r="W60" s="125">
        <f t="shared" si="7"/>
        <v>320000</v>
      </c>
      <c r="X60" s="125">
        <f t="shared" si="7"/>
        <v>0</v>
      </c>
      <c r="Y60" s="125">
        <f t="shared" si="7"/>
        <v>0</v>
      </c>
      <c r="Z60" s="125">
        <f t="shared" si="7"/>
        <v>0</v>
      </c>
      <c r="AA60" s="620"/>
      <c r="AB60" s="44"/>
      <c r="AC60" s="622"/>
      <c r="AD60" s="642"/>
      <c r="AE60" s="642"/>
      <c r="AF60" s="642"/>
      <c r="AG60" s="654"/>
      <c r="AH60" s="390"/>
      <c r="AI60" s="657"/>
      <c r="AJ60" s="658"/>
      <c r="AK60" s="390"/>
      <c r="AL60" s="391"/>
      <c r="AM60" s="391"/>
      <c r="AN60" s="391"/>
      <c r="AO60" s="391"/>
      <c r="AP60" s="390"/>
    </row>
    <row r="61" spans="1:42" s="5" customFormat="1">
      <c r="A61" s="3">
        <f>A59+1</f>
        <v>50</v>
      </c>
      <c r="B61" s="3">
        <v>2000</v>
      </c>
      <c r="C61" s="3" t="s">
        <v>327</v>
      </c>
      <c r="D61" s="4">
        <f>'תקציב אגף ת.ב.ל 2019'!D57</f>
        <v>354000</v>
      </c>
      <c r="E61" s="4">
        <f>'תקציב אגף ת.ב.ל 2019'!E57</f>
        <v>354000</v>
      </c>
      <c r="F61" s="4">
        <f>'תקציב אגף ת.ב.ל 2019'!F57</f>
        <v>0</v>
      </c>
      <c r="G61" s="4">
        <f>'תקציב אגף ת.ב.ל 2019'!G57</f>
        <v>354000</v>
      </c>
      <c r="H61" s="4">
        <f>'תקציב אגף ת.ב.ל 2019'!H57</f>
        <v>353367.64</v>
      </c>
      <c r="I61" s="4">
        <f>'תקציב אגף ת.ב.ל 2019'!I57</f>
        <v>0</v>
      </c>
      <c r="J61" s="4">
        <f>'תקציב אגף ת.ב.ל 2019'!J57</f>
        <v>0</v>
      </c>
      <c r="K61" s="4">
        <f>'תקציב אגף ת.ב.ל 2019'!K57</f>
        <v>0</v>
      </c>
      <c r="L61" s="4">
        <f>'תקציב אגף ת.ב.ל 2019'!L57</f>
        <v>353367.64</v>
      </c>
      <c r="M61" s="4">
        <f>'תקציב אגף ת.ב.ל 2019'!M57</f>
        <v>632.35999999998603</v>
      </c>
      <c r="N61" s="4">
        <f>'תקציב אגף ת.ב.ל 2019'!N57</f>
        <v>0</v>
      </c>
      <c r="O61" s="4">
        <f>'תקציב אגף ת.ב.ל 2019'!O57</f>
        <v>0</v>
      </c>
      <c r="P61" s="4">
        <f>'תקציב אגף ת.ב.ל 2019'!P57</f>
        <v>632.35999999998603</v>
      </c>
      <c r="Q61" s="4">
        <f>'תקציב אגף ת.ב.ל 2019'!Q57</f>
        <v>0</v>
      </c>
      <c r="R61" s="4">
        <f>'תקציב אגף ת.ב.ל 2019'!R57</f>
        <v>0</v>
      </c>
      <c r="S61" s="4">
        <f>'תקציב אגף ת.ב.ל 2019'!S57</f>
        <v>0</v>
      </c>
      <c r="T61" s="4">
        <f>'תקציב אגף ת.ב.ל 2019'!T57</f>
        <v>0</v>
      </c>
      <c r="U61" s="4">
        <f>'תקציב אגף ת.ב.ל 2019'!U57</f>
        <v>0</v>
      </c>
      <c r="V61" s="4">
        <f>'תקציב אגף ת.ב.ל 2019'!V57</f>
        <v>0</v>
      </c>
      <c r="W61" s="4">
        <f>'תקציב אגף ת.ב.ל 2019'!W57</f>
        <v>0</v>
      </c>
      <c r="X61" s="4">
        <f>'תקציב אגף ת.ב.ל 2019'!X57</f>
        <v>0</v>
      </c>
      <c r="Y61" s="4">
        <f>'תקציב אגף ת.ב.ל 2019'!Y57</f>
        <v>0</v>
      </c>
      <c r="Z61" s="4">
        <f>'תקציב אגף ת.ב.ל 2019'!Z57</f>
        <v>0</v>
      </c>
      <c r="AA61" s="124">
        <f>'תקציב אגף ת.ב.ל 2019'!AA57</f>
        <v>0</v>
      </c>
      <c r="AB61" s="3">
        <f>'תקציב אגף ת.ב.ל 2019'!AB57</f>
        <v>840000</v>
      </c>
      <c r="AC61" s="266"/>
      <c r="AD61" s="247"/>
      <c r="AE61" s="247"/>
      <c r="AF61" s="247"/>
      <c r="AG61" s="34"/>
      <c r="AH61" s="30"/>
      <c r="AI61" s="447"/>
      <c r="AJ61" s="448"/>
      <c r="AK61" s="30"/>
      <c r="AL61" s="31"/>
      <c r="AM61" s="31"/>
      <c r="AN61" s="31"/>
      <c r="AO61" s="31"/>
      <c r="AP61" s="30"/>
    </row>
    <row r="62" spans="1:42" s="101" customFormat="1">
      <c r="A62" s="44"/>
      <c r="B62" s="44"/>
      <c r="C62" s="44" t="s">
        <v>1218</v>
      </c>
      <c r="D62" s="125">
        <f>SUM(D61)</f>
        <v>354000</v>
      </c>
      <c r="E62" s="125">
        <f t="shared" ref="E62:Z62" si="8">SUM(E61)</f>
        <v>354000</v>
      </c>
      <c r="F62" s="125">
        <f t="shared" si="8"/>
        <v>0</v>
      </c>
      <c r="G62" s="125">
        <f t="shared" si="8"/>
        <v>354000</v>
      </c>
      <c r="H62" s="125">
        <f t="shared" si="8"/>
        <v>353367.64</v>
      </c>
      <c r="I62" s="125">
        <f t="shared" si="8"/>
        <v>0</v>
      </c>
      <c r="J62" s="125">
        <f t="shared" si="8"/>
        <v>0</v>
      </c>
      <c r="K62" s="125">
        <f t="shared" si="8"/>
        <v>0</v>
      </c>
      <c r="L62" s="125">
        <f t="shared" si="8"/>
        <v>353367.64</v>
      </c>
      <c r="M62" s="125">
        <f t="shared" si="8"/>
        <v>632.35999999998603</v>
      </c>
      <c r="N62" s="125">
        <f t="shared" si="8"/>
        <v>0</v>
      </c>
      <c r="O62" s="125">
        <f t="shared" si="8"/>
        <v>0</v>
      </c>
      <c r="P62" s="125">
        <f t="shared" si="8"/>
        <v>632.35999999998603</v>
      </c>
      <c r="Q62" s="125">
        <f t="shared" si="8"/>
        <v>0</v>
      </c>
      <c r="R62" s="125">
        <f t="shared" si="8"/>
        <v>0</v>
      </c>
      <c r="S62" s="125">
        <f t="shared" si="8"/>
        <v>0</v>
      </c>
      <c r="T62" s="125">
        <f t="shared" si="8"/>
        <v>0</v>
      </c>
      <c r="U62" s="125">
        <f t="shared" si="8"/>
        <v>0</v>
      </c>
      <c r="V62" s="125">
        <f t="shared" si="8"/>
        <v>0</v>
      </c>
      <c r="W62" s="125">
        <f t="shared" si="8"/>
        <v>0</v>
      </c>
      <c r="X62" s="125">
        <f t="shared" si="8"/>
        <v>0</v>
      </c>
      <c r="Y62" s="125">
        <f t="shared" si="8"/>
        <v>0</v>
      </c>
      <c r="Z62" s="125">
        <f t="shared" si="8"/>
        <v>0</v>
      </c>
      <c r="AA62" s="620"/>
      <c r="AB62" s="44"/>
      <c r="AC62" s="622"/>
      <c r="AD62" s="642"/>
      <c r="AE62" s="642"/>
      <c r="AF62" s="642"/>
      <c r="AG62" s="654"/>
      <c r="AH62" s="390"/>
      <c r="AI62" s="657"/>
      <c r="AJ62" s="658"/>
      <c r="AK62" s="390"/>
      <c r="AL62" s="391"/>
      <c r="AM62" s="391"/>
      <c r="AN62" s="391"/>
      <c r="AO62" s="391"/>
      <c r="AP62" s="390"/>
    </row>
    <row r="63" spans="1:42" s="5" customFormat="1">
      <c r="A63" s="3">
        <f>A61+1</f>
        <v>51</v>
      </c>
      <c r="B63" s="3">
        <v>1968</v>
      </c>
      <c r="C63" s="3" t="s">
        <v>263</v>
      </c>
      <c r="D63" s="4">
        <f>'תקציב אגף ת.ב.ל 2019'!D54</f>
        <v>1400000</v>
      </c>
      <c r="E63" s="4">
        <f>'תקציב אגף ת.ב.ל 2019'!E54</f>
        <v>1800000</v>
      </c>
      <c r="F63" s="4">
        <f>'תקציב אגף ת.ב.ל 2019'!F54</f>
        <v>-400000</v>
      </c>
      <c r="G63" s="4">
        <f>'תקציב אגף ת.ב.ל 2019'!G54</f>
        <v>1400000</v>
      </c>
      <c r="H63" s="4">
        <f>'תקציב אגף ת.ב.ל 2019'!H54</f>
        <v>603369.29</v>
      </c>
      <c r="I63" s="4">
        <f>'תקציב אגף ת.ב.ל 2019'!I54</f>
        <v>0</v>
      </c>
      <c r="J63" s="4">
        <f>'תקציב אגף ת.ב.ל 2019'!J54</f>
        <v>790426</v>
      </c>
      <c r="K63" s="4">
        <f>'תקציב אגף ת.ב.ל 2019'!K54</f>
        <v>790426</v>
      </c>
      <c r="L63" s="4">
        <f>'תקציב אגף ת.ב.ל 2019'!L54</f>
        <v>1393795.29</v>
      </c>
      <c r="M63" s="4">
        <f>'תקציב אגף ת.ב.ל 2019'!M54</f>
        <v>6204.7099999999627</v>
      </c>
      <c r="N63" s="4">
        <f>'תקציב אגף ת.ב.ל 2019'!N54</f>
        <v>0</v>
      </c>
      <c r="O63" s="4">
        <f>'תקציב אגף ת.ב.ל 2019'!O54</f>
        <v>0</v>
      </c>
      <c r="P63" s="4">
        <f>'תקציב אגף ת.ב.ל 2019'!P54</f>
        <v>6204.7099999999627</v>
      </c>
      <c r="Q63" s="4">
        <f>'תקציב אגף ת.ב.ל 2019'!Q54</f>
        <v>0</v>
      </c>
      <c r="R63" s="4">
        <f>'תקציב אגף ת.ב.ל 2019'!R54</f>
        <v>0</v>
      </c>
      <c r="S63" s="4">
        <f>'תקציב אגף ת.ב.ל 2019'!S54</f>
        <v>0</v>
      </c>
      <c r="T63" s="4">
        <f>'תקציב אגף ת.ב.ל 2019'!T54</f>
        <v>0</v>
      </c>
      <c r="U63" s="4">
        <f>'תקציב אגף ת.ב.ל 2019'!U54</f>
        <v>0</v>
      </c>
      <c r="V63" s="4">
        <f>'תקציב אגף ת.ב.ל 2019'!V54</f>
        <v>0</v>
      </c>
      <c r="W63" s="4">
        <f>'תקציב אגף ת.ב.ל 2019'!W54</f>
        <v>0</v>
      </c>
      <c r="X63" s="4">
        <f>'תקציב אגף ת.ב.ל 2019'!X54</f>
        <v>0</v>
      </c>
      <c r="Y63" s="4">
        <f>'תקציב אגף ת.ב.ל 2019'!Y54</f>
        <v>0</v>
      </c>
      <c r="Z63" s="4">
        <f>'תקציב אגף ת.ב.ל 2019'!Z54</f>
        <v>0</v>
      </c>
      <c r="AA63" s="124">
        <f>'תקציב אגף ת.ב.ל 2019'!AA54</f>
        <v>0</v>
      </c>
      <c r="AB63" s="3">
        <f>'תקציב אגף ת.ב.ל 2019'!AB54</f>
        <v>848500</v>
      </c>
      <c r="AC63" s="266"/>
      <c r="AD63" s="247"/>
      <c r="AE63" s="247"/>
      <c r="AF63" s="247"/>
      <c r="AG63" s="34"/>
      <c r="AH63" s="30"/>
      <c r="AI63" s="447"/>
      <c r="AJ63" s="448"/>
      <c r="AK63" s="449"/>
      <c r="AL63" s="31"/>
      <c r="AM63" s="31"/>
      <c r="AN63" s="31"/>
      <c r="AO63" s="31"/>
      <c r="AP63" s="30"/>
    </row>
    <row r="64" spans="1:42" s="101" customFormat="1">
      <c r="A64" s="44"/>
      <c r="B64" s="44"/>
      <c r="C64" s="44" t="s">
        <v>1278</v>
      </c>
      <c r="D64" s="125">
        <f>SUM(D63)</f>
        <v>1400000</v>
      </c>
      <c r="E64" s="125">
        <f t="shared" ref="E64:Z64" si="9">SUM(E63)</f>
        <v>1800000</v>
      </c>
      <c r="F64" s="125">
        <f t="shared" si="9"/>
        <v>-400000</v>
      </c>
      <c r="G64" s="125">
        <f t="shared" si="9"/>
        <v>1400000</v>
      </c>
      <c r="H64" s="125">
        <f t="shared" si="9"/>
        <v>603369.29</v>
      </c>
      <c r="I64" s="125">
        <f t="shared" si="9"/>
        <v>0</v>
      </c>
      <c r="J64" s="125">
        <f t="shared" si="9"/>
        <v>790426</v>
      </c>
      <c r="K64" s="125">
        <f t="shared" si="9"/>
        <v>790426</v>
      </c>
      <c r="L64" s="125">
        <f t="shared" si="9"/>
        <v>1393795.29</v>
      </c>
      <c r="M64" s="125">
        <f t="shared" si="9"/>
        <v>6204.7099999999627</v>
      </c>
      <c r="N64" s="125">
        <f t="shared" si="9"/>
        <v>0</v>
      </c>
      <c r="O64" s="125">
        <f t="shared" si="9"/>
        <v>0</v>
      </c>
      <c r="P64" s="125">
        <f t="shared" si="9"/>
        <v>6204.7099999999627</v>
      </c>
      <c r="Q64" s="125">
        <f t="shared" si="9"/>
        <v>0</v>
      </c>
      <c r="R64" s="125">
        <f t="shared" si="9"/>
        <v>0</v>
      </c>
      <c r="S64" s="125">
        <f t="shared" si="9"/>
        <v>0</v>
      </c>
      <c r="T64" s="125">
        <f t="shared" si="9"/>
        <v>0</v>
      </c>
      <c r="U64" s="125">
        <f t="shared" si="9"/>
        <v>0</v>
      </c>
      <c r="V64" s="125">
        <f t="shared" si="9"/>
        <v>0</v>
      </c>
      <c r="W64" s="125">
        <f t="shared" si="9"/>
        <v>0</v>
      </c>
      <c r="X64" s="125">
        <f t="shared" si="9"/>
        <v>0</v>
      </c>
      <c r="Y64" s="125">
        <f t="shared" si="9"/>
        <v>0</v>
      </c>
      <c r="Z64" s="125">
        <f t="shared" si="9"/>
        <v>0</v>
      </c>
      <c r="AA64" s="620"/>
      <c r="AB64" s="44"/>
      <c r="AC64" s="622"/>
      <c r="AD64" s="642"/>
      <c r="AE64" s="642"/>
      <c r="AF64" s="642"/>
      <c r="AG64" s="654"/>
      <c r="AH64" s="390"/>
      <c r="AI64" s="657"/>
      <c r="AJ64" s="658"/>
      <c r="AK64" s="390"/>
      <c r="AL64" s="391"/>
      <c r="AM64" s="391"/>
      <c r="AN64" s="391"/>
      <c r="AO64" s="391"/>
      <c r="AP64" s="390"/>
    </row>
    <row r="65" spans="1:42" s="5" customFormat="1" ht="28">
      <c r="A65" s="3">
        <f>A63+1</f>
        <v>52</v>
      </c>
      <c r="B65" s="3">
        <v>1253</v>
      </c>
      <c r="C65" s="3" t="s">
        <v>70</v>
      </c>
      <c r="D65" s="4">
        <f>'תקציב אגף ת.ב.ל 2019'!D8</f>
        <v>4700000</v>
      </c>
      <c r="E65" s="4">
        <f>'תקציב אגף ת.ב.ל 2019'!E8</f>
        <v>4200000</v>
      </c>
      <c r="F65" s="4">
        <f>'תקציב אגף ת.ב.ל 2019'!F8</f>
        <v>500000</v>
      </c>
      <c r="G65" s="4">
        <f>'תקציב אגף ת.ב.ל 2019'!G8</f>
        <v>4200000</v>
      </c>
      <c r="H65" s="4">
        <f>'תקציב אגף ת.ב.ל 2019'!H8</f>
        <v>3608560.68</v>
      </c>
      <c r="I65" s="4">
        <f>'תקציב אגף ת.ב.ל 2019'!I8</f>
        <v>0</v>
      </c>
      <c r="J65" s="4">
        <f>'תקציב אגף ת.ב.ל 2019'!J8</f>
        <v>566005.72</v>
      </c>
      <c r="K65" s="4">
        <f>'תקציב אגף ת.ב.ל 2019'!K8</f>
        <v>566005.72</v>
      </c>
      <c r="L65" s="4">
        <f>'תקציב אגף ת.ב.ל 2019'!L8</f>
        <v>4174566.4000000004</v>
      </c>
      <c r="M65" s="4">
        <f>'תקציב אגף ת.ב.ל 2019'!M8</f>
        <v>25433.599999999627</v>
      </c>
      <c r="N65" s="4">
        <f>'תקציב אגף ת.ב.ל 2019'!N8</f>
        <v>500000</v>
      </c>
      <c r="O65" s="4">
        <f>'תקציב אגף ת.ב.ל 2019'!O8</f>
        <v>0</v>
      </c>
      <c r="P65" s="4">
        <f>'תקציב אגף ת.ב.ל 2019'!P8</f>
        <v>25433.599999999627</v>
      </c>
      <c r="Q65" s="4">
        <f>'תקציב אגף ת.ב.ל 2019'!Q8</f>
        <v>0</v>
      </c>
      <c r="R65" s="4">
        <f>'תקציב אגף ת.ב.ל 2019'!R8</f>
        <v>0</v>
      </c>
      <c r="S65" s="4">
        <f>'תקציב אגף ת.ב.ל 2019'!S8</f>
        <v>0</v>
      </c>
      <c r="T65" s="4">
        <f>'תקציב אגף ת.ב.ל 2019'!T8</f>
        <v>0</v>
      </c>
      <c r="U65" s="4">
        <f>'תקציב אגף ת.ב.ל 2019'!U8</f>
        <v>500000</v>
      </c>
      <c r="V65" s="4">
        <f>'תקציב אגף ת.ב.ל 2019'!V8</f>
        <v>0</v>
      </c>
      <c r="W65" s="4">
        <f>'תקציב אגף ת.ב.ל 2019'!W8</f>
        <v>500000</v>
      </c>
      <c r="X65" s="4">
        <f>'תקציב אגף ת.ב.ל 2019'!X8</f>
        <v>0</v>
      </c>
      <c r="Y65" s="4">
        <f>'תקציב אגף ת.ב.ל 2019'!Y8</f>
        <v>0</v>
      </c>
      <c r="Z65" s="4">
        <f>'תקציב אגף ת.ב.ל 2019'!Z8</f>
        <v>0</v>
      </c>
      <c r="AA65" s="124" t="str">
        <f>'תקציב אגף ת.ב.ל 2019'!AA8</f>
        <v>סל לשיפוץ בתי כנסת ע"פ תוכנית שתוגש במהלך השנה.</v>
      </c>
      <c r="AB65" s="3">
        <f>'תקציב אגף ת.ב.ל 2019'!AB8</f>
        <v>850000</v>
      </c>
      <c r="AC65" s="266"/>
      <c r="AD65" s="247"/>
      <c r="AE65" s="247"/>
      <c r="AF65" s="247"/>
      <c r="AG65" s="34"/>
      <c r="AH65" s="30"/>
      <c r="AI65" s="447"/>
      <c r="AJ65" s="448"/>
      <c r="AK65" s="449"/>
      <c r="AL65" s="31"/>
      <c r="AM65" s="31"/>
      <c r="AN65" s="31"/>
      <c r="AO65" s="31"/>
      <c r="AP65" s="30"/>
    </row>
    <row r="66" spans="1:42" s="5" customFormat="1">
      <c r="A66" s="3">
        <f>A65+1</f>
        <v>53</v>
      </c>
      <c r="B66" s="3">
        <v>1794</v>
      </c>
      <c r="C66" s="3" t="s">
        <v>188</v>
      </c>
      <c r="D66" s="4">
        <f>'תקציב אגף ת.ב.ל 2019'!D32</f>
        <v>1100000</v>
      </c>
      <c r="E66" s="4">
        <f>'תקציב אגף ת.ב.ל 2019'!E32</f>
        <v>975000</v>
      </c>
      <c r="F66" s="4">
        <f>'תקציב אגף ת.ב.ל 2019'!F32</f>
        <v>125000</v>
      </c>
      <c r="G66" s="4">
        <f>'תקציב אגף ת.ב.ל 2019'!G32</f>
        <v>975000</v>
      </c>
      <c r="H66" s="4">
        <f>'תקציב אגף ת.ב.ל 2019'!H32</f>
        <v>363860.26</v>
      </c>
      <c r="I66" s="4">
        <f>'תקציב אגף ת.ב.ל 2019'!I32</f>
        <v>59582.23</v>
      </c>
      <c r="J66" s="4">
        <f>'תקציב אגף ת.ב.ל 2019'!J32</f>
        <v>546083</v>
      </c>
      <c r="K66" s="4">
        <f>'תקציב אגף ת.ב.ל 2019'!K32</f>
        <v>605665.23</v>
      </c>
      <c r="L66" s="4">
        <f>'תקציב אגף ת.ב.ל 2019'!L32</f>
        <v>969525.49</v>
      </c>
      <c r="M66" s="4">
        <f>'תקציב אגף ת.ב.ל 2019'!M32</f>
        <v>5474.5100000000093</v>
      </c>
      <c r="N66" s="4">
        <f>'תקציב אגף ת.ב.ל 2019'!N32</f>
        <v>125000</v>
      </c>
      <c r="O66" s="4">
        <f>'תקציב אגף ת.ב.ל 2019'!O32</f>
        <v>0</v>
      </c>
      <c r="P66" s="4">
        <f>'תקציב אגף ת.ב.ל 2019'!P32</f>
        <v>5474.5100000000093</v>
      </c>
      <c r="Q66" s="4">
        <f>'תקציב אגף ת.ב.ל 2019'!Q32</f>
        <v>0</v>
      </c>
      <c r="R66" s="4">
        <f>'תקציב אגף ת.ב.ל 2019'!R32</f>
        <v>0</v>
      </c>
      <c r="S66" s="4">
        <f>'תקציב אגף ת.ב.ל 2019'!S32</f>
        <v>0</v>
      </c>
      <c r="T66" s="4">
        <f>'תקציב אגף ת.ב.ל 2019'!T32</f>
        <v>0</v>
      </c>
      <c r="U66" s="4">
        <f>'תקציב אגף ת.ב.ל 2019'!U32</f>
        <v>125000</v>
      </c>
      <c r="V66" s="4">
        <f>'תקציב אגף ת.ב.ל 2019'!V32</f>
        <v>0</v>
      </c>
      <c r="W66" s="4">
        <f>'תקציב אגף ת.ב.ל 2019'!W32</f>
        <v>125000</v>
      </c>
      <c r="X66" s="4">
        <f>'תקציב אגף ת.ב.ל 2019'!X32</f>
        <v>0</v>
      </c>
      <c r="Y66" s="4">
        <f>'תקציב אגף ת.ב.ל 2019'!Y32</f>
        <v>0</v>
      </c>
      <c r="Z66" s="4">
        <f>'תקציב אגף ת.ב.ל 2019'!Z32</f>
        <v>0</v>
      </c>
      <c r="AA66" s="124" t="str">
        <f>'תקציב אגף ת.ב.ל 2019'!AA32</f>
        <v>עבודות שיקום חזיתות המקווה.</v>
      </c>
      <c r="AB66" s="3">
        <f>'תקציב אגף ת.ב.ל 2019'!AB32</f>
        <v>850000</v>
      </c>
      <c r="AC66" s="266"/>
      <c r="AD66" s="247"/>
      <c r="AE66" s="247"/>
      <c r="AF66" s="247"/>
      <c r="AG66" s="34"/>
      <c r="AH66" s="30"/>
      <c r="AI66" s="447"/>
      <c r="AJ66" s="448"/>
      <c r="AK66" s="449"/>
      <c r="AL66" s="31"/>
      <c r="AM66" s="31"/>
      <c r="AN66" s="31"/>
      <c r="AO66" s="31"/>
      <c r="AP66" s="30"/>
    </row>
    <row r="67" spans="1:42" s="5" customFormat="1">
      <c r="A67" s="3">
        <f>A66+1</f>
        <v>54</v>
      </c>
      <c r="B67" s="3">
        <v>1925</v>
      </c>
      <c r="C67" s="3" t="s">
        <v>228</v>
      </c>
      <c r="D67" s="4">
        <f>'תקציב אגף ת.ב.ל 2019'!D46</f>
        <v>1000000</v>
      </c>
      <c r="E67" s="4">
        <f>'תקציב אגף ת.ב.ל 2019'!E46</f>
        <v>1000000</v>
      </c>
      <c r="F67" s="4">
        <f>'תקציב אגף ת.ב.ל 2019'!F46</f>
        <v>0</v>
      </c>
      <c r="G67" s="4">
        <f>'תקציב אגף ת.ב.ל 2019'!G46</f>
        <v>1000000</v>
      </c>
      <c r="H67" s="4">
        <f>'תקציב אגף ת.ב.ל 2019'!H46</f>
        <v>898013.97</v>
      </c>
      <c r="I67" s="4">
        <f>'תקציב אגף ת.ב.ל 2019'!I46</f>
        <v>20622.419999999998</v>
      </c>
      <c r="J67" s="4">
        <f>'תקציב אגף ת.ב.ל 2019'!J46</f>
        <v>0</v>
      </c>
      <c r="K67" s="4">
        <f>'תקציב אגף ת.ב.ל 2019'!K46</f>
        <v>20622.419999999998</v>
      </c>
      <c r="L67" s="4">
        <f>'תקציב אגף ת.ב.ל 2019'!L46</f>
        <v>918636.39</v>
      </c>
      <c r="M67" s="4">
        <f>'תקציב אגף ת.ב.ל 2019'!M46</f>
        <v>81363.609999999986</v>
      </c>
      <c r="N67" s="4">
        <f>'תקציב אגף ת.ב.ל 2019'!N46</f>
        <v>0</v>
      </c>
      <c r="O67" s="4">
        <f>'תקציב אגף ת.ב.ל 2019'!O46</f>
        <v>0</v>
      </c>
      <c r="P67" s="4">
        <f>'תקציב אגף ת.ב.ל 2019'!P46</f>
        <v>81363.609999999986</v>
      </c>
      <c r="Q67" s="4">
        <f>'תקציב אגף ת.ב.ל 2019'!Q46</f>
        <v>0</v>
      </c>
      <c r="R67" s="4">
        <f>'תקציב אגף ת.ב.ל 2019'!R46</f>
        <v>0</v>
      </c>
      <c r="S67" s="4">
        <f>'תקציב אגף ת.ב.ל 2019'!S46</f>
        <v>0</v>
      </c>
      <c r="T67" s="4">
        <f>'תקציב אגף ת.ב.ל 2019'!T46</f>
        <v>0</v>
      </c>
      <c r="U67" s="4">
        <f>'תקציב אגף ת.ב.ל 2019'!U46</f>
        <v>0</v>
      </c>
      <c r="V67" s="4">
        <f>'תקציב אגף ת.ב.ל 2019'!V46</f>
        <v>0</v>
      </c>
      <c r="W67" s="4">
        <f>'תקציב אגף ת.ב.ל 2019'!W46</f>
        <v>0</v>
      </c>
      <c r="X67" s="4">
        <f>'תקציב אגף ת.ב.ל 2019'!X46</f>
        <v>0</v>
      </c>
      <c r="Y67" s="4">
        <f>'תקציב אגף ת.ב.ל 2019'!Y46</f>
        <v>0</v>
      </c>
      <c r="Z67" s="4">
        <f>'תקציב אגף ת.ב.ל 2019'!Z46</f>
        <v>0</v>
      </c>
      <c r="AA67" s="124">
        <f>'תקציב אגף ת.ב.ל 2019'!AA46</f>
        <v>0</v>
      </c>
      <c r="AB67" s="3">
        <f>'תקציב אגף ת.ב.ל 2019'!AB46</f>
        <v>850000</v>
      </c>
      <c r="AC67" s="266"/>
      <c r="AD67" s="247"/>
      <c r="AE67" s="247"/>
      <c r="AF67" s="247"/>
      <c r="AG67" s="34"/>
      <c r="AH67" s="30"/>
      <c r="AI67" s="447"/>
      <c r="AJ67" s="448"/>
      <c r="AK67" s="449"/>
      <c r="AL67" s="31"/>
      <c r="AM67" s="31"/>
      <c r="AN67" s="31"/>
      <c r="AO67" s="31"/>
      <c r="AP67" s="30"/>
    </row>
    <row r="68" spans="1:42" s="5" customFormat="1" ht="56">
      <c r="A68" s="3">
        <f>A67+1</f>
        <v>55</v>
      </c>
      <c r="B68" s="3">
        <v>1947</v>
      </c>
      <c r="C68" s="3" t="s">
        <v>326</v>
      </c>
      <c r="D68" s="4">
        <f>'תקציב אגף ת.ב.ל 2019'!D51</f>
        <v>2500000</v>
      </c>
      <c r="E68" s="4">
        <f>'תקציב אגף ת.ב.ל 2019'!E51</f>
        <v>2500000</v>
      </c>
      <c r="F68" s="4">
        <f>'תקציב אגף ת.ב.ל 2019'!F51</f>
        <v>0</v>
      </c>
      <c r="G68" s="4">
        <f>'תקציב אגף ת.ב.ל 2019'!G51</f>
        <v>1400000</v>
      </c>
      <c r="H68" s="4">
        <f>'תקציב אגף ת.ב.ל 2019'!H51</f>
        <v>18600.240000000002</v>
      </c>
      <c r="I68" s="4">
        <f>'תקציב אגף ת.ב.ל 2019'!I51</f>
        <v>126360</v>
      </c>
      <c r="J68" s="4">
        <f>'תקציב אגף ת.ב.ל 2019'!J51</f>
        <v>0</v>
      </c>
      <c r="K68" s="4">
        <f>'תקציב אגף ת.ב.ל 2019'!K51</f>
        <v>126360</v>
      </c>
      <c r="L68" s="4">
        <f>'תקציב אגף ת.ב.ל 2019'!L51</f>
        <v>144960.24</v>
      </c>
      <c r="M68" s="4">
        <f>'תקציב אגף ת.ב.ל 2019'!M51</f>
        <v>1255039.76</v>
      </c>
      <c r="N68" s="4">
        <f>'תקציב אגף ת.ב.ל 2019'!N51</f>
        <v>1100000</v>
      </c>
      <c r="O68" s="4">
        <f>'תקציב אגף ת.ב.ל 2019'!O51</f>
        <v>0</v>
      </c>
      <c r="P68" s="4">
        <f>'תקציב אגף ת.ב.ל 2019'!P51</f>
        <v>1255039.76</v>
      </c>
      <c r="Q68" s="4">
        <f>'תקציב אגף ת.ב.ל 2019'!Q51</f>
        <v>0</v>
      </c>
      <c r="R68" s="4">
        <f>'תקציב אגף ת.ב.ל 2019'!R51</f>
        <v>0</v>
      </c>
      <c r="S68" s="4">
        <f>'תקציב אגף ת.ב.ל 2019'!S51</f>
        <v>0</v>
      </c>
      <c r="T68" s="4">
        <f>'תקציב אגף ת.ב.ל 2019'!T51</f>
        <v>0</v>
      </c>
      <c r="U68" s="4">
        <f>'תקציב אגף ת.ב.ל 2019'!U51</f>
        <v>1100000</v>
      </c>
      <c r="V68" s="4">
        <f>'תקציב אגף ת.ב.ל 2019'!V51</f>
        <v>1100000</v>
      </c>
      <c r="W68" s="4">
        <f>'תקציב אגף ת.ב.ל 2019'!W51</f>
        <v>0</v>
      </c>
      <c r="X68" s="4">
        <f>'תקציב אגף ת.ב.ל 2019'!X51</f>
        <v>0</v>
      </c>
      <c r="Y68" s="4">
        <f>'תקציב אגף ת.ב.ל 2019'!Y51</f>
        <v>0</v>
      </c>
      <c r="Z68" s="4">
        <f>'תקציב אגף ת.ב.ל 2019'!Z51</f>
        <v>0</v>
      </c>
      <c r="AA68" s="124" t="str">
        <f>'תקציב אגף ת.ב.ל 2019'!AA51</f>
        <v>בנית פיר מעלית חיצוני בעקבות ביקורת של יועץ נגישות וקושי הנדסי לבנות את הפיר בתוך המבנה.</v>
      </c>
      <c r="AB68" s="3">
        <f>'תקציב אגף ת.ב.ל 2019'!AB51</f>
        <v>850000</v>
      </c>
      <c r="AC68" s="266"/>
      <c r="AD68" s="247"/>
      <c r="AE68" s="247"/>
      <c r="AF68" s="247"/>
      <c r="AG68" s="34"/>
      <c r="AH68" s="30"/>
      <c r="AI68" s="447"/>
      <c r="AJ68" s="448"/>
      <c r="AK68" s="449"/>
      <c r="AL68" s="31"/>
      <c r="AM68" s="31"/>
      <c r="AN68" s="31"/>
      <c r="AO68" s="31"/>
      <c r="AP68" s="30"/>
    </row>
    <row r="69" spans="1:42" s="5" customFormat="1" ht="28">
      <c r="A69" s="3">
        <f>A68+1</f>
        <v>56</v>
      </c>
      <c r="B69" s="3">
        <v>2029</v>
      </c>
      <c r="C69" s="3" t="s">
        <v>765</v>
      </c>
      <c r="D69" s="4">
        <f>'תקציב אגף ת.ב.ל 2019'!D61</f>
        <v>300000</v>
      </c>
      <c r="E69" s="4">
        <f>'תקציב אגף ת.ב.ל 2019'!E61</f>
        <v>300000</v>
      </c>
      <c r="F69" s="4">
        <f>'תקציב אגף ת.ב.ל 2019'!F61</f>
        <v>0</v>
      </c>
      <c r="G69" s="4">
        <f>'תקציב אגף ת.ב.ל 2019'!G61</f>
        <v>300000</v>
      </c>
      <c r="H69" s="4">
        <f>'תקציב אגף ת.ב.ל 2019'!H61</f>
        <v>0</v>
      </c>
      <c r="I69" s="4">
        <f>'תקציב אגף ת.ב.ל 2019'!I61</f>
        <v>0</v>
      </c>
      <c r="J69" s="4">
        <f>'תקציב אגף ת.ב.ל 2019'!J61</f>
        <v>0</v>
      </c>
      <c r="K69" s="4">
        <f>'תקציב אגף ת.ב.ל 2019'!K61</f>
        <v>0</v>
      </c>
      <c r="L69" s="4">
        <f>'תקציב אגף ת.ב.ל 2019'!L61</f>
        <v>0</v>
      </c>
      <c r="M69" s="4">
        <f>'תקציב אגף ת.ב.ל 2019'!M61</f>
        <v>300000</v>
      </c>
      <c r="N69" s="4">
        <f>'תקציב אגף ת.ב.ל 2019'!N61</f>
        <v>0</v>
      </c>
      <c r="O69" s="4">
        <f>'תקציב אגף ת.ב.ל 2019'!O61</f>
        <v>0</v>
      </c>
      <c r="P69" s="4">
        <f>'תקציב אגף ת.ב.ל 2019'!P61</f>
        <v>300000</v>
      </c>
      <c r="Q69" s="4">
        <f>'תקציב אגף ת.ב.ל 2019'!Q61</f>
        <v>0</v>
      </c>
      <c r="R69" s="4">
        <f>'תקציב אגף ת.ב.ל 2019'!R61</f>
        <v>0</v>
      </c>
      <c r="S69" s="4">
        <f>'תקציב אגף ת.ב.ל 2019'!S61</f>
        <v>0</v>
      </c>
      <c r="T69" s="4">
        <f>'תקציב אגף ת.ב.ל 2019'!T61</f>
        <v>0</v>
      </c>
      <c r="U69" s="4">
        <f>'תקציב אגף ת.ב.ל 2019'!U61</f>
        <v>0</v>
      </c>
      <c r="V69" s="4">
        <f>'תקציב אגף ת.ב.ל 2019'!V61</f>
        <v>0</v>
      </c>
      <c r="W69" s="4">
        <f>'תקציב אגף ת.ב.ל 2019'!W61</f>
        <v>0</v>
      </c>
      <c r="X69" s="4">
        <f>'תקציב אגף ת.ב.ל 2019'!X61</f>
        <v>0</v>
      </c>
      <c r="Y69" s="4">
        <f>'תקציב אגף ת.ב.ל 2019'!Y61</f>
        <v>0</v>
      </c>
      <c r="Z69" s="4">
        <f>'תקציב אגף ת.ב.ל 2019'!Z61</f>
        <v>0</v>
      </c>
      <c r="AA69" s="124">
        <f>'תקציב אגף ת.ב.ל 2019'!AA61</f>
        <v>0</v>
      </c>
      <c r="AB69" s="3">
        <f>'תקציב אגף ת.ב.ל 2019'!AB61</f>
        <v>850000</v>
      </c>
      <c r="AC69" s="266"/>
      <c r="AD69" s="247"/>
      <c r="AE69" s="247"/>
      <c r="AF69" s="247"/>
      <c r="AG69" s="34"/>
      <c r="AH69" s="30"/>
      <c r="AI69" s="447"/>
      <c r="AJ69" s="448"/>
      <c r="AK69" s="30"/>
      <c r="AL69" s="31"/>
      <c r="AM69" s="31"/>
      <c r="AN69" s="31"/>
      <c r="AO69" s="31"/>
      <c r="AP69" s="30"/>
    </row>
    <row r="70" spans="1:42" s="101" customFormat="1">
      <c r="A70" s="44"/>
      <c r="B70" s="44"/>
      <c r="C70" s="44" t="s">
        <v>1223</v>
      </c>
      <c r="D70" s="125">
        <f>SUM(D65:D69)</f>
        <v>9600000</v>
      </c>
      <c r="E70" s="125">
        <f t="shared" ref="E70:Z70" si="10">SUM(E65:E69)</f>
        <v>8975000</v>
      </c>
      <c r="F70" s="125">
        <f t="shared" si="10"/>
        <v>625000</v>
      </c>
      <c r="G70" s="125">
        <f t="shared" si="10"/>
        <v>7875000</v>
      </c>
      <c r="H70" s="125">
        <f t="shared" si="10"/>
        <v>4889035.1500000004</v>
      </c>
      <c r="I70" s="125">
        <f t="shared" si="10"/>
        <v>206564.65</v>
      </c>
      <c r="J70" s="125">
        <f t="shared" si="10"/>
        <v>1112088.72</v>
      </c>
      <c r="K70" s="125">
        <f t="shared" si="10"/>
        <v>1318653.3699999999</v>
      </c>
      <c r="L70" s="125">
        <f t="shared" si="10"/>
        <v>6207688.5200000005</v>
      </c>
      <c r="M70" s="125">
        <f t="shared" si="10"/>
        <v>1667311.4799999995</v>
      </c>
      <c r="N70" s="125">
        <f t="shared" si="10"/>
        <v>1725000</v>
      </c>
      <c r="O70" s="125">
        <f t="shared" si="10"/>
        <v>0</v>
      </c>
      <c r="P70" s="125">
        <f t="shared" si="10"/>
        <v>1667311.4799999995</v>
      </c>
      <c r="Q70" s="125">
        <f t="shared" si="10"/>
        <v>0</v>
      </c>
      <c r="R70" s="125">
        <f t="shared" si="10"/>
        <v>0</v>
      </c>
      <c r="S70" s="125">
        <f t="shared" si="10"/>
        <v>0</v>
      </c>
      <c r="T70" s="125">
        <f t="shared" si="10"/>
        <v>0</v>
      </c>
      <c r="U70" s="125">
        <f t="shared" si="10"/>
        <v>1725000</v>
      </c>
      <c r="V70" s="125">
        <f t="shared" si="10"/>
        <v>1100000</v>
      </c>
      <c r="W70" s="125">
        <f t="shared" si="10"/>
        <v>625000</v>
      </c>
      <c r="X70" s="125">
        <f t="shared" si="10"/>
        <v>0</v>
      </c>
      <c r="Y70" s="125">
        <f t="shared" si="10"/>
        <v>0</v>
      </c>
      <c r="Z70" s="125">
        <f t="shared" si="10"/>
        <v>0</v>
      </c>
      <c r="AA70" s="620"/>
      <c r="AB70" s="44"/>
      <c r="AC70" s="622"/>
      <c r="AD70" s="642"/>
      <c r="AE70" s="642"/>
      <c r="AF70" s="642"/>
      <c r="AG70" s="654"/>
      <c r="AH70" s="390"/>
      <c r="AI70" s="657"/>
      <c r="AJ70" s="658"/>
      <c r="AK70" s="390"/>
      <c r="AL70" s="391"/>
      <c r="AM70" s="391"/>
      <c r="AN70" s="391"/>
      <c r="AO70" s="391"/>
      <c r="AP70" s="390"/>
    </row>
    <row r="71" spans="1:42" s="5" customFormat="1">
      <c r="A71" s="3">
        <f>A69+1</f>
        <v>57</v>
      </c>
      <c r="B71" s="3">
        <v>1662</v>
      </c>
      <c r="C71" s="3" t="s">
        <v>230</v>
      </c>
      <c r="D71" s="4">
        <f>'תקציב אגף ת.ב.ל 2019'!D24</f>
        <v>815000</v>
      </c>
      <c r="E71" s="4">
        <f>'תקציב אגף ת.ב.ל 2019'!E24</f>
        <v>815000</v>
      </c>
      <c r="F71" s="4">
        <f>'תקציב אגף ת.ב.ל 2019'!F24</f>
        <v>0</v>
      </c>
      <c r="G71" s="4">
        <f>'תקציב אגף ת.ב.ל 2019'!G24</f>
        <v>425000</v>
      </c>
      <c r="H71" s="4">
        <f>'תקציב אגף ת.ב.ל 2019'!H24</f>
        <v>241865.62</v>
      </c>
      <c r="I71" s="4">
        <f>'תקציב אגף ת.ב.ל 2019'!I24</f>
        <v>0</v>
      </c>
      <c r="J71" s="4">
        <f>'תקציב אגף ת.ב.ל 2019'!J24</f>
        <v>0</v>
      </c>
      <c r="K71" s="4">
        <f>'תקציב אגף ת.ב.ל 2019'!K24</f>
        <v>0</v>
      </c>
      <c r="L71" s="4">
        <f>'תקציב אגף ת.ב.ל 2019'!L24</f>
        <v>241865.62</v>
      </c>
      <c r="M71" s="4">
        <f>'תקציב אגף ת.ב.ל 2019'!M24</f>
        <v>573134.38</v>
      </c>
      <c r="N71" s="4">
        <f>'תקציב אגף ת.ב.ל 2019'!N24</f>
        <v>0</v>
      </c>
      <c r="O71" s="4">
        <f>'תקציב אגף ת.ב.ל 2019'!O24</f>
        <v>0</v>
      </c>
      <c r="P71" s="4">
        <f>'תקציב אגף ת.ב.ל 2019'!P24</f>
        <v>183134.38</v>
      </c>
      <c r="Q71" s="4">
        <f>'תקציב אגף ת.ב.ל 2019'!Q24</f>
        <v>390000</v>
      </c>
      <c r="R71" s="4">
        <f>'תקציב אגף ת.ב.ל 2019'!R24</f>
        <v>0</v>
      </c>
      <c r="S71" s="4">
        <f>'תקציב אגף ת.ב.ל 2019'!S24</f>
        <v>390000</v>
      </c>
      <c r="T71" s="4">
        <f>'תקציב אגף ת.ב.ל 2019'!T24</f>
        <v>0</v>
      </c>
      <c r="U71" s="4">
        <f>'תקציב אגף ת.ב.ל 2019'!U24</f>
        <v>0</v>
      </c>
      <c r="V71" s="4">
        <f>'תקציב אגף ת.ב.ל 2019'!V24</f>
        <v>0</v>
      </c>
      <c r="W71" s="4">
        <f>'תקציב אגף ת.ב.ל 2019'!W24</f>
        <v>0</v>
      </c>
      <c r="X71" s="4">
        <f>'תקציב אגף ת.ב.ל 2019'!X24</f>
        <v>0</v>
      </c>
      <c r="Y71" s="4">
        <f>'תקציב אגף ת.ב.ל 2019'!Y24</f>
        <v>0</v>
      </c>
      <c r="Z71" s="4">
        <f>'תקציב אגף ת.ב.ל 2019'!Z24</f>
        <v>0</v>
      </c>
      <c r="AA71" s="124">
        <f>'תקציב אגף ת.ב.ל 2019'!AA24</f>
        <v>0</v>
      </c>
      <c r="AB71" s="3">
        <f>'תקציב אגף ת.ב.ל 2019'!AB24</f>
        <v>870000</v>
      </c>
      <c r="AC71" s="266"/>
      <c r="AD71" s="247"/>
      <c r="AE71" s="247"/>
      <c r="AF71" s="247"/>
      <c r="AG71" s="34"/>
      <c r="AH71" s="30"/>
      <c r="AI71" s="447"/>
      <c r="AJ71" s="448"/>
      <c r="AK71" s="449"/>
      <c r="AL71" s="31"/>
      <c r="AM71" s="31"/>
      <c r="AN71" s="31"/>
      <c r="AO71" s="31"/>
      <c r="AP71" s="30"/>
    </row>
    <row r="72" spans="1:42" s="5" customFormat="1" ht="28">
      <c r="A72" s="3">
        <f>A71+1</f>
        <v>58</v>
      </c>
      <c r="B72" s="3">
        <v>1966</v>
      </c>
      <c r="C72" s="3" t="s">
        <v>1329</v>
      </c>
      <c r="D72" s="4">
        <f>'תקציב אגף ת.ב.ל 2019'!D52</f>
        <v>1700000</v>
      </c>
      <c r="E72" s="4">
        <f>'תקציב אגף ת.ב.ל 2019'!E52</f>
        <v>1700000</v>
      </c>
      <c r="F72" s="4">
        <f>'תקציב אגף ת.ב.ל 2019'!F52</f>
        <v>0</v>
      </c>
      <c r="G72" s="4">
        <f>'תקציב אגף ת.ב.ל 2019'!G52</f>
        <v>0</v>
      </c>
      <c r="H72" s="4">
        <f>'תקציב אגף ת.ב.ל 2019'!H52</f>
        <v>0</v>
      </c>
      <c r="I72" s="4">
        <f>'תקציב אגף ת.ב.ל 2019'!I52</f>
        <v>0</v>
      </c>
      <c r="J72" s="4">
        <f>'תקציב אגף ת.ב.ל 2019'!J52</f>
        <v>0</v>
      </c>
      <c r="K72" s="4">
        <f>'תקציב אגף ת.ב.ל 2019'!K52</f>
        <v>0</v>
      </c>
      <c r="L72" s="4">
        <f>'תקציב אגף ת.ב.ל 2019'!L52</f>
        <v>0</v>
      </c>
      <c r="M72" s="4">
        <f>'תקציב אגף ת.ב.ל 2019'!M52</f>
        <v>1700000</v>
      </c>
      <c r="N72" s="4">
        <f>'תקציב אגף ת.ב.ל 2019'!N52</f>
        <v>0</v>
      </c>
      <c r="O72" s="4">
        <f>'תקציב אגף ת.ב.ל 2019'!O52</f>
        <v>0</v>
      </c>
      <c r="P72" s="4">
        <f>'תקציב אגף ת.ב.ל 2019'!P52</f>
        <v>0</v>
      </c>
      <c r="Q72" s="4">
        <f>'תקציב אגף ת.ב.ל 2019'!Q52</f>
        <v>1700000</v>
      </c>
      <c r="R72" s="4">
        <f>'תקציב אגף ת.ב.ל 2019'!R52</f>
        <v>0</v>
      </c>
      <c r="S72" s="4">
        <f>'תקציב אגף ת.ב.ל 2019'!S52</f>
        <v>1700000</v>
      </c>
      <c r="T72" s="4">
        <f>'תקציב אגף ת.ב.ל 2019'!T52</f>
        <v>0</v>
      </c>
      <c r="U72" s="4">
        <f>'תקציב אגף ת.ב.ל 2019'!U52</f>
        <v>0</v>
      </c>
      <c r="V72" s="4">
        <f>'תקציב אגף ת.ב.ל 2019'!V52</f>
        <v>0</v>
      </c>
      <c r="W72" s="4">
        <f>'תקציב אגף ת.ב.ל 2019'!W52</f>
        <v>0</v>
      </c>
      <c r="X72" s="4">
        <f>'תקציב אגף ת.ב.ל 2019'!X52</f>
        <v>0</v>
      </c>
      <c r="Y72" s="4">
        <f>'תקציב אגף ת.ב.ל 2019'!Y52</f>
        <v>0</v>
      </c>
      <c r="Z72" s="4">
        <f>'תקציב אגף ת.ב.ל 2019'!Z52</f>
        <v>0</v>
      </c>
      <c r="AA72" s="124">
        <f>'תקציב אגף ת.ב.ל 2019'!AA52</f>
        <v>0</v>
      </c>
      <c r="AB72" s="3">
        <f>'תקציב אגף ת.ב.ל 2019'!AB52</f>
        <v>870000</v>
      </c>
      <c r="AC72" s="266"/>
      <c r="AD72" s="247"/>
      <c r="AE72" s="247"/>
      <c r="AF72" s="247"/>
      <c r="AG72" s="34"/>
      <c r="AH72" s="30"/>
      <c r="AI72" s="447"/>
      <c r="AJ72" s="448"/>
      <c r="AK72" s="449"/>
      <c r="AL72" s="31"/>
      <c r="AM72" s="31"/>
      <c r="AN72" s="30"/>
      <c r="AO72" s="30"/>
      <c r="AP72" s="30"/>
    </row>
    <row r="73" spans="1:42" s="101" customFormat="1">
      <c r="A73" s="44"/>
      <c r="B73" s="44"/>
      <c r="C73" s="44" t="s">
        <v>1219</v>
      </c>
      <c r="D73" s="125">
        <f>SUM(D71:D72)</f>
        <v>2515000</v>
      </c>
      <c r="E73" s="125">
        <f t="shared" ref="E73:Z73" si="11">SUM(E71:E72)</f>
        <v>2515000</v>
      </c>
      <c r="F73" s="125">
        <f t="shared" si="11"/>
        <v>0</v>
      </c>
      <c r="G73" s="125">
        <f t="shared" si="11"/>
        <v>425000</v>
      </c>
      <c r="H73" s="125">
        <f t="shared" si="11"/>
        <v>241865.62</v>
      </c>
      <c r="I73" s="125">
        <f t="shared" si="11"/>
        <v>0</v>
      </c>
      <c r="J73" s="125">
        <f t="shared" si="11"/>
        <v>0</v>
      </c>
      <c r="K73" s="125">
        <f t="shared" si="11"/>
        <v>0</v>
      </c>
      <c r="L73" s="125">
        <f t="shared" si="11"/>
        <v>241865.62</v>
      </c>
      <c r="M73" s="125">
        <f t="shared" si="11"/>
        <v>2273134.38</v>
      </c>
      <c r="N73" s="125">
        <f t="shared" si="11"/>
        <v>0</v>
      </c>
      <c r="O73" s="125">
        <f t="shared" si="11"/>
        <v>0</v>
      </c>
      <c r="P73" s="125">
        <f t="shared" si="11"/>
        <v>183134.38</v>
      </c>
      <c r="Q73" s="125">
        <f t="shared" si="11"/>
        <v>2090000</v>
      </c>
      <c r="R73" s="125">
        <f t="shared" si="11"/>
        <v>0</v>
      </c>
      <c r="S73" s="125">
        <f t="shared" si="11"/>
        <v>2090000</v>
      </c>
      <c r="T73" s="125">
        <f t="shared" si="11"/>
        <v>0</v>
      </c>
      <c r="U73" s="125">
        <f t="shared" si="11"/>
        <v>0</v>
      </c>
      <c r="V73" s="125">
        <f t="shared" si="11"/>
        <v>0</v>
      </c>
      <c r="W73" s="125">
        <f t="shared" si="11"/>
        <v>0</v>
      </c>
      <c r="X73" s="125">
        <f t="shared" si="11"/>
        <v>0</v>
      </c>
      <c r="Y73" s="125">
        <f t="shared" si="11"/>
        <v>0</v>
      </c>
      <c r="Z73" s="125">
        <f t="shared" si="11"/>
        <v>0</v>
      </c>
      <c r="AA73" s="620"/>
      <c r="AB73" s="44"/>
      <c r="AC73" s="622"/>
      <c r="AD73" s="642"/>
      <c r="AE73" s="642"/>
      <c r="AF73" s="642"/>
      <c r="AG73" s="654"/>
      <c r="AH73" s="390"/>
      <c r="AI73" s="657"/>
      <c r="AJ73" s="658"/>
      <c r="AK73" s="390"/>
      <c r="AL73" s="391"/>
      <c r="AM73" s="391"/>
      <c r="AN73" s="390"/>
      <c r="AO73" s="390"/>
      <c r="AP73" s="390"/>
    </row>
    <row r="74" spans="1:42" s="5" customFormat="1" ht="28">
      <c r="A74" s="3">
        <f>A72+1</f>
        <v>59</v>
      </c>
      <c r="B74" s="3">
        <v>1415</v>
      </c>
      <c r="C74" s="3" t="s">
        <v>73</v>
      </c>
      <c r="D74" s="4">
        <f>'תקציב אגף ת.ב.ל 2019'!D11</f>
        <v>1150000</v>
      </c>
      <c r="E74" s="4">
        <f>'תקציב אגף ת.ב.ל 2019'!E11</f>
        <v>1150000</v>
      </c>
      <c r="F74" s="4">
        <f>'תקציב אגף ת.ב.ל 2019'!F11</f>
        <v>0</v>
      </c>
      <c r="G74" s="4">
        <f>'תקציב אגף ת.ב.ל 2019'!G11</f>
        <v>1000000</v>
      </c>
      <c r="H74" s="4">
        <f>'תקציב אגף ת.ב.ל 2019'!H11</f>
        <v>957150.93</v>
      </c>
      <c r="I74" s="4">
        <f>'תקציב אגף ת.ב.ל 2019'!I11</f>
        <v>0</v>
      </c>
      <c r="J74" s="4">
        <f>'תקציב אגף ת.ב.ל 2019'!J11</f>
        <v>19423</v>
      </c>
      <c r="K74" s="4">
        <f>'תקציב אגף ת.ב.ל 2019'!K11</f>
        <v>19423</v>
      </c>
      <c r="L74" s="4">
        <f>'תקציב אגף ת.ב.ל 2019'!L11</f>
        <v>976573.93</v>
      </c>
      <c r="M74" s="4">
        <f>'תקציב אגף ת.ב.ל 2019'!M11</f>
        <v>23426.069999999949</v>
      </c>
      <c r="N74" s="4">
        <f>'תקציב אגף ת.ב.ל 2019'!N11</f>
        <v>100000</v>
      </c>
      <c r="O74" s="4">
        <f>'תקציב אגף ת.ב.ל 2019'!O11</f>
        <v>50000</v>
      </c>
      <c r="P74" s="4">
        <f>'תקציב אגף ת.ב.ל 2019'!P11</f>
        <v>23426.069999999949</v>
      </c>
      <c r="Q74" s="4">
        <f>'תקציב אגף ת.ב.ל 2019'!Q11</f>
        <v>0</v>
      </c>
      <c r="R74" s="4">
        <f>'תקציב אגף ת.ב.ל 2019'!R11</f>
        <v>0</v>
      </c>
      <c r="S74" s="4">
        <f>'תקציב אגף ת.ב.ל 2019'!S11</f>
        <v>0</v>
      </c>
      <c r="T74" s="4">
        <f>'תקציב אגף ת.ב.ל 2019'!T11</f>
        <v>0</v>
      </c>
      <c r="U74" s="4">
        <f>'תקציב אגף ת.ב.ל 2019'!U11</f>
        <v>100000</v>
      </c>
      <c r="V74" s="4">
        <f>'תקציב אגף ת.ב.ל 2019'!V11</f>
        <v>0</v>
      </c>
      <c r="W74" s="4">
        <f>'תקציב אגף ת.ב.ל 2019'!W11</f>
        <v>100000</v>
      </c>
      <c r="X74" s="4">
        <f>'תקציב אגף ת.ב.ל 2019'!X11</f>
        <v>0</v>
      </c>
      <c r="Y74" s="4">
        <f>'תקציב אגף ת.ב.ל 2019'!Y11</f>
        <v>0</v>
      </c>
      <c r="Z74" s="4">
        <f>'תקציב אגף ת.ב.ל 2019'!Z11</f>
        <v>0</v>
      </c>
      <c r="AA74" s="124" t="str">
        <f>'תקציב אגף ת.ב.ל 2019'!AA11</f>
        <v>סל להחלפה ושדרוג מזגנים במוסדות עירייה.</v>
      </c>
      <c r="AB74" s="3">
        <f>'תקציב אגף ת.ב.ל 2019'!AB11</f>
        <v>930000</v>
      </c>
      <c r="AC74" s="266"/>
      <c r="AD74" s="247"/>
      <c r="AE74" s="247"/>
      <c r="AF74" s="247"/>
      <c r="AG74" s="34"/>
      <c r="AH74" s="30"/>
      <c r="AI74" s="447"/>
      <c r="AJ74" s="448"/>
      <c r="AK74" s="449"/>
      <c r="AL74" s="31"/>
      <c r="AM74" s="31"/>
      <c r="AN74" s="31"/>
      <c r="AO74" s="31"/>
      <c r="AP74" s="30"/>
    </row>
    <row r="75" spans="1:42" s="5" customFormat="1" ht="28">
      <c r="A75" s="3">
        <f>A74+1</f>
        <v>60</v>
      </c>
      <c r="B75" s="3">
        <v>1416</v>
      </c>
      <c r="C75" s="3" t="s">
        <v>178</v>
      </c>
      <c r="D75" s="4">
        <f>'תקציב אגף ת.ב.ל 2019'!D12</f>
        <v>1700000</v>
      </c>
      <c r="E75" s="4">
        <f>'תקציב אגף ת.ב.ל 2019'!E12</f>
        <v>1700000</v>
      </c>
      <c r="F75" s="4">
        <f>'תקציב אגף ת.ב.ל 2019'!F12</f>
        <v>0</v>
      </c>
      <c r="G75" s="4">
        <f>'תקציב אגף ת.ב.ל 2019'!G12</f>
        <v>1350000</v>
      </c>
      <c r="H75" s="4">
        <f>'תקציב אגף ת.ב.ל 2019'!H12</f>
        <v>1284229</v>
      </c>
      <c r="I75" s="4">
        <f>'תקציב אגף ת.ב.ל 2019'!I12</f>
        <v>0</v>
      </c>
      <c r="J75" s="4">
        <f>'תקציב אגף ת.ב.ל 2019'!J12</f>
        <v>64188</v>
      </c>
      <c r="K75" s="4">
        <f>'תקציב אגף ת.ב.ל 2019'!K12</f>
        <v>64188</v>
      </c>
      <c r="L75" s="4">
        <f>'תקציב אגף ת.ב.ל 2019'!L12</f>
        <v>1348417</v>
      </c>
      <c r="M75" s="4">
        <f>'תקציב אגף ת.ב.ל 2019'!M12</f>
        <v>1583</v>
      </c>
      <c r="N75" s="4">
        <f>'תקציב אגף ת.ב.ל 2019'!N12</f>
        <v>150000</v>
      </c>
      <c r="O75" s="4">
        <f>'תקציב אגף ת.ב.ל 2019'!O12</f>
        <v>200000</v>
      </c>
      <c r="P75" s="4">
        <f>'תקציב אגף ת.ב.ל 2019'!P12</f>
        <v>1583</v>
      </c>
      <c r="Q75" s="4">
        <f>'תקציב אגף ת.ב.ל 2019'!Q12</f>
        <v>0</v>
      </c>
      <c r="R75" s="4">
        <f>'תקציב אגף ת.ב.ל 2019'!R12</f>
        <v>0</v>
      </c>
      <c r="S75" s="4">
        <f>'תקציב אגף ת.ב.ל 2019'!S12</f>
        <v>0</v>
      </c>
      <c r="T75" s="4">
        <f>'תקציב אגף ת.ב.ל 2019'!T12</f>
        <v>0</v>
      </c>
      <c r="U75" s="4">
        <f>'תקציב אגף ת.ב.ל 2019'!U12</f>
        <v>150000</v>
      </c>
      <c r="V75" s="4">
        <f>'תקציב אגף ת.ב.ל 2019'!V12</f>
        <v>0</v>
      </c>
      <c r="W75" s="4">
        <f>'תקציב אגף ת.ב.ל 2019'!W12</f>
        <v>150000</v>
      </c>
      <c r="X75" s="4">
        <f>'תקציב אגף ת.ב.ל 2019'!X12</f>
        <v>0</v>
      </c>
      <c r="Y75" s="4">
        <f>'תקציב אגף ת.ב.ל 2019'!Y12</f>
        <v>0</v>
      </c>
      <c r="Z75" s="4">
        <f>'תקציב אגף ת.ב.ל 2019'!Z12</f>
        <v>0</v>
      </c>
      <c r="AA75" s="124" t="str">
        <f>'תקציב אגף ת.ב.ל 2019'!AA12</f>
        <v>סל לשיפוץ ובינוי נכסים עירוניים.</v>
      </c>
      <c r="AB75" s="3">
        <f>'תקציב אגף ת.ב.ל 2019'!AB12</f>
        <v>930000</v>
      </c>
      <c r="AC75" s="266"/>
      <c r="AD75" s="247"/>
      <c r="AE75" s="247"/>
      <c r="AF75" s="247"/>
      <c r="AG75" s="34"/>
      <c r="AH75" s="30"/>
      <c r="AI75" s="447"/>
      <c r="AJ75" s="448"/>
      <c r="AK75" s="449"/>
      <c r="AL75" s="31"/>
      <c r="AM75" s="31"/>
      <c r="AN75" s="31"/>
      <c r="AO75" s="31"/>
      <c r="AP75" s="30"/>
    </row>
    <row r="76" spans="1:42" s="5" customFormat="1" ht="28">
      <c r="A76" s="3">
        <f>A75+1</f>
        <v>61</v>
      </c>
      <c r="B76" s="3">
        <v>1478</v>
      </c>
      <c r="C76" s="3" t="s">
        <v>1326</v>
      </c>
      <c r="D76" s="4">
        <f>'תקציב אגף ת.ב.ל 2019'!D16</f>
        <v>1800000</v>
      </c>
      <c r="E76" s="4">
        <f>'תקציב אגף ת.ב.ל 2019'!E16</f>
        <v>1800000</v>
      </c>
      <c r="F76" s="4">
        <f>'תקציב אגף ת.ב.ל 2019'!F16</f>
        <v>0</v>
      </c>
      <c r="G76" s="4">
        <f>'תקציב אגף ת.ב.ל 2019'!G16</f>
        <v>1800000</v>
      </c>
      <c r="H76" s="4">
        <f>'תקציב אגף ת.ב.ל 2019'!H16</f>
        <v>1771495.78</v>
      </c>
      <c r="I76" s="4">
        <f>'תקציב אגף ת.ב.ל 2019'!I16</f>
        <v>0</v>
      </c>
      <c r="J76" s="4">
        <f>'תקציב אגף ת.ב.ל 2019'!J16</f>
        <v>27334</v>
      </c>
      <c r="K76" s="4">
        <f>'תקציב אגף ת.ב.ל 2019'!K16</f>
        <v>27334</v>
      </c>
      <c r="L76" s="4">
        <f>'תקציב אגף ת.ב.ל 2019'!L16</f>
        <v>1798829.78</v>
      </c>
      <c r="M76" s="4">
        <f>'תקציב אגף ת.ב.ל 2019'!M16</f>
        <v>1170.2199999999721</v>
      </c>
      <c r="N76" s="4">
        <f>'תקציב אגף ת.ב.ל 2019'!N16</f>
        <v>0</v>
      </c>
      <c r="O76" s="4">
        <f>'תקציב אגף ת.ב.ל 2019'!O16</f>
        <v>0</v>
      </c>
      <c r="P76" s="4">
        <f>'תקציב אגף ת.ב.ל 2019'!P16</f>
        <v>1170.2199999999721</v>
      </c>
      <c r="Q76" s="4">
        <f>'תקציב אגף ת.ב.ל 2019'!Q16</f>
        <v>0</v>
      </c>
      <c r="R76" s="4">
        <f>'תקציב אגף ת.ב.ל 2019'!R16</f>
        <v>0</v>
      </c>
      <c r="S76" s="4">
        <f>'תקציב אגף ת.ב.ל 2019'!S16</f>
        <v>0</v>
      </c>
      <c r="T76" s="4">
        <f>'תקציב אגף ת.ב.ל 2019'!T16</f>
        <v>0</v>
      </c>
      <c r="U76" s="4">
        <f>'תקציב אגף ת.ב.ל 2019'!U16</f>
        <v>0</v>
      </c>
      <c r="V76" s="4">
        <f>'תקציב אגף ת.ב.ל 2019'!V16</f>
        <v>0</v>
      </c>
      <c r="W76" s="4">
        <f>'תקציב אגף ת.ב.ל 2019'!W16</f>
        <v>0</v>
      </c>
      <c r="X76" s="4">
        <f>'תקציב אגף ת.ב.ל 2019'!X16</f>
        <v>0</v>
      </c>
      <c r="Y76" s="4">
        <f>'תקציב אגף ת.ב.ל 2019'!Y16</f>
        <v>0</v>
      </c>
      <c r="Z76" s="4">
        <f>'תקציב אגף ת.ב.ל 2019'!Z16</f>
        <v>0</v>
      </c>
      <c r="AA76" s="124" t="str">
        <f>'תקציב אגף ת.ב.ל 2019'!AA16</f>
        <v>סל לאיטום גגות מוסדות חינוך ומוסדות עירייה.</v>
      </c>
      <c r="AB76" s="3">
        <f>'תקציב אגף ת.ב.ל 2019'!AB16</f>
        <v>930000</v>
      </c>
      <c r="AC76" s="266"/>
      <c r="AD76" s="247"/>
      <c r="AE76" s="247"/>
      <c r="AF76" s="247"/>
      <c r="AG76" s="34"/>
      <c r="AH76" s="30"/>
      <c r="AI76" s="447"/>
      <c r="AJ76" s="448"/>
      <c r="AK76" s="449"/>
      <c r="AL76" s="31"/>
      <c r="AM76" s="31"/>
      <c r="AN76" s="31"/>
      <c r="AO76" s="31"/>
      <c r="AP76" s="30"/>
    </row>
    <row r="77" spans="1:42" s="5" customFormat="1" ht="42">
      <c r="A77" s="3">
        <f>A76+1</f>
        <v>62</v>
      </c>
      <c r="B77" s="3">
        <v>2061</v>
      </c>
      <c r="C77" s="3" t="s">
        <v>766</v>
      </c>
      <c r="D77" s="4">
        <f>'תקציב אגף ת.ב.ל 2019'!D63</f>
        <v>290000</v>
      </c>
      <c r="E77" s="4">
        <f>'תקציב אגף ת.ב.ל 2019'!E63</f>
        <v>290000</v>
      </c>
      <c r="F77" s="4">
        <f>'תקציב אגף ת.ב.ל 2019'!F63</f>
        <v>0</v>
      </c>
      <c r="G77" s="4">
        <f>'תקציב אגף ת.ב.ל 2019'!G63</f>
        <v>290000</v>
      </c>
      <c r="H77" s="4">
        <f>'תקציב אגף ת.ב.ל 2019'!H63</f>
        <v>0</v>
      </c>
      <c r="I77" s="4">
        <f>'תקציב אגף ת.ב.ל 2019'!I63</f>
        <v>0</v>
      </c>
      <c r="J77" s="4">
        <f>'תקציב אגף ת.ב.ל 2019'!J63</f>
        <v>243144</v>
      </c>
      <c r="K77" s="4">
        <f>'תקציב אגף ת.ב.ל 2019'!K63</f>
        <v>243144</v>
      </c>
      <c r="L77" s="4">
        <f>'תקציב אגף ת.ב.ל 2019'!L63</f>
        <v>243144</v>
      </c>
      <c r="M77" s="4">
        <f>'תקציב אגף ת.ב.ל 2019'!M63</f>
        <v>46856</v>
      </c>
      <c r="N77" s="4">
        <f>'תקציב אגף ת.ב.ל 2019'!N63</f>
        <v>0</v>
      </c>
      <c r="O77" s="4">
        <f>'תקציב אגף ת.ב.ל 2019'!O63</f>
        <v>0</v>
      </c>
      <c r="P77" s="4">
        <f>'תקציב אגף ת.ב.ל 2019'!P63</f>
        <v>46856</v>
      </c>
      <c r="Q77" s="4">
        <f>'תקציב אגף ת.ב.ל 2019'!Q63</f>
        <v>0</v>
      </c>
      <c r="R77" s="4">
        <f>'תקציב אגף ת.ב.ל 2019'!R63</f>
        <v>0</v>
      </c>
      <c r="S77" s="4">
        <f>'תקציב אגף ת.ב.ל 2019'!S63</f>
        <v>0</v>
      </c>
      <c r="T77" s="4">
        <f>'תקציב אגף ת.ב.ל 2019'!T63</f>
        <v>0</v>
      </c>
      <c r="U77" s="4">
        <f>'תקציב אגף ת.ב.ל 2019'!U63</f>
        <v>0</v>
      </c>
      <c r="V77" s="4">
        <f>'תקציב אגף ת.ב.ל 2019'!V63</f>
        <v>0</v>
      </c>
      <c r="W77" s="4">
        <f>'תקציב אגף ת.ב.ל 2019'!W63</f>
        <v>0</v>
      </c>
      <c r="X77" s="4">
        <f>'תקציב אגף ת.ב.ל 2019'!X63</f>
        <v>0</v>
      </c>
      <c r="Y77" s="4">
        <f>'תקציב אגף ת.ב.ל 2019'!Y63</f>
        <v>0</v>
      </c>
      <c r="Z77" s="4">
        <f>'תקציב אגף ת.ב.ל 2019'!Z63</f>
        <v>0</v>
      </c>
      <c r="AA77" s="124" t="str">
        <f>'תקציב אגף ת.ב.ל 2019'!AA63</f>
        <v>שיפוץ קומת הקרקע במבנה לטובת פעילות  יחידת הבריאות העירונית.</v>
      </c>
      <c r="AB77" s="3">
        <f>'תקציב אגף ת.ב.ל 2019'!AB63</f>
        <v>930000</v>
      </c>
      <c r="AC77" s="266"/>
      <c r="AD77" s="247"/>
      <c r="AE77" s="247"/>
      <c r="AF77" s="247"/>
      <c r="AG77" s="34"/>
      <c r="AH77" s="30"/>
      <c r="AI77" s="447"/>
      <c r="AJ77" s="448"/>
      <c r="AK77" s="30"/>
      <c r="AL77" s="31"/>
      <c r="AM77" s="31"/>
      <c r="AN77" s="31"/>
      <c r="AO77" s="31"/>
      <c r="AP77" s="30"/>
    </row>
    <row r="78" spans="1:42" s="5" customFormat="1" ht="28">
      <c r="A78" s="3">
        <f>A77+1</f>
        <v>63</v>
      </c>
      <c r="B78" s="3">
        <v>2074</v>
      </c>
      <c r="C78" s="3" t="s">
        <v>769</v>
      </c>
      <c r="D78" s="4">
        <f>'תקציב אגף ת.ב.ל 2019'!D67</f>
        <v>2000000</v>
      </c>
      <c r="E78" s="4">
        <f>'תקציב אגף ת.ב.ל 2019'!E67</f>
        <v>560000</v>
      </c>
      <c r="F78" s="4">
        <f>'תקציב אגף ת.ב.ל 2019'!F67</f>
        <v>1440000</v>
      </c>
      <c r="G78" s="4">
        <f>'תקציב אגף ת.ב.ל 2019'!G67</f>
        <v>560000</v>
      </c>
      <c r="H78" s="4">
        <f>'תקציב אגף ת.ב.ל 2019'!H67</f>
        <v>0</v>
      </c>
      <c r="I78" s="4">
        <f>'תקציב אגף ת.ב.ל 2019'!I67</f>
        <v>0</v>
      </c>
      <c r="J78" s="4">
        <f>'תקציב אגף ת.ב.ל 2019'!J67</f>
        <v>7897</v>
      </c>
      <c r="K78" s="4">
        <f>'תקציב אגף ת.ב.ל 2019'!K67</f>
        <v>7897</v>
      </c>
      <c r="L78" s="4">
        <f>'תקציב אגף ת.ב.ל 2019'!L67</f>
        <v>7897</v>
      </c>
      <c r="M78" s="4">
        <f>'תקציב אגף ת.ב.ל 2019'!M67</f>
        <v>552103</v>
      </c>
      <c r="N78" s="4">
        <f>'תקציב אגף ת.ב.ל 2019'!N67</f>
        <v>1440000</v>
      </c>
      <c r="O78" s="4">
        <f>'תקציב אגף ת.ב.ל 2019'!O67</f>
        <v>0</v>
      </c>
      <c r="P78" s="4">
        <f>'תקציב אגף ת.ב.ל 2019'!P67</f>
        <v>552103</v>
      </c>
      <c r="Q78" s="4">
        <f>'תקציב אגף ת.ב.ל 2019'!Q67</f>
        <v>0</v>
      </c>
      <c r="R78" s="4">
        <f>'תקציב אגף ת.ב.ל 2019'!R67</f>
        <v>0</v>
      </c>
      <c r="S78" s="4">
        <f>'תקציב אגף ת.ב.ל 2019'!S67</f>
        <v>0</v>
      </c>
      <c r="T78" s="4">
        <f>'תקציב אגף ת.ב.ל 2019'!T67</f>
        <v>0</v>
      </c>
      <c r="U78" s="4">
        <f>'תקציב אגף ת.ב.ל 2019'!U67</f>
        <v>1440000</v>
      </c>
      <c r="V78" s="4">
        <f>'תקציב אגף ת.ב.ל 2019'!V67</f>
        <v>720000</v>
      </c>
      <c r="W78" s="4">
        <f>'תקציב אגף ת.ב.ל 2019'!W67</f>
        <v>720000</v>
      </c>
      <c r="X78" s="4">
        <f>'תקציב אגף ת.ב.ל 2019'!X67</f>
        <v>0</v>
      </c>
      <c r="Y78" s="4">
        <f>'תקציב אגף ת.ב.ל 2019'!Y67</f>
        <v>0</v>
      </c>
      <c r="Z78" s="4">
        <f>'תקציב אגף ת.ב.ל 2019'!Z67</f>
        <v>0</v>
      </c>
      <c r="AA78" s="124" t="str">
        <f>'תקציב אגף ת.ב.ל 2019'!AA67</f>
        <v>עבודות שיפוץ כללי למשרדי האגפים כולל חדר ישיבות</v>
      </c>
      <c r="AB78" s="3">
        <f>'תקציב אגף ת.ב.ל 2019'!AB67</f>
        <v>930000</v>
      </c>
      <c r="AC78" s="266"/>
      <c r="AD78" s="247"/>
      <c r="AE78" s="247"/>
      <c r="AF78" s="247"/>
      <c r="AG78" s="34"/>
      <c r="AH78" s="30"/>
      <c r="AI78" s="447"/>
      <c r="AJ78" s="448"/>
      <c r="AK78" s="30"/>
      <c r="AL78" s="31"/>
      <c r="AM78" s="31"/>
      <c r="AN78" s="31"/>
      <c r="AO78" s="31"/>
      <c r="AP78" s="30"/>
    </row>
    <row r="79" spans="1:42" s="5" customFormat="1" ht="42">
      <c r="A79" s="3">
        <f>A78+1</f>
        <v>64</v>
      </c>
      <c r="B79" s="3">
        <f>'תקציב אגף ת.ב.ל 2019'!B69</f>
        <v>2096</v>
      </c>
      <c r="C79" s="3" t="s">
        <v>773</v>
      </c>
      <c r="D79" s="4">
        <f>'תקציב אגף ת.ב.ל 2019'!D69</f>
        <v>1215000</v>
      </c>
      <c r="E79" s="4">
        <f>'תקציב אגף ת.ב.ל 2019'!E69</f>
        <v>0</v>
      </c>
      <c r="F79" s="4">
        <f>'תקציב אגף ת.ב.ל 2019'!F69</f>
        <v>1215000</v>
      </c>
      <c r="G79" s="4">
        <f>'תקציב אגף ת.ב.ל 2019'!G69</f>
        <v>0</v>
      </c>
      <c r="H79" s="4">
        <f>'תקציב אגף ת.ב.ל 2019'!H69</f>
        <v>0</v>
      </c>
      <c r="I79" s="4">
        <f>'תקציב אגף ת.ב.ל 2019'!I69</f>
        <v>0</v>
      </c>
      <c r="J79" s="4">
        <f>'תקציב אגף ת.ב.ל 2019'!J69</f>
        <v>0</v>
      </c>
      <c r="K79" s="4">
        <f>'תקציב אגף ת.ב.ל 2019'!K69</f>
        <v>0</v>
      </c>
      <c r="L79" s="4">
        <f>'תקציב אגף ת.ב.ל 2019'!L69</f>
        <v>0</v>
      </c>
      <c r="M79" s="4">
        <f>'תקציב אגף ת.ב.ל 2019'!M69</f>
        <v>0</v>
      </c>
      <c r="N79" s="4">
        <f>'תקציב אגף ת.ב.ל 2019'!N69</f>
        <v>1215000</v>
      </c>
      <c r="O79" s="4">
        <f>'תקציב אגף ת.ב.ל 2019'!O69</f>
        <v>0</v>
      </c>
      <c r="P79" s="4">
        <f>'תקציב אגף ת.ב.ל 2019'!P69</f>
        <v>0</v>
      </c>
      <c r="Q79" s="4">
        <f>'תקציב אגף ת.ב.ל 2019'!Q69</f>
        <v>0</v>
      </c>
      <c r="R79" s="4">
        <f>'תקציב אגף ת.ב.ל 2019'!R69</f>
        <v>0</v>
      </c>
      <c r="S79" s="4">
        <f>'תקציב אגף ת.ב.ל 2019'!S69</f>
        <v>0</v>
      </c>
      <c r="T79" s="4">
        <f>'תקציב אגף ת.ב.ל 2019'!T69</f>
        <v>0</v>
      </c>
      <c r="U79" s="4">
        <f>'תקציב אגף ת.ב.ל 2019'!U69</f>
        <v>1215000</v>
      </c>
      <c r="V79" s="4">
        <f>'תקציב אגף ת.ב.ל 2019'!V69</f>
        <v>0</v>
      </c>
      <c r="W79" s="4">
        <f>'תקציב אגף ת.ב.ל 2019'!W69</f>
        <v>1215000</v>
      </c>
      <c r="X79" s="4">
        <f>'תקציב אגף ת.ב.ל 2019'!X69</f>
        <v>0</v>
      </c>
      <c r="Y79" s="4">
        <f>'תקציב אגף ת.ב.ל 2019'!Y69</f>
        <v>0</v>
      </c>
      <c r="Z79" s="4">
        <f>'תקציב אגף ת.ב.ל 2019'!Z69</f>
        <v>0</v>
      </c>
      <c r="AA79" s="124" t="str">
        <f>'תקציב אגף ת.ב.ל 2019'!AA69</f>
        <v>עבודות מיזוג, חשמל, נגרות תקשורת  והצטיידות לחמ"ל האחורי.</v>
      </c>
      <c r="AB79" s="3">
        <f>'תקציב אגף ת.ב.ל 2019'!AB69</f>
        <v>930000</v>
      </c>
      <c r="AC79" s="266"/>
      <c r="AD79" s="247"/>
      <c r="AE79" s="247"/>
      <c r="AF79" s="247"/>
      <c r="AG79" s="34"/>
      <c r="AH79" s="440"/>
      <c r="AI79" s="440"/>
      <c r="AJ79" s="441"/>
      <c r="AK79" s="446"/>
      <c r="AL79" s="31"/>
      <c r="AM79" s="31"/>
      <c r="AN79" s="31"/>
      <c r="AO79" s="31"/>
      <c r="AP79" s="30"/>
    </row>
    <row r="80" spans="1:42" s="101" customFormat="1">
      <c r="A80" s="44"/>
      <c r="B80" s="44"/>
      <c r="C80" s="44" t="s">
        <v>1210</v>
      </c>
      <c r="D80" s="125">
        <f>SUM(D74:D79)</f>
        <v>8155000</v>
      </c>
      <c r="E80" s="125">
        <f t="shared" ref="E80:Z80" si="12">SUM(E74:E79)</f>
        <v>5500000</v>
      </c>
      <c r="F80" s="125">
        <f t="shared" si="12"/>
        <v>2655000</v>
      </c>
      <c r="G80" s="125">
        <f t="shared" si="12"/>
        <v>5000000</v>
      </c>
      <c r="H80" s="125">
        <f t="shared" si="12"/>
        <v>4012875.71</v>
      </c>
      <c r="I80" s="125">
        <f t="shared" si="12"/>
        <v>0</v>
      </c>
      <c r="J80" s="125">
        <f t="shared" si="12"/>
        <v>361986</v>
      </c>
      <c r="K80" s="125">
        <f t="shared" si="12"/>
        <v>361986</v>
      </c>
      <c r="L80" s="125">
        <f t="shared" si="12"/>
        <v>4374861.71</v>
      </c>
      <c r="M80" s="125">
        <f t="shared" si="12"/>
        <v>625138.28999999992</v>
      </c>
      <c r="N80" s="125">
        <f t="shared" si="12"/>
        <v>2905000</v>
      </c>
      <c r="O80" s="125">
        <f t="shared" si="12"/>
        <v>250000</v>
      </c>
      <c r="P80" s="125">
        <f t="shared" si="12"/>
        <v>625138.28999999992</v>
      </c>
      <c r="Q80" s="125">
        <f t="shared" si="12"/>
        <v>0</v>
      </c>
      <c r="R80" s="125">
        <f t="shared" si="12"/>
        <v>0</v>
      </c>
      <c r="S80" s="125">
        <f t="shared" si="12"/>
        <v>0</v>
      </c>
      <c r="T80" s="125">
        <f t="shared" si="12"/>
        <v>0</v>
      </c>
      <c r="U80" s="125">
        <f t="shared" si="12"/>
        <v>2905000</v>
      </c>
      <c r="V80" s="125">
        <f t="shared" si="12"/>
        <v>720000</v>
      </c>
      <c r="W80" s="125">
        <f t="shared" si="12"/>
        <v>2185000</v>
      </c>
      <c r="X80" s="125">
        <f t="shared" si="12"/>
        <v>0</v>
      </c>
      <c r="Y80" s="125">
        <f t="shared" si="12"/>
        <v>0</v>
      </c>
      <c r="Z80" s="125">
        <f t="shared" si="12"/>
        <v>0</v>
      </c>
      <c r="AA80" s="620"/>
      <c r="AB80" s="44"/>
      <c r="AC80" s="622"/>
      <c r="AD80" s="642"/>
      <c r="AE80" s="642"/>
      <c r="AF80" s="642"/>
      <c r="AG80" s="654"/>
      <c r="AH80" s="655"/>
      <c r="AI80" s="655"/>
      <c r="AJ80" s="656"/>
      <c r="AK80" s="391"/>
      <c r="AL80" s="391"/>
      <c r="AM80" s="391"/>
      <c r="AN80" s="391"/>
      <c r="AO80" s="391"/>
      <c r="AP80" s="390"/>
    </row>
    <row r="81" spans="1:43" s="6" customFormat="1">
      <c r="A81" s="9">
        <f>A79</f>
        <v>64</v>
      </c>
      <c r="B81" s="9"/>
      <c r="C81" s="260" t="s">
        <v>1196</v>
      </c>
      <c r="D81" s="10">
        <f>D80+D73+D70+D64+D60+D56+D20+D11+D9+D7+D62</f>
        <v>659008945</v>
      </c>
      <c r="E81" s="10">
        <f t="shared" ref="E81:Z81" si="13">E80+E73+E70+E64+E60+E56+E20+E11+E9+E7+E62</f>
        <v>632243945</v>
      </c>
      <c r="F81" s="10">
        <f t="shared" si="13"/>
        <v>26765000</v>
      </c>
      <c r="G81" s="10">
        <f t="shared" si="13"/>
        <v>507684741</v>
      </c>
      <c r="H81" s="10">
        <f t="shared" si="13"/>
        <v>432359545.21999997</v>
      </c>
      <c r="I81" s="10">
        <f t="shared" si="13"/>
        <v>18484399.039999999</v>
      </c>
      <c r="J81" s="10">
        <f t="shared" si="13"/>
        <v>36617167.290000007</v>
      </c>
      <c r="K81" s="10">
        <f t="shared" si="13"/>
        <v>55101566.330000006</v>
      </c>
      <c r="L81" s="10">
        <f t="shared" si="13"/>
        <v>487461111.55000001</v>
      </c>
      <c r="M81" s="10">
        <f t="shared" si="13"/>
        <v>22273629.449999981</v>
      </c>
      <c r="N81" s="10">
        <f t="shared" si="13"/>
        <v>49991300</v>
      </c>
      <c r="O81" s="10">
        <f t="shared" si="13"/>
        <v>99282904</v>
      </c>
      <c r="P81" s="10">
        <f t="shared" si="13"/>
        <v>20223629.449999981</v>
      </c>
      <c r="Q81" s="10">
        <f t="shared" si="13"/>
        <v>2590000</v>
      </c>
      <c r="R81" s="10">
        <f t="shared" si="13"/>
        <v>0</v>
      </c>
      <c r="S81" s="10">
        <f t="shared" si="13"/>
        <v>2590000</v>
      </c>
      <c r="T81" s="10">
        <f t="shared" si="13"/>
        <v>540000</v>
      </c>
      <c r="U81" s="10">
        <f t="shared" si="13"/>
        <v>49451300</v>
      </c>
      <c r="V81" s="10">
        <f t="shared" si="13"/>
        <v>25230000</v>
      </c>
      <c r="W81" s="10">
        <f t="shared" si="13"/>
        <v>15000000</v>
      </c>
      <c r="X81" s="10">
        <f t="shared" si="13"/>
        <v>0</v>
      </c>
      <c r="Y81" s="10">
        <f t="shared" si="13"/>
        <v>0</v>
      </c>
      <c r="Z81" s="10">
        <f t="shared" si="13"/>
        <v>9221300</v>
      </c>
      <c r="AA81" s="410">
        <v>0</v>
      </c>
      <c r="AB81" s="10"/>
      <c r="AC81" s="266"/>
      <c r="AD81" s="247"/>
      <c r="AE81" s="247"/>
      <c r="AF81" s="247"/>
      <c r="AH81" s="30"/>
      <c r="AI81" s="440"/>
      <c r="AJ81" s="440"/>
      <c r="AK81" s="21"/>
      <c r="AL81" s="31"/>
      <c r="AM81" s="32"/>
      <c r="AN81" s="32"/>
      <c r="AO81" s="32"/>
      <c r="AP81" s="32"/>
      <c r="AQ81" s="29"/>
    </row>
    <row r="82" spans="1:43" s="31" customFormat="1">
      <c r="B82" s="20"/>
      <c r="C82" s="20"/>
      <c r="D82" s="27"/>
      <c r="E82" s="27"/>
      <c r="F82" s="27"/>
      <c r="G82" s="27"/>
      <c r="H82" s="27"/>
      <c r="I82" s="27"/>
      <c r="J82" s="27"/>
      <c r="K82" s="27"/>
      <c r="L82" s="24">
        <f>H81+K81</f>
        <v>487461111.54999995</v>
      </c>
      <c r="M82" s="24">
        <f>P81+S81-T81</f>
        <v>22273629.449999981</v>
      </c>
      <c r="N82" s="51"/>
      <c r="O82" s="27"/>
      <c r="P82" s="24">
        <f>G81-L81</f>
        <v>20223629.449999988</v>
      </c>
      <c r="Q82" s="27"/>
      <c r="R82" s="27"/>
      <c r="S82" s="27"/>
      <c r="T82" s="27"/>
      <c r="U82" s="24">
        <f>N81-T81</f>
        <v>49451300</v>
      </c>
      <c r="V82" s="52"/>
      <c r="W82" s="52"/>
      <c r="X82" s="52"/>
      <c r="Y82" s="52"/>
      <c r="Z82" s="52"/>
      <c r="AA82" s="619"/>
      <c r="AB82" s="20"/>
      <c r="AC82" s="266"/>
      <c r="AD82" s="247"/>
      <c r="AE82" s="247"/>
      <c r="AF82" s="247"/>
      <c r="AG82" s="34"/>
      <c r="AH82" s="440"/>
      <c r="AI82" s="440"/>
      <c r="AJ82" s="441"/>
      <c r="AK82" s="446"/>
    </row>
    <row r="83" spans="1:43" s="31" customFormat="1">
      <c r="B83" s="20"/>
      <c r="C83" s="15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0"/>
      <c r="V83" s="20"/>
      <c r="W83" s="20"/>
      <c r="X83" s="20"/>
      <c r="Y83" s="20"/>
      <c r="Z83" s="20"/>
      <c r="AA83" s="612"/>
      <c r="AB83" s="20"/>
      <c r="AC83" s="266"/>
      <c r="AD83" s="247"/>
      <c r="AE83" s="247"/>
      <c r="AF83" s="247"/>
      <c r="AG83" s="34"/>
      <c r="AH83" s="440"/>
      <c r="AI83" s="440"/>
      <c r="AJ83" s="441"/>
      <c r="AK83" s="446"/>
    </row>
    <row r="84" spans="1:43" s="31" customFormat="1">
      <c r="B84" s="20"/>
      <c r="C84" s="20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P84" s="248"/>
      <c r="Q84" s="27"/>
      <c r="R84" s="27"/>
      <c r="S84" s="27"/>
      <c r="T84" s="27"/>
      <c r="U84" s="20"/>
      <c r="V84" s="20"/>
      <c r="W84" s="20"/>
      <c r="X84" s="20"/>
      <c r="Y84" s="20"/>
      <c r="Z84" s="20"/>
      <c r="AA84" s="612"/>
      <c r="AB84" s="20"/>
      <c r="AC84" s="266"/>
      <c r="AD84" s="247"/>
      <c r="AE84" s="247"/>
      <c r="AF84" s="247"/>
      <c r="AG84" s="34"/>
      <c r="AH84" s="440"/>
      <c r="AI84" s="440"/>
      <c r="AJ84" s="441"/>
      <c r="AK84" s="446"/>
    </row>
    <row r="85" spans="1:43">
      <c r="N85" s="27"/>
      <c r="O85" s="27"/>
      <c r="P85" s="27"/>
      <c r="Q85" s="27"/>
      <c r="R85" s="27"/>
      <c r="S85" s="27"/>
      <c r="T85" s="27"/>
      <c r="U85" s="20"/>
    </row>
    <row r="86" spans="1:43">
      <c r="N86" s="27"/>
      <c r="O86" s="27"/>
      <c r="P86" s="27"/>
      <c r="Q86" s="27"/>
      <c r="R86" s="27"/>
      <c r="S86" s="27"/>
      <c r="T86" s="27"/>
      <c r="U86" s="20"/>
    </row>
    <row r="87" spans="1:43">
      <c r="N87" s="27"/>
      <c r="O87" s="27"/>
      <c r="P87" s="27"/>
      <c r="Q87" s="27"/>
      <c r="R87" s="27"/>
      <c r="S87" s="27"/>
      <c r="T87" s="27"/>
      <c r="U87" s="20"/>
    </row>
    <row r="88" spans="1:43" ht="46.5" hidden="1">
      <c r="N88" s="27"/>
      <c r="O88" s="27"/>
      <c r="P88" s="27"/>
      <c r="Q88" s="27"/>
      <c r="R88" s="27"/>
      <c r="S88" s="27"/>
      <c r="T88" s="27"/>
      <c r="U88" s="20"/>
      <c r="AA88" s="23" t="s">
        <v>774</v>
      </c>
    </row>
    <row r="89" spans="1:43">
      <c r="N89" s="27"/>
      <c r="O89" s="27"/>
      <c r="P89" s="27"/>
      <c r="Q89" s="27"/>
      <c r="R89" s="27"/>
      <c r="S89" s="27"/>
      <c r="T89" s="27"/>
      <c r="U89" s="20"/>
    </row>
    <row r="90" spans="1:43" s="17" customFormat="1">
      <c r="A90" s="40"/>
      <c r="B90" s="15"/>
      <c r="C90" s="15"/>
      <c r="N90" s="27"/>
      <c r="O90" s="27"/>
      <c r="P90" s="27"/>
      <c r="Q90" s="27"/>
      <c r="R90" s="27"/>
      <c r="S90" s="27"/>
      <c r="T90" s="27"/>
      <c r="U90" s="20"/>
      <c r="V90" s="15"/>
      <c r="W90" s="15"/>
      <c r="X90" s="15"/>
      <c r="Y90" s="15"/>
      <c r="Z90" s="15"/>
      <c r="AA90" s="612"/>
      <c r="AB90" s="15"/>
      <c r="AC90" s="266"/>
      <c r="AD90" s="247"/>
      <c r="AE90" s="247"/>
      <c r="AF90" s="247"/>
      <c r="AG90" s="34"/>
      <c r="AH90" s="440"/>
      <c r="AI90" s="440"/>
      <c r="AJ90" s="441"/>
      <c r="AK90" s="454"/>
      <c r="AL90" s="20"/>
      <c r="AM90" s="20"/>
      <c r="AN90" s="27"/>
      <c r="AO90" s="27"/>
      <c r="AP90" s="27"/>
    </row>
    <row r="91" spans="1:43">
      <c r="N91" s="27"/>
      <c r="O91" s="27"/>
      <c r="P91" s="27"/>
      <c r="Q91" s="27"/>
      <c r="R91" s="27"/>
      <c r="S91" s="27"/>
      <c r="T91" s="27"/>
      <c r="U91" s="20"/>
    </row>
    <row r="92" spans="1:43">
      <c r="N92" s="27"/>
      <c r="O92" s="27"/>
      <c r="P92" s="27"/>
      <c r="Q92" s="27"/>
      <c r="R92" s="27"/>
      <c r="S92" s="27"/>
      <c r="T92" s="27"/>
      <c r="U92" s="20"/>
    </row>
    <row r="93" spans="1:43">
      <c r="N93" s="27"/>
      <c r="O93" s="27"/>
      <c r="P93" s="27"/>
      <c r="Q93" s="27"/>
      <c r="R93" s="27"/>
      <c r="S93" s="27"/>
      <c r="T93" s="27"/>
      <c r="U93" s="20"/>
    </row>
    <row r="94" spans="1:43">
      <c r="N94" s="27"/>
      <c r="O94" s="27"/>
      <c r="P94" s="27"/>
      <c r="Q94" s="27"/>
      <c r="R94" s="27"/>
      <c r="S94" s="27"/>
      <c r="T94" s="27"/>
      <c r="U94" s="20"/>
    </row>
    <row r="95" spans="1:43">
      <c r="N95" s="27"/>
      <c r="O95" s="27"/>
      <c r="P95" s="27"/>
      <c r="Q95" s="27"/>
      <c r="R95" s="27"/>
      <c r="S95" s="27"/>
      <c r="T95" s="27"/>
      <c r="U95" s="20"/>
    </row>
    <row r="96" spans="1:43">
      <c r="N96" s="27"/>
      <c r="O96" s="27"/>
      <c r="P96" s="27"/>
      <c r="Q96" s="27"/>
      <c r="R96" s="27"/>
      <c r="S96" s="27"/>
      <c r="T96" s="27"/>
      <c r="U96" s="20"/>
    </row>
    <row r="97" spans="14:42">
      <c r="N97" s="27"/>
      <c r="O97" s="27"/>
      <c r="P97" s="27"/>
      <c r="Q97" s="27"/>
      <c r="R97" s="27"/>
      <c r="S97" s="27"/>
      <c r="T97" s="27"/>
      <c r="U97" s="20"/>
    </row>
    <row r="99" spans="14:42">
      <c r="S99" s="45"/>
    </row>
    <row r="100" spans="14:42">
      <c r="S100" s="45"/>
    </row>
    <row r="101" spans="14:42">
      <c r="S101" s="45"/>
    </row>
    <row r="102" spans="14:42">
      <c r="S102" s="45"/>
      <c r="AP102" s="27"/>
    </row>
    <row r="103" spans="14:42">
      <c r="S103" s="45"/>
    </row>
    <row r="105" spans="14:42">
      <c r="S105" s="45"/>
    </row>
    <row r="106" spans="14:42">
      <c r="AP106" s="27"/>
    </row>
    <row r="107" spans="14:42">
      <c r="T107" s="15"/>
      <c r="U107" s="17"/>
    </row>
    <row r="108" spans="14:42">
      <c r="U108" s="17"/>
    </row>
  </sheetData>
  <sheetProtection formatCells="0" formatColumns="0" formatRows="0" insertColumns="0" insertRows="0" insertHyperlinks="0" deleteColumns="0" deleteRows="0" sort="0" autoFilter="0" pivotTables="0"/>
  <sortState ref="A6:AQ69">
    <sortCondition ref="AB6:AB69"/>
  </sortState>
  <conditionalFormatting sqref="AA4">
    <cfRule type="cellIs" dxfId="282" priority="1" operator="equal">
      <formula>0</formula>
    </cfRule>
  </conditionalFormatting>
  <printOptions horizontalCentered="1"/>
  <pageMargins left="0" right="0" top="0.94488188976377963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97"/>
  <sheetViews>
    <sheetView showZeros="0" rightToLeft="1" zoomScaleNormal="100" workbookViewId="0">
      <pane xSplit="5" ySplit="5" topLeftCell="L60" activePane="bottomRight" state="frozen"/>
      <selection activeCell="T20" sqref="T20"/>
      <selection pane="topRight" activeCell="T20" sqref="T20"/>
      <selection pane="bottomLeft" activeCell="T20" sqref="T20"/>
      <selection pane="bottomRight" activeCell="T20" sqref="T20"/>
    </sheetView>
  </sheetViews>
  <sheetFormatPr defaultColWidth="9.1796875" defaultRowHeight="14"/>
  <cols>
    <col min="1" max="1" width="5.26953125" style="40" customWidth="1"/>
    <col min="2" max="2" width="6.7265625" style="15" customWidth="1"/>
    <col min="3" max="3" width="25.54296875" style="15" customWidth="1"/>
    <col min="4" max="4" width="11.26953125" style="17" customWidth="1"/>
    <col min="5" max="5" width="11" style="17" hidden="1" customWidth="1"/>
    <col min="6" max="6" width="11.26953125" style="17" hidden="1" customWidth="1"/>
    <col min="7" max="10" width="12.7265625" style="17" hidden="1" customWidth="1"/>
    <col min="11" max="11" width="11.26953125" style="17" hidden="1" customWidth="1"/>
    <col min="12" max="12" width="10.81640625" style="17" customWidth="1"/>
    <col min="13" max="13" width="10.1796875" style="17" customWidth="1"/>
    <col min="14" max="14" width="10.26953125" style="17" customWidth="1"/>
    <col min="15" max="15" width="11.1796875" style="17" customWidth="1"/>
    <col min="16" max="17" width="11.1796875" style="17" hidden="1" customWidth="1"/>
    <col min="18" max="19" width="12" style="17" hidden="1" customWidth="1"/>
    <col min="20" max="20" width="7.26953125" style="17" customWidth="1"/>
    <col min="21" max="21" width="10.81640625" style="15" customWidth="1"/>
    <col min="22" max="22" width="10.1796875" style="15" hidden="1" customWidth="1"/>
    <col min="23" max="23" width="10.7265625" style="15" hidden="1" customWidth="1"/>
    <col min="24" max="25" width="4.7265625" style="15" hidden="1" customWidth="1"/>
    <col min="26" max="26" width="9.81640625" style="15" hidden="1" customWidth="1"/>
    <col min="27" max="27" width="41.26953125" style="21" customWidth="1"/>
    <col min="28" max="28" width="7.81640625" style="15" hidden="1" customWidth="1"/>
    <col min="29" max="29" width="20" style="266" customWidth="1"/>
    <col min="30" max="30" width="10" style="247" customWidth="1"/>
    <col min="31" max="31" width="16.7265625" style="247" customWidth="1"/>
    <col min="32" max="32" width="10.1796875" style="247" customWidth="1"/>
    <col min="33" max="33" width="9.453125" style="34" customWidth="1"/>
    <col min="34" max="34" width="15" style="440" customWidth="1"/>
    <col min="35" max="35" width="11.453125" style="440" customWidth="1"/>
    <col min="36" max="36" width="10.1796875" style="441" customWidth="1"/>
    <col min="37" max="37" width="9.1796875" style="454" customWidth="1"/>
    <col min="38" max="39" width="9.1796875" style="20" customWidth="1"/>
    <col min="40" max="40" width="2.1796875" style="20" customWidth="1"/>
    <col min="41" max="41" width="9.1796875" style="20" customWidth="1"/>
    <col min="42" max="42" width="10.1796875" style="20" customWidth="1"/>
    <col min="43" max="43" width="10.1796875" style="15" customWidth="1"/>
    <col min="44" max="16384" width="9.1796875" style="15"/>
  </cols>
  <sheetData>
    <row r="1" spans="1:42" s="416" customFormat="1" ht="18">
      <c r="A1" s="414"/>
      <c r="B1" s="414"/>
      <c r="C1" s="414"/>
      <c r="D1" s="414"/>
      <c r="E1" s="414"/>
      <c r="F1" s="414"/>
      <c r="G1" s="414"/>
      <c r="H1" s="414"/>
      <c r="I1" s="414"/>
      <c r="J1" s="414"/>
      <c r="K1" s="414"/>
      <c r="L1" s="414"/>
      <c r="M1" s="414"/>
      <c r="N1" s="414"/>
      <c r="O1" s="414"/>
      <c r="P1" s="414"/>
      <c r="Q1" s="414"/>
      <c r="R1" s="414"/>
      <c r="S1" s="414"/>
      <c r="T1" s="414"/>
      <c r="U1" s="414"/>
      <c r="V1" s="414"/>
      <c r="W1" s="414"/>
      <c r="X1" s="414"/>
      <c r="Y1" s="414"/>
      <c r="Z1" s="414"/>
      <c r="AA1" s="417"/>
      <c r="AC1" s="266"/>
      <c r="AD1" s="247"/>
      <c r="AE1" s="247"/>
      <c r="AF1" s="247"/>
      <c r="AG1" s="34"/>
      <c r="AH1" s="442"/>
      <c r="AI1" s="443"/>
      <c r="AJ1" s="444"/>
      <c r="AK1" s="444"/>
    </row>
    <row r="2" spans="1:42" s="247" customFormat="1" ht="18">
      <c r="A2" s="414" t="s">
        <v>1472</v>
      </c>
      <c r="B2" s="414"/>
      <c r="C2" s="414"/>
      <c r="D2" s="414"/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414"/>
      <c r="R2" s="414"/>
      <c r="S2" s="414"/>
      <c r="T2" s="414"/>
      <c r="U2" s="414"/>
      <c r="V2" s="414"/>
      <c r="W2" s="414"/>
      <c r="X2" s="414"/>
      <c r="Y2" s="414"/>
      <c r="Z2" s="414"/>
      <c r="AA2" s="266"/>
      <c r="AC2" s="266"/>
      <c r="AG2" s="34"/>
      <c r="AH2" s="442"/>
      <c r="AI2" s="443"/>
      <c r="AJ2" s="444"/>
      <c r="AK2" s="444"/>
    </row>
    <row r="4" spans="1:42" s="34" customFormat="1" ht="70">
      <c r="A4" s="19" t="s">
        <v>0</v>
      </c>
      <c r="B4" s="19" t="s">
        <v>1</v>
      </c>
      <c r="C4" s="19" t="s">
        <v>2</v>
      </c>
      <c r="D4" s="19" t="s">
        <v>3</v>
      </c>
      <c r="E4" s="19" t="s">
        <v>4</v>
      </c>
      <c r="F4" s="19" t="s">
        <v>5</v>
      </c>
      <c r="G4" s="19" t="s">
        <v>6</v>
      </c>
      <c r="H4" s="19" t="s">
        <v>7</v>
      </c>
      <c r="I4" s="19" t="s">
        <v>9</v>
      </c>
      <c r="J4" s="19" t="s">
        <v>318</v>
      </c>
      <c r="K4" s="19" t="s">
        <v>10</v>
      </c>
      <c r="L4" s="19" t="s">
        <v>11</v>
      </c>
      <c r="M4" s="11" t="s">
        <v>627</v>
      </c>
      <c r="N4" s="19" t="s">
        <v>628</v>
      </c>
      <c r="O4" s="19" t="s">
        <v>629</v>
      </c>
      <c r="P4" s="19" t="s">
        <v>12</v>
      </c>
      <c r="Q4" s="19" t="s">
        <v>739</v>
      </c>
      <c r="R4" s="19" t="s">
        <v>740</v>
      </c>
      <c r="S4" s="19" t="s">
        <v>632</v>
      </c>
      <c r="T4" s="19" t="s">
        <v>633</v>
      </c>
      <c r="U4" s="19" t="s">
        <v>634</v>
      </c>
      <c r="V4" s="19" t="s">
        <v>13</v>
      </c>
      <c r="W4" s="19" t="s">
        <v>14</v>
      </c>
      <c r="X4" s="19" t="s">
        <v>15</v>
      </c>
      <c r="Y4" s="19" t="s">
        <v>523</v>
      </c>
      <c r="Z4" s="19" t="s">
        <v>140</v>
      </c>
      <c r="AA4" s="592" t="s">
        <v>635</v>
      </c>
      <c r="AB4" s="19" t="s">
        <v>16</v>
      </c>
      <c r="AC4" s="266"/>
      <c r="AD4" s="247"/>
      <c r="AE4" s="247"/>
      <c r="AF4" s="247"/>
      <c r="AJ4" s="441"/>
      <c r="AK4" s="445"/>
    </row>
    <row r="5" spans="1:42" s="5" customFormat="1" ht="18" customHeight="1">
      <c r="A5" s="3"/>
      <c r="B5" s="3"/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3"/>
      <c r="AA5" s="3"/>
      <c r="AB5" s="3"/>
      <c r="AC5" s="266"/>
      <c r="AD5" s="247"/>
      <c r="AE5" s="247"/>
      <c r="AF5" s="247"/>
      <c r="AG5" s="34"/>
      <c r="AH5" s="440"/>
      <c r="AI5" s="440"/>
      <c r="AJ5" s="441"/>
      <c r="AK5" s="446"/>
      <c r="AL5" s="31"/>
      <c r="AM5" s="31"/>
      <c r="AN5" s="31"/>
      <c r="AO5" s="31"/>
      <c r="AP5" s="31"/>
    </row>
    <row r="6" spans="1:42" s="5" customFormat="1" ht="30" customHeight="1">
      <c r="A6" s="3">
        <v>1</v>
      </c>
      <c r="B6" s="3">
        <v>1247</v>
      </c>
      <c r="C6" s="3" t="s">
        <v>68</v>
      </c>
      <c r="D6" s="4">
        <v>9500000</v>
      </c>
      <c r="E6" s="4">
        <v>9500000</v>
      </c>
      <c r="F6" s="4">
        <f t="shared" ref="F6:F38" si="0">D6-E6</f>
        <v>0</v>
      </c>
      <c r="G6" s="4">
        <v>8650000</v>
      </c>
      <c r="H6" s="4">
        <v>8115411.5999999996</v>
      </c>
      <c r="I6" s="4">
        <v>0.68</v>
      </c>
      <c r="J6" s="4">
        <v>269816.13</v>
      </c>
      <c r="K6" s="4">
        <f>SUM(I6:J6)</f>
        <v>269816.81</v>
      </c>
      <c r="L6" s="4">
        <f>K6+H6</f>
        <v>8385228.4099999992</v>
      </c>
      <c r="M6" s="4">
        <f>P6+S6</f>
        <v>264771.59000000078</v>
      </c>
      <c r="N6" s="4">
        <f>500000-300000</f>
        <v>200000</v>
      </c>
      <c r="O6" s="4">
        <f>D6-L6-M6-N6</f>
        <v>650000</v>
      </c>
      <c r="P6" s="4">
        <f>G6-L6</f>
        <v>264771.59000000078</v>
      </c>
      <c r="Q6" s="4"/>
      <c r="R6" s="4"/>
      <c r="S6" s="4">
        <f>SUM(Q6:R6)</f>
        <v>0</v>
      </c>
      <c r="T6" s="4">
        <f>P6-M6+S6</f>
        <v>0</v>
      </c>
      <c r="U6" s="4">
        <f t="shared" ref="U6:U66" si="1">N6-T6</f>
        <v>200000</v>
      </c>
      <c r="V6" s="4">
        <f>U6-W6-X6-Y6-Z6</f>
        <v>200000</v>
      </c>
      <c r="W6" s="4"/>
      <c r="X6" s="4"/>
      <c r="Y6" s="4"/>
      <c r="Z6" s="3"/>
      <c r="AA6" s="3" t="s">
        <v>741</v>
      </c>
      <c r="AB6" s="3">
        <v>732000</v>
      </c>
      <c r="AC6" s="266"/>
      <c r="AD6" s="247"/>
      <c r="AE6" s="247"/>
      <c r="AF6" s="247"/>
      <c r="AG6" s="34"/>
      <c r="AH6" s="30"/>
      <c r="AI6" s="447"/>
      <c r="AJ6" s="448"/>
      <c r="AK6" s="449"/>
      <c r="AL6" s="31"/>
      <c r="AM6" s="31"/>
      <c r="AN6" s="31"/>
      <c r="AO6" s="31"/>
      <c r="AP6" s="30"/>
    </row>
    <row r="7" spans="1:42" s="5" customFormat="1" ht="30" customHeight="1">
      <c r="A7" s="3">
        <f>A6+1</f>
        <v>2</v>
      </c>
      <c r="B7" s="3">
        <v>1250</v>
      </c>
      <c r="C7" s="3" t="s">
        <v>69</v>
      </c>
      <c r="D7" s="4">
        <f>1950000-500000</f>
        <v>1450000</v>
      </c>
      <c r="E7" s="4">
        <v>1450000</v>
      </c>
      <c r="F7" s="4">
        <f t="shared" si="0"/>
        <v>0</v>
      </c>
      <c r="G7" s="4">
        <v>1000000</v>
      </c>
      <c r="H7" s="4">
        <v>813458.48</v>
      </c>
      <c r="I7" s="4"/>
      <c r="J7" s="4">
        <v>25937.46</v>
      </c>
      <c r="K7" s="4">
        <f t="shared" ref="K7:K62" si="2">SUM(I7:J7)</f>
        <v>25937.46</v>
      </c>
      <c r="L7" s="4">
        <f t="shared" ref="L7:L66" si="3">K7+H7</f>
        <v>839395.94</v>
      </c>
      <c r="M7" s="4">
        <f t="shared" ref="M7:M66" si="4">P7+S7</f>
        <v>160604.06000000006</v>
      </c>
      <c r="N7" s="4">
        <f>950000-550000</f>
        <v>400000</v>
      </c>
      <c r="O7" s="4">
        <f t="shared" ref="O7:O66" si="5">D7-L7-M7-N7</f>
        <v>50000</v>
      </c>
      <c r="P7" s="4">
        <f t="shared" ref="P7:P66" si="6">G7-L7</f>
        <v>160604.06000000006</v>
      </c>
      <c r="Q7" s="4"/>
      <c r="R7" s="4"/>
      <c r="S7" s="4">
        <f t="shared" ref="S7:S66" si="7">SUM(Q7:R7)</f>
        <v>0</v>
      </c>
      <c r="T7" s="4">
        <f t="shared" ref="T7:T66" si="8">P7-M7+S7</f>
        <v>0</v>
      </c>
      <c r="U7" s="4">
        <f t="shared" si="1"/>
        <v>400000</v>
      </c>
      <c r="V7" s="4"/>
      <c r="W7" s="4">
        <f t="shared" ref="W7:W66" si="9">U7-V7-Y7-Z7</f>
        <v>400000</v>
      </c>
      <c r="X7" s="4"/>
      <c r="Y7" s="4"/>
      <c r="Z7" s="3"/>
      <c r="AA7" s="3" t="s">
        <v>742</v>
      </c>
      <c r="AB7" s="3">
        <v>749000</v>
      </c>
      <c r="AC7" s="266"/>
      <c r="AD7" s="247"/>
      <c r="AE7" s="247"/>
      <c r="AF7" s="247"/>
      <c r="AG7" s="34"/>
      <c r="AH7" s="30"/>
      <c r="AI7" s="447"/>
      <c r="AJ7" s="448"/>
      <c r="AK7" s="449"/>
      <c r="AL7" s="31"/>
      <c r="AM7" s="31"/>
      <c r="AN7" s="31"/>
      <c r="AO7" s="31"/>
      <c r="AP7" s="30"/>
    </row>
    <row r="8" spans="1:42" s="5" customFormat="1" ht="30" customHeight="1">
      <c r="A8" s="3">
        <f t="shared" ref="A8:A69" si="10">A7+1</f>
        <v>3</v>
      </c>
      <c r="B8" s="3">
        <v>1253</v>
      </c>
      <c r="C8" s="3" t="s">
        <v>70</v>
      </c>
      <c r="D8" s="4">
        <v>4700000</v>
      </c>
      <c r="E8" s="4">
        <v>4200000</v>
      </c>
      <c r="F8" s="4">
        <f t="shared" si="0"/>
        <v>500000</v>
      </c>
      <c r="G8" s="4">
        <v>4200000</v>
      </c>
      <c r="H8" s="4">
        <v>3608560.68</v>
      </c>
      <c r="I8" s="4"/>
      <c r="J8" s="4">
        <v>566005.72</v>
      </c>
      <c r="K8" s="4">
        <f t="shared" si="2"/>
        <v>566005.72</v>
      </c>
      <c r="L8" s="4">
        <f t="shared" si="3"/>
        <v>4174566.4000000004</v>
      </c>
      <c r="M8" s="4">
        <f t="shared" si="4"/>
        <v>25433.599999999627</v>
      </c>
      <c r="N8" s="4">
        <v>500000</v>
      </c>
      <c r="O8" s="4">
        <f t="shared" si="5"/>
        <v>0</v>
      </c>
      <c r="P8" s="4">
        <f t="shared" si="6"/>
        <v>25433.599999999627</v>
      </c>
      <c r="Q8" s="4"/>
      <c r="R8" s="4"/>
      <c r="S8" s="4">
        <f t="shared" si="7"/>
        <v>0</v>
      </c>
      <c r="T8" s="4">
        <f t="shared" si="8"/>
        <v>0</v>
      </c>
      <c r="U8" s="4">
        <f t="shared" si="1"/>
        <v>500000</v>
      </c>
      <c r="V8" s="4"/>
      <c r="W8" s="4">
        <f t="shared" si="9"/>
        <v>500000</v>
      </c>
      <c r="X8" s="4"/>
      <c r="Y8" s="4"/>
      <c r="Z8" s="3"/>
      <c r="AA8" s="3" t="s">
        <v>743</v>
      </c>
      <c r="AB8" s="3">
        <v>850000</v>
      </c>
      <c r="AC8" s="266"/>
      <c r="AD8" s="247"/>
      <c r="AE8" s="247"/>
      <c r="AF8" s="247"/>
      <c r="AG8" s="34"/>
      <c r="AH8" s="30"/>
      <c r="AI8" s="447"/>
      <c r="AJ8" s="448"/>
      <c r="AK8" s="449"/>
      <c r="AL8" s="31"/>
      <c r="AM8" s="31"/>
      <c r="AN8" s="31"/>
      <c r="AO8" s="31"/>
      <c r="AP8" s="30"/>
    </row>
    <row r="9" spans="1:42" s="5" customFormat="1" ht="30" customHeight="1">
      <c r="A9" s="3">
        <f t="shared" si="10"/>
        <v>4</v>
      </c>
      <c r="B9" s="3">
        <v>1281</v>
      </c>
      <c r="C9" s="3" t="s">
        <v>71</v>
      </c>
      <c r="D9" s="4">
        <v>213755840</v>
      </c>
      <c r="E9" s="4">
        <v>213755840</v>
      </c>
      <c r="F9" s="4">
        <f t="shared" si="0"/>
        <v>0</v>
      </c>
      <c r="G9" s="4">
        <v>213755840</v>
      </c>
      <c r="H9" s="4">
        <v>212539376.11000001</v>
      </c>
      <c r="I9" s="4">
        <v>508824.28</v>
      </c>
      <c r="J9" s="4">
        <v>666378.97</v>
      </c>
      <c r="K9" s="4">
        <f t="shared" si="2"/>
        <v>1175203.25</v>
      </c>
      <c r="L9" s="4">
        <f t="shared" si="3"/>
        <v>213714579.36000001</v>
      </c>
      <c r="M9" s="4">
        <f t="shared" si="4"/>
        <v>41260.639999985695</v>
      </c>
      <c r="N9" s="4"/>
      <c r="O9" s="4">
        <f t="shared" si="5"/>
        <v>0</v>
      </c>
      <c r="P9" s="4">
        <f t="shared" si="6"/>
        <v>41260.639999985695</v>
      </c>
      <c r="Q9" s="4"/>
      <c r="R9" s="4"/>
      <c r="S9" s="4">
        <f t="shared" si="7"/>
        <v>0</v>
      </c>
      <c r="T9" s="4">
        <f t="shared" si="8"/>
        <v>0</v>
      </c>
      <c r="U9" s="4">
        <f t="shared" si="1"/>
        <v>0</v>
      </c>
      <c r="V9" s="4"/>
      <c r="W9" s="4">
        <f t="shared" si="9"/>
        <v>0</v>
      </c>
      <c r="X9" s="4"/>
      <c r="Y9" s="4"/>
      <c r="Z9" s="3"/>
      <c r="AA9" s="3"/>
      <c r="AB9" s="3">
        <v>810000</v>
      </c>
      <c r="AC9" s="266"/>
      <c r="AD9" s="247"/>
      <c r="AE9" s="247"/>
      <c r="AF9" s="247"/>
      <c r="AG9" s="34"/>
      <c r="AH9" s="30"/>
      <c r="AI9" s="447"/>
      <c r="AJ9" s="448"/>
      <c r="AK9" s="449"/>
      <c r="AL9" s="31"/>
      <c r="AM9" s="31"/>
      <c r="AN9" s="31"/>
      <c r="AO9" s="31"/>
      <c r="AP9" s="30"/>
    </row>
    <row r="10" spans="1:42" s="5" customFormat="1" ht="30" customHeight="1">
      <c r="A10" s="3">
        <f t="shared" si="10"/>
        <v>5</v>
      </c>
      <c r="B10" s="3">
        <v>1372</v>
      </c>
      <c r="C10" s="3" t="s">
        <v>72</v>
      </c>
      <c r="D10" s="4">
        <f>2900000-1400000</f>
        <v>1500000</v>
      </c>
      <c r="E10" s="4">
        <v>2900000</v>
      </c>
      <c r="F10" s="4">
        <f t="shared" si="0"/>
        <v>-1400000</v>
      </c>
      <c r="G10" s="4">
        <v>1500000</v>
      </c>
      <c r="H10" s="4">
        <v>1488243.38</v>
      </c>
      <c r="I10" s="4"/>
      <c r="J10" s="4">
        <v>11535</v>
      </c>
      <c r="K10" s="4">
        <f t="shared" si="2"/>
        <v>11535</v>
      </c>
      <c r="L10" s="4">
        <f t="shared" si="3"/>
        <v>1499778.38</v>
      </c>
      <c r="M10" s="4">
        <f t="shared" si="4"/>
        <v>221.62000000011176</v>
      </c>
      <c r="N10" s="4"/>
      <c r="O10" s="4">
        <f t="shared" si="5"/>
        <v>0</v>
      </c>
      <c r="P10" s="4">
        <f t="shared" si="6"/>
        <v>221.62000000011176</v>
      </c>
      <c r="Q10" s="4"/>
      <c r="R10" s="4"/>
      <c r="S10" s="4">
        <f t="shared" si="7"/>
        <v>0</v>
      </c>
      <c r="T10" s="4">
        <f t="shared" si="8"/>
        <v>0</v>
      </c>
      <c r="U10" s="4">
        <f t="shared" si="1"/>
        <v>0</v>
      </c>
      <c r="V10" s="4"/>
      <c r="W10" s="4">
        <f t="shared" si="9"/>
        <v>0</v>
      </c>
      <c r="X10" s="4"/>
      <c r="Y10" s="4"/>
      <c r="Z10" s="3"/>
      <c r="AA10" s="3"/>
      <c r="AB10" s="3">
        <v>810000</v>
      </c>
      <c r="AC10" s="266"/>
      <c r="AD10" s="247"/>
      <c r="AE10" s="247"/>
      <c r="AF10" s="247"/>
      <c r="AG10" s="34"/>
      <c r="AH10" s="30"/>
      <c r="AI10" s="447"/>
      <c r="AJ10" s="448"/>
      <c r="AK10" s="449"/>
      <c r="AL10" s="31"/>
      <c r="AM10" s="31"/>
      <c r="AN10" s="31"/>
      <c r="AO10" s="31"/>
      <c r="AP10" s="30"/>
    </row>
    <row r="11" spans="1:42" s="5" customFormat="1" ht="30" customHeight="1">
      <c r="A11" s="3">
        <f t="shared" si="10"/>
        <v>6</v>
      </c>
      <c r="B11" s="3">
        <v>1415</v>
      </c>
      <c r="C11" s="3" t="s">
        <v>1517</v>
      </c>
      <c r="D11" s="4">
        <f>1600000-450000</f>
        <v>1150000</v>
      </c>
      <c r="E11" s="4">
        <v>1150000</v>
      </c>
      <c r="F11" s="4">
        <f t="shared" si="0"/>
        <v>0</v>
      </c>
      <c r="G11" s="4">
        <v>1000000</v>
      </c>
      <c r="H11" s="4">
        <v>957150.93</v>
      </c>
      <c r="I11" s="4"/>
      <c r="J11" s="4">
        <v>19423</v>
      </c>
      <c r="K11" s="4">
        <f t="shared" si="2"/>
        <v>19423</v>
      </c>
      <c r="L11" s="4">
        <f t="shared" si="3"/>
        <v>976573.93</v>
      </c>
      <c r="M11" s="4">
        <f t="shared" si="4"/>
        <v>23426.069999999949</v>
      </c>
      <c r="N11" s="4">
        <f>200000-100000</f>
        <v>100000</v>
      </c>
      <c r="O11" s="4">
        <f t="shared" si="5"/>
        <v>50000</v>
      </c>
      <c r="P11" s="4">
        <f t="shared" si="6"/>
        <v>23426.069999999949</v>
      </c>
      <c r="Q11" s="4"/>
      <c r="R11" s="4"/>
      <c r="S11" s="4">
        <f t="shared" si="7"/>
        <v>0</v>
      </c>
      <c r="T11" s="4">
        <f t="shared" si="8"/>
        <v>0</v>
      </c>
      <c r="U11" s="4">
        <f t="shared" si="1"/>
        <v>100000</v>
      </c>
      <c r="V11" s="4"/>
      <c r="W11" s="4">
        <f t="shared" si="9"/>
        <v>100000</v>
      </c>
      <c r="X11" s="4"/>
      <c r="Y11" s="4"/>
      <c r="Z11" s="3"/>
      <c r="AA11" s="3" t="s">
        <v>744</v>
      </c>
      <c r="AB11" s="3">
        <v>930000</v>
      </c>
      <c r="AC11" s="266"/>
      <c r="AD11" s="247"/>
      <c r="AE11" s="247"/>
      <c r="AF11" s="247"/>
      <c r="AG11" s="34"/>
      <c r="AH11" s="30"/>
      <c r="AI11" s="447"/>
      <c r="AJ11" s="448"/>
      <c r="AK11" s="449"/>
      <c r="AL11" s="31"/>
      <c r="AM11" s="31"/>
      <c r="AN11" s="31"/>
      <c r="AO11" s="31"/>
      <c r="AP11" s="30"/>
    </row>
    <row r="12" spans="1:42" s="5" customFormat="1" ht="30" customHeight="1">
      <c r="A12" s="3">
        <f t="shared" si="10"/>
        <v>7</v>
      </c>
      <c r="B12" s="3">
        <v>1416</v>
      </c>
      <c r="C12" s="3" t="s">
        <v>178</v>
      </c>
      <c r="D12" s="4">
        <f>2000000-300000</f>
        <v>1700000</v>
      </c>
      <c r="E12" s="4">
        <v>1700000</v>
      </c>
      <c r="F12" s="4">
        <f t="shared" si="0"/>
        <v>0</v>
      </c>
      <c r="G12" s="4">
        <v>1350000</v>
      </c>
      <c r="H12" s="4">
        <v>1284229</v>
      </c>
      <c r="I12" s="4"/>
      <c r="J12" s="4">
        <v>64188</v>
      </c>
      <c r="K12" s="4">
        <f t="shared" si="2"/>
        <v>64188</v>
      </c>
      <c r="L12" s="4">
        <f t="shared" si="3"/>
        <v>1348417</v>
      </c>
      <c r="M12" s="4">
        <f t="shared" si="4"/>
        <v>1583</v>
      </c>
      <c r="N12" s="4">
        <f>300000-150000</f>
        <v>150000</v>
      </c>
      <c r="O12" s="4">
        <f t="shared" si="5"/>
        <v>200000</v>
      </c>
      <c r="P12" s="4">
        <f t="shared" si="6"/>
        <v>1583</v>
      </c>
      <c r="Q12" s="4"/>
      <c r="R12" s="4"/>
      <c r="S12" s="4">
        <f t="shared" si="7"/>
        <v>0</v>
      </c>
      <c r="T12" s="4">
        <f t="shared" si="8"/>
        <v>0</v>
      </c>
      <c r="U12" s="4">
        <f t="shared" si="1"/>
        <v>150000</v>
      </c>
      <c r="V12" s="4"/>
      <c r="W12" s="4">
        <f t="shared" si="9"/>
        <v>150000</v>
      </c>
      <c r="X12" s="4"/>
      <c r="Y12" s="4"/>
      <c r="Z12" s="3"/>
      <c r="AA12" s="3" t="s">
        <v>745</v>
      </c>
      <c r="AB12" s="3">
        <v>930000</v>
      </c>
      <c r="AC12" s="266"/>
      <c r="AD12" s="247"/>
      <c r="AE12" s="247"/>
      <c r="AF12" s="247"/>
      <c r="AG12" s="34"/>
      <c r="AH12" s="30"/>
      <c r="AI12" s="447"/>
      <c r="AJ12" s="448"/>
      <c r="AK12" s="449"/>
      <c r="AL12" s="31"/>
      <c r="AM12" s="31"/>
      <c r="AN12" s="31"/>
      <c r="AO12" s="31"/>
      <c r="AP12" s="30"/>
    </row>
    <row r="13" spans="1:42" s="5" customFormat="1" ht="30" customHeight="1">
      <c r="A13" s="3">
        <f t="shared" si="10"/>
        <v>8</v>
      </c>
      <c r="B13" s="3">
        <v>1472</v>
      </c>
      <c r="C13" s="3" t="s">
        <v>74</v>
      </c>
      <c r="D13" s="4">
        <f>12000000-650000</f>
        <v>11350000</v>
      </c>
      <c r="E13" s="4">
        <v>11350000</v>
      </c>
      <c r="F13" s="4">
        <f t="shared" si="0"/>
        <v>0</v>
      </c>
      <c r="G13" s="4">
        <v>11106096</v>
      </c>
      <c r="H13" s="4">
        <v>11063444.289999999</v>
      </c>
      <c r="I13" s="4"/>
      <c r="J13" s="4"/>
      <c r="K13" s="4">
        <f t="shared" si="2"/>
        <v>0</v>
      </c>
      <c r="L13" s="4">
        <f t="shared" si="3"/>
        <v>11063444.289999999</v>
      </c>
      <c r="M13" s="4">
        <f t="shared" si="4"/>
        <v>42651.710000000894</v>
      </c>
      <c r="N13" s="4">
        <f>500000-200000-200000</f>
        <v>100000</v>
      </c>
      <c r="O13" s="4">
        <f t="shared" si="5"/>
        <v>143904</v>
      </c>
      <c r="P13" s="4">
        <f t="shared" si="6"/>
        <v>42651.710000000894</v>
      </c>
      <c r="Q13" s="4"/>
      <c r="R13" s="4"/>
      <c r="S13" s="4">
        <f t="shared" si="7"/>
        <v>0</v>
      </c>
      <c r="T13" s="4">
        <f t="shared" si="8"/>
        <v>0</v>
      </c>
      <c r="U13" s="4">
        <f t="shared" si="1"/>
        <v>100000</v>
      </c>
      <c r="V13" s="4"/>
      <c r="W13" s="4">
        <f t="shared" si="9"/>
        <v>100000</v>
      </c>
      <c r="X13" s="4"/>
      <c r="Y13" s="4"/>
      <c r="Z13" s="3"/>
      <c r="AA13" s="3" t="s">
        <v>744</v>
      </c>
      <c r="AB13" s="3">
        <v>810000</v>
      </c>
      <c r="AC13" s="266"/>
      <c r="AD13" s="247"/>
      <c r="AE13" s="247"/>
      <c r="AF13" s="247"/>
      <c r="AG13" s="34"/>
      <c r="AH13" s="30"/>
      <c r="AI13" s="447"/>
      <c r="AJ13" s="448"/>
      <c r="AK13" s="449"/>
      <c r="AL13" s="31"/>
      <c r="AM13" s="31"/>
      <c r="AN13" s="31"/>
      <c r="AO13" s="31"/>
      <c r="AP13" s="30"/>
    </row>
    <row r="14" spans="1:42" s="5" customFormat="1" ht="30" customHeight="1">
      <c r="A14" s="3">
        <f t="shared" si="10"/>
        <v>9</v>
      </c>
      <c r="B14" s="3">
        <v>1476</v>
      </c>
      <c r="C14" s="3" t="s">
        <v>290</v>
      </c>
      <c r="D14" s="4">
        <v>900000</v>
      </c>
      <c r="E14" s="4">
        <v>900000</v>
      </c>
      <c r="F14" s="4">
        <f t="shared" si="0"/>
        <v>0</v>
      </c>
      <c r="G14" s="4">
        <v>900000</v>
      </c>
      <c r="H14" s="4">
        <v>842544.93</v>
      </c>
      <c r="I14" s="4"/>
      <c r="J14" s="4">
        <v>47985.91</v>
      </c>
      <c r="K14" s="4">
        <f t="shared" si="2"/>
        <v>47985.91</v>
      </c>
      <c r="L14" s="4">
        <f t="shared" si="3"/>
        <v>890530.84000000008</v>
      </c>
      <c r="M14" s="4">
        <f t="shared" si="4"/>
        <v>9469.1599999999162</v>
      </c>
      <c r="N14" s="4"/>
      <c r="O14" s="4">
        <f t="shared" si="5"/>
        <v>0</v>
      </c>
      <c r="P14" s="4">
        <f t="shared" si="6"/>
        <v>9469.1599999999162</v>
      </c>
      <c r="Q14" s="4"/>
      <c r="R14" s="4"/>
      <c r="S14" s="4">
        <f t="shared" si="7"/>
        <v>0</v>
      </c>
      <c r="T14" s="4">
        <f t="shared" si="8"/>
        <v>0</v>
      </c>
      <c r="U14" s="4">
        <f t="shared" si="1"/>
        <v>0</v>
      </c>
      <c r="V14" s="4"/>
      <c r="W14" s="4">
        <f t="shared" si="9"/>
        <v>0</v>
      </c>
      <c r="X14" s="4"/>
      <c r="Y14" s="4"/>
      <c r="Z14" s="3"/>
      <c r="AA14" s="3"/>
      <c r="AB14" s="3">
        <v>810000</v>
      </c>
      <c r="AC14" s="266"/>
      <c r="AD14" s="247"/>
      <c r="AE14" s="247"/>
      <c r="AF14" s="247"/>
      <c r="AG14" s="34"/>
      <c r="AH14" s="30"/>
      <c r="AI14" s="447"/>
      <c r="AJ14" s="448"/>
      <c r="AK14" s="449"/>
      <c r="AL14" s="31"/>
      <c r="AM14" s="31"/>
      <c r="AN14" s="31"/>
      <c r="AO14" s="31"/>
      <c r="AP14" s="30"/>
    </row>
    <row r="15" spans="1:42" s="5" customFormat="1" ht="30" customHeight="1">
      <c r="A15" s="3">
        <f t="shared" si="10"/>
        <v>10</v>
      </c>
      <c r="B15" s="3">
        <v>1477</v>
      </c>
      <c r="C15" s="3" t="s">
        <v>746</v>
      </c>
      <c r="D15" s="4">
        <f>2200000+3600000+3550000</f>
        <v>9350000</v>
      </c>
      <c r="E15" s="4">
        <v>2200000</v>
      </c>
      <c r="F15" s="4">
        <f t="shared" si="0"/>
        <v>7150000</v>
      </c>
      <c r="G15" s="4">
        <v>2200000</v>
      </c>
      <c r="H15" s="4">
        <v>2134839.7000000002</v>
      </c>
      <c r="I15" s="4"/>
      <c r="J15" s="4">
        <v>45936.03</v>
      </c>
      <c r="K15" s="4">
        <f t="shared" si="2"/>
        <v>45936.03</v>
      </c>
      <c r="L15" s="4">
        <f t="shared" si="3"/>
        <v>2180775.73</v>
      </c>
      <c r="M15" s="4">
        <f t="shared" si="4"/>
        <v>19224.270000000019</v>
      </c>
      <c r="N15" s="4">
        <v>1650000</v>
      </c>
      <c r="O15" s="4">
        <f t="shared" si="5"/>
        <v>5500000</v>
      </c>
      <c r="P15" s="4">
        <f t="shared" si="6"/>
        <v>19224.270000000019</v>
      </c>
      <c r="Q15" s="4"/>
      <c r="R15" s="4"/>
      <c r="S15" s="4">
        <f t="shared" si="7"/>
        <v>0</v>
      </c>
      <c r="T15" s="4">
        <f t="shared" si="8"/>
        <v>0</v>
      </c>
      <c r="U15" s="4">
        <f t="shared" si="1"/>
        <v>1650000</v>
      </c>
      <c r="V15" s="4">
        <f>U15-W15-X15-Y15-Z15</f>
        <v>1650000</v>
      </c>
      <c r="W15" s="4"/>
      <c r="X15" s="4"/>
      <c r="Y15" s="4"/>
      <c r="Z15" s="3"/>
      <c r="AA15" s="3" t="s">
        <v>1131</v>
      </c>
      <c r="AB15" s="3">
        <v>810000</v>
      </c>
      <c r="AC15" s="266"/>
      <c r="AD15" s="247"/>
      <c r="AE15" s="247"/>
      <c r="AF15" s="247"/>
      <c r="AG15" s="34"/>
      <c r="AH15" s="30"/>
      <c r="AI15" s="447"/>
      <c r="AJ15" s="448"/>
      <c r="AK15" s="449"/>
      <c r="AL15" s="31"/>
      <c r="AM15" s="31"/>
      <c r="AN15" s="31"/>
      <c r="AO15" s="31"/>
      <c r="AP15" s="30"/>
    </row>
    <row r="16" spans="1:42" s="5" customFormat="1" ht="30" customHeight="1">
      <c r="A16" s="3">
        <f t="shared" si="10"/>
        <v>11</v>
      </c>
      <c r="B16" s="3">
        <v>1478</v>
      </c>
      <c r="C16" s="3" t="s">
        <v>1518</v>
      </c>
      <c r="D16" s="4">
        <v>1800000</v>
      </c>
      <c r="E16" s="4">
        <v>1800000</v>
      </c>
      <c r="F16" s="4">
        <f t="shared" si="0"/>
        <v>0</v>
      </c>
      <c r="G16" s="4">
        <v>1800000</v>
      </c>
      <c r="H16" s="4">
        <v>1771495.78</v>
      </c>
      <c r="I16" s="4"/>
      <c r="J16" s="4">
        <v>27334</v>
      </c>
      <c r="K16" s="4">
        <f t="shared" si="2"/>
        <v>27334</v>
      </c>
      <c r="L16" s="4">
        <f t="shared" si="3"/>
        <v>1798829.78</v>
      </c>
      <c r="M16" s="4">
        <f t="shared" si="4"/>
        <v>1170.2199999999721</v>
      </c>
      <c r="N16" s="4"/>
      <c r="O16" s="4">
        <f t="shared" si="5"/>
        <v>0</v>
      </c>
      <c r="P16" s="4">
        <f t="shared" si="6"/>
        <v>1170.2199999999721</v>
      </c>
      <c r="Q16" s="4"/>
      <c r="R16" s="4"/>
      <c r="S16" s="4">
        <f t="shared" si="7"/>
        <v>0</v>
      </c>
      <c r="T16" s="4">
        <f t="shared" si="8"/>
        <v>0</v>
      </c>
      <c r="U16" s="4">
        <f t="shared" si="1"/>
        <v>0</v>
      </c>
      <c r="V16" s="4"/>
      <c r="W16" s="4">
        <f t="shared" si="9"/>
        <v>0</v>
      </c>
      <c r="X16" s="4"/>
      <c r="Y16" s="4"/>
      <c r="Z16" s="3"/>
      <c r="AA16" s="3" t="s">
        <v>747</v>
      </c>
      <c r="AB16" s="3">
        <v>930000</v>
      </c>
      <c r="AC16" s="266"/>
      <c r="AD16" s="247"/>
      <c r="AE16" s="247"/>
      <c r="AF16" s="247"/>
      <c r="AG16" s="34"/>
      <c r="AH16" s="30"/>
      <c r="AI16" s="447"/>
      <c r="AJ16" s="448"/>
      <c r="AK16" s="449"/>
      <c r="AL16" s="31"/>
      <c r="AM16" s="31"/>
      <c r="AN16" s="31"/>
      <c r="AO16" s="31"/>
      <c r="AP16" s="30"/>
    </row>
    <row r="17" spans="1:42" s="5" customFormat="1" ht="30" customHeight="1">
      <c r="A17" s="3">
        <f t="shared" si="10"/>
        <v>12</v>
      </c>
      <c r="B17" s="3">
        <v>1479</v>
      </c>
      <c r="C17" s="3" t="s">
        <v>76</v>
      </c>
      <c r="D17" s="4">
        <v>1400000</v>
      </c>
      <c r="E17" s="4">
        <v>1400000</v>
      </c>
      <c r="F17" s="4">
        <f t="shared" si="0"/>
        <v>0</v>
      </c>
      <c r="G17" s="4">
        <v>1400000</v>
      </c>
      <c r="H17" s="4">
        <v>1372325.72</v>
      </c>
      <c r="I17" s="4"/>
      <c r="J17" s="4">
        <v>12373.96</v>
      </c>
      <c r="K17" s="4">
        <f t="shared" si="2"/>
        <v>12373.96</v>
      </c>
      <c r="L17" s="4">
        <f t="shared" si="3"/>
        <v>1384699.68</v>
      </c>
      <c r="M17" s="4">
        <f t="shared" si="4"/>
        <v>15300.320000000065</v>
      </c>
      <c r="N17" s="4"/>
      <c r="O17" s="4">
        <f t="shared" si="5"/>
        <v>0</v>
      </c>
      <c r="P17" s="4">
        <f t="shared" si="6"/>
        <v>15300.320000000065</v>
      </c>
      <c r="Q17" s="4"/>
      <c r="R17" s="4"/>
      <c r="S17" s="4">
        <f t="shared" si="7"/>
        <v>0</v>
      </c>
      <c r="T17" s="4">
        <f t="shared" si="8"/>
        <v>0</v>
      </c>
      <c r="U17" s="4">
        <f t="shared" si="1"/>
        <v>0</v>
      </c>
      <c r="V17" s="4"/>
      <c r="W17" s="4">
        <f t="shared" si="9"/>
        <v>0</v>
      </c>
      <c r="X17" s="4"/>
      <c r="Y17" s="4"/>
      <c r="Z17" s="3"/>
      <c r="AA17" s="3"/>
      <c r="AB17" s="3">
        <v>810000</v>
      </c>
      <c r="AC17" s="266"/>
      <c r="AD17" s="247"/>
      <c r="AE17" s="247"/>
      <c r="AF17" s="247"/>
      <c r="AG17" s="34"/>
      <c r="AH17" s="30"/>
      <c r="AI17" s="447"/>
      <c r="AJ17" s="448"/>
      <c r="AK17" s="449"/>
      <c r="AL17" s="31"/>
      <c r="AM17" s="31"/>
      <c r="AN17" s="31"/>
      <c r="AO17" s="31"/>
      <c r="AP17" s="30"/>
    </row>
    <row r="18" spans="1:42" s="5" customFormat="1" ht="30" customHeight="1">
      <c r="A18" s="3">
        <f t="shared" si="10"/>
        <v>13</v>
      </c>
      <c r="B18" s="3">
        <v>1480</v>
      </c>
      <c r="C18" s="3" t="s">
        <v>77</v>
      </c>
      <c r="D18" s="4">
        <f>4500000-1000000</f>
        <v>3500000</v>
      </c>
      <c r="E18" s="4">
        <v>4500000</v>
      </c>
      <c r="F18" s="4">
        <f t="shared" si="0"/>
        <v>-1000000</v>
      </c>
      <c r="G18" s="4">
        <v>3500000</v>
      </c>
      <c r="H18" s="4">
        <v>3168200.37</v>
      </c>
      <c r="I18" s="4"/>
      <c r="J18" s="4">
        <v>313331</v>
      </c>
      <c r="K18" s="4">
        <f t="shared" si="2"/>
        <v>313331</v>
      </c>
      <c r="L18" s="4">
        <f t="shared" si="3"/>
        <v>3481531.37</v>
      </c>
      <c r="M18" s="4">
        <f t="shared" si="4"/>
        <v>18468.629999999888</v>
      </c>
      <c r="N18" s="4">
        <f>500000-500000</f>
        <v>0</v>
      </c>
      <c r="O18" s="4">
        <f t="shared" si="5"/>
        <v>0</v>
      </c>
      <c r="P18" s="4">
        <f t="shared" si="6"/>
        <v>18468.629999999888</v>
      </c>
      <c r="Q18" s="4"/>
      <c r="R18" s="4"/>
      <c r="S18" s="4">
        <f t="shared" si="7"/>
        <v>0</v>
      </c>
      <c r="T18" s="4">
        <f t="shared" si="8"/>
        <v>0</v>
      </c>
      <c r="U18" s="4">
        <f t="shared" si="1"/>
        <v>0</v>
      </c>
      <c r="V18" s="4"/>
      <c r="W18" s="4">
        <f t="shared" si="9"/>
        <v>0</v>
      </c>
      <c r="X18" s="4"/>
      <c r="Y18" s="4"/>
      <c r="Z18" s="3"/>
      <c r="AA18" s="3" t="s">
        <v>748</v>
      </c>
      <c r="AB18" s="3">
        <v>810000</v>
      </c>
      <c r="AC18" s="266"/>
      <c r="AD18" s="247"/>
      <c r="AE18" s="247"/>
      <c r="AF18" s="247"/>
      <c r="AG18" s="34"/>
      <c r="AH18" s="30"/>
      <c r="AI18" s="447"/>
      <c r="AJ18" s="448"/>
      <c r="AK18" s="449"/>
      <c r="AL18" s="31"/>
      <c r="AM18" s="31"/>
      <c r="AN18" s="31"/>
      <c r="AO18" s="31"/>
      <c r="AP18" s="30"/>
    </row>
    <row r="19" spans="1:42" s="5" customFormat="1" ht="30" customHeight="1">
      <c r="A19" s="3">
        <f t="shared" si="10"/>
        <v>14</v>
      </c>
      <c r="B19" s="3">
        <v>1481</v>
      </c>
      <c r="C19" s="3" t="s">
        <v>291</v>
      </c>
      <c r="D19" s="4">
        <v>6980000</v>
      </c>
      <c r="E19" s="4">
        <v>6980000</v>
      </c>
      <c r="F19" s="4">
        <f t="shared" si="0"/>
        <v>0</v>
      </c>
      <c r="G19" s="4">
        <v>6980000</v>
      </c>
      <c r="H19" s="4">
        <v>6730488.3799999999</v>
      </c>
      <c r="I19" s="4"/>
      <c r="J19" s="4">
        <v>24359</v>
      </c>
      <c r="K19" s="4">
        <f t="shared" si="2"/>
        <v>24359</v>
      </c>
      <c r="L19" s="4">
        <f t="shared" si="3"/>
        <v>6754847.3799999999</v>
      </c>
      <c r="M19" s="4">
        <f t="shared" si="4"/>
        <v>225152.62000000011</v>
      </c>
      <c r="N19" s="4"/>
      <c r="O19" s="4">
        <f t="shared" si="5"/>
        <v>0</v>
      </c>
      <c r="P19" s="4">
        <f t="shared" si="6"/>
        <v>225152.62000000011</v>
      </c>
      <c r="Q19" s="4"/>
      <c r="R19" s="4"/>
      <c r="S19" s="4">
        <f t="shared" si="7"/>
        <v>0</v>
      </c>
      <c r="T19" s="4">
        <f t="shared" si="8"/>
        <v>0</v>
      </c>
      <c r="U19" s="4">
        <f t="shared" si="1"/>
        <v>0</v>
      </c>
      <c r="V19" s="4"/>
      <c r="W19" s="4">
        <f t="shared" si="9"/>
        <v>0</v>
      </c>
      <c r="X19" s="4"/>
      <c r="Y19" s="4"/>
      <c r="Z19" s="3"/>
      <c r="AA19" s="3"/>
      <c r="AB19" s="3">
        <v>743000</v>
      </c>
      <c r="AC19" s="266"/>
      <c r="AD19" s="247"/>
      <c r="AE19" s="247"/>
      <c r="AF19" s="247"/>
      <c r="AG19" s="34"/>
      <c r="AH19" s="30"/>
      <c r="AI19" s="447"/>
      <c r="AJ19" s="448"/>
      <c r="AK19" s="449"/>
      <c r="AL19" s="31"/>
      <c r="AM19" s="31"/>
      <c r="AN19" s="31"/>
      <c r="AO19" s="31"/>
      <c r="AP19" s="30"/>
    </row>
    <row r="20" spans="1:42" s="5" customFormat="1" ht="30" customHeight="1">
      <c r="A20" s="3">
        <f t="shared" si="10"/>
        <v>15</v>
      </c>
      <c r="B20" s="3">
        <v>1482</v>
      </c>
      <c r="C20" s="3" t="s">
        <v>78</v>
      </c>
      <c r="D20" s="4">
        <v>1450000</v>
      </c>
      <c r="E20" s="4">
        <v>1450000</v>
      </c>
      <c r="F20" s="4">
        <f t="shared" si="0"/>
        <v>0</v>
      </c>
      <c r="G20" s="4">
        <v>1450000</v>
      </c>
      <c r="H20" s="4">
        <v>1391606.01</v>
      </c>
      <c r="I20" s="4"/>
      <c r="J20" s="4">
        <v>17207.22</v>
      </c>
      <c r="K20" s="4">
        <f t="shared" si="2"/>
        <v>17207.22</v>
      </c>
      <c r="L20" s="4">
        <f t="shared" si="3"/>
        <v>1408813.23</v>
      </c>
      <c r="M20" s="4">
        <f t="shared" si="4"/>
        <v>41186.770000000019</v>
      </c>
      <c r="N20" s="4"/>
      <c r="O20" s="4">
        <f t="shared" si="5"/>
        <v>0</v>
      </c>
      <c r="P20" s="4">
        <f t="shared" si="6"/>
        <v>41186.770000000019</v>
      </c>
      <c r="Q20" s="4"/>
      <c r="R20" s="4"/>
      <c r="S20" s="4">
        <f t="shared" si="7"/>
        <v>0</v>
      </c>
      <c r="T20" s="4">
        <f t="shared" si="8"/>
        <v>0</v>
      </c>
      <c r="U20" s="4">
        <f t="shared" si="1"/>
        <v>0</v>
      </c>
      <c r="V20" s="4"/>
      <c r="W20" s="4">
        <f t="shared" si="9"/>
        <v>0</v>
      </c>
      <c r="X20" s="4"/>
      <c r="Y20" s="4"/>
      <c r="Z20" s="3"/>
      <c r="AA20" s="3"/>
      <c r="AB20" s="3">
        <v>810000</v>
      </c>
      <c r="AC20" s="266"/>
      <c r="AD20" s="247"/>
      <c r="AE20" s="247"/>
      <c r="AF20" s="247"/>
      <c r="AG20" s="34"/>
      <c r="AH20" s="30"/>
      <c r="AI20" s="447"/>
      <c r="AJ20" s="448"/>
      <c r="AK20" s="449"/>
      <c r="AL20" s="31"/>
      <c r="AM20" s="31"/>
      <c r="AN20" s="31"/>
      <c r="AO20" s="31"/>
      <c r="AP20" s="30"/>
    </row>
    <row r="21" spans="1:42" s="5" customFormat="1" ht="30" customHeight="1">
      <c r="A21" s="3">
        <f t="shared" si="10"/>
        <v>16</v>
      </c>
      <c r="B21" s="3">
        <v>1483</v>
      </c>
      <c r="C21" s="3" t="s">
        <v>79</v>
      </c>
      <c r="D21" s="4">
        <v>2700000</v>
      </c>
      <c r="E21" s="4">
        <v>2700000</v>
      </c>
      <c r="F21" s="4">
        <f t="shared" si="0"/>
        <v>0</v>
      </c>
      <c r="G21" s="4">
        <v>1800000</v>
      </c>
      <c r="H21" s="4">
        <v>1506475.21</v>
      </c>
      <c r="I21" s="4"/>
      <c r="J21" s="4">
        <v>293000</v>
      </c>
      <c r="K21" s="4">
        <f t="shared" si="2"/>
        <v>293000</v>
      </c>
      <c r="L21" s="4">
        <f t="shared" si="3"/>
        <v>1799475.21</v>
      </c>
      <c r="M21" s="4">
        <f t="shared" si="4"/>
        <v>524.79000000003725</v>
      </c>
      <c r="N21" s="4">
        <v>300000</v>
      </c>
      <c r="O21" s="4">
        <f t="shared" si="5"/>
        <v>600000</v>
      </c>
      <c r="P21" s="4">
        <f t="shared" si="6"/>
        <v>524.79000000003725</v>
      </c>
      <c r="Q21" s="4"/>
      <c r="R21" s="4"/>
      <c r="S21" s="4">
        <f t="shared" si="7"/>
        <v>0</v>
      </c>
      <c r="T21" s="4">
        <f t="shared" si="8"/>
        <v>0</v>
      </c>
      <c r="U21" s="4">
        <f t="shared" si="1"/>
        <v>300000</v>
      </c>
      <c r="V21" s="4"/>
      <c r="W21" s="4">
        <f t="shared" si="9"/>
        <v>300000</v>
      </c>
      <c r="X21" s="4"/>
      <c r="Y21" s="4"/>
      <c r="Z21" s="3"/>
      <c r="AA21" s="3" t="s">
        <v>749</v>
      </c>
      <c r="AB21" s="3">
        <v>812000</v>
      </c>
      <c r="AC21" s="266"/>
      <c r="AD21" s="247"/>
      <c r="AE21" s="247"/>
      <c r="AF21" s="247"/>
      <c r="AG21" s="34"/>
      <c r="AH21" s="30"/>
      <c r="AI21" s="447"/>
      <c r="AJ21" s="448"/>
      <c r="AK21" s="449"/>
      <c r="AL21" s="31"/>
      <c r="AM21" s="31"/>
      <c r="AN21" s="31"/>
      <c r="AO21" s="31"/>
      <c r="AP21" s="30"/>
    </row>
    <row r="22" spans="1:42" s="5" customFormat="1" ht="42">
      <c r="A22" s="3">
        <f t="shared" si="10"/>
        <v>17</v>
      </c>
      <c r="B22" s="3">
        <v>1489</v>
      </c>
      <c r="C22" s="3" t="s">
        <v>750</v>
      </c>
      <c r="D22" s="4">
        <f>46200000+3800000-3800000</f>
        <v>46200000</v>
      </c>
      <c r="E22" s="4">
        <v>46200000</v>
      </c>
      <c r="F22" s="4">
        <f t="shared" si="0"/>
        <v>0</v>
      </c>
      <c r="G22" s="4">
        <v>40000000</v>
      </c>
      <c r="H22" s="4">
        <v>28740714.640000001</v>
      </c>
      <c r="I22" s="4"/>
      <c r="J22" s="4">
        <v>9135671</v>
      </c>
      <c r="K22" s="4">
        <f t="shared" si="2"/>
        <v>9135671</v>
      </c>
      <c r="L22" s="4">
        <f t="shared" si="3"/>
        <v>37876385.640000001</v>
      </c>
      <c r="M22" s="4">
        <f t="shared" si="4"/>
        <v>2123614.3599999994</v>
      </c>
      <c r="N22" s="4">
        <f>10000000-3000000-3000000</f>
        <v>4000000</v>
      </c>
      <c r="O22" s="4">
        <f t="shared" si="5"/>
        <v>2200000</v>
      </c>
      <c r="P22" s="4">
        <f t="shared" si="6"/>
        <v>2123614.3599999994</v>
      </c>
      <c r="Q22" s="4"/>
      <c r="R22" s="4"/>
      <c r="S22" s="4">
        <f t="shared" si="7"/>
        <v>0</v>
      </c>
      <c r="T22" s="4">
        <f t="shared" si="8"/>
        <v>0</v>
      </c>
      <c r="U22" s="4">
        <f t="shared" si="1"/>
        <v>4000000</v>
      </c>
      <c r="V22" s="4"/>
      <c r="W22" s="4">
        <f t="shared" si="9"/>
        <v>4000000</v>
      </c>
      <c r="X22" s="4"/>
      <c r="Y22" s="4"/>
      <c r="Z22" s="3"/>
      <c r="AA22" s="3" t="s">
        <v>1331</v>
      </c>
      <c r="AB22" s="3">
        <v>742000</v>
      </c>
      <c r="AC22" s="266"/>
      <c r="AD22" s="247"/>
      <c r="AE22" s="247"/>
      <c r="AF22" s="247"/>
      <c r="AG22" s="34"/>
      <c r="AH22" s="30"/>
      <c r="AI22" s="447"/>
      <c r="AJ22" s="448"/>
      <c r="AK22" s="449"/>
      <c r="AL22" s="31"/>
      <c r="AM22" s="31"/>
      <c r="AN22" s="31"/>
      <c r="AO22" s="31"/>
      <c r="AP22" s="30"/>
    </row>
    <row r="23" spans="1:42" s="5" customFormat="1" ht="30" customHeight="1">
      <c r="A23" s="3">
        <f t="shared" si="10"/>
        <v>18</v>
      </c>
      <c r="B23" s="3">
        <v>1560</v>
      </c>
      <c r="C23" s="3" t="s">
        <v>81</v>
      </c>
      <c r="D23" s="4">
        <f>3660000+1000000+80000-980000</f>
        <v>3760000</v>
      </c>
      <c r="E23" s="4">
        <v>3660000</v>
      </c>
      <c r="F23" s="4">
        <f t="shared" si="0"/>
        <v>100000</v>
      </c>
      <c r="G23" s="4">
        <v>3260000</v>
      </c>
      <c r="H23" s="4">
        <v>2620318.96</v>
      </c>
      <c r="I23" s="4">
        <v>261185</v>
      </c>
      <c r="J23" s="4">
        <v>346182</v>
      </c>
      <c r="K23" s="4">
        <f t="shared" si="2"/>
        <v>607367</v>
      </c>
      <c r="L23" s="4">
        <f t="shared" si="3"/>
        <v>3227685.96</v>
      </c>
      <c r="M23" s="4">
        <f t="shared" si="4"/>
        <v>32314.040000000037</v>
      </c>
      <c r="N23" s="4">
        <f>800000+80000+460000+50000+30000+60000-980000</f>
        <v>500000</v>
      </c>
      <c r="O23" s="4">
        <f t="shared" si="5"/>
        <v>0</v>
      </c>
      <c r="P23" s="4">
        <f t="shared" si="6"/>
        <v>32314.040000000037</v>
      </c>
      <c r="Q23" s="4"/>
      <c r="R23" s="4"/>
      <c r="S23" s="4">
        <f t="shared" si="7"/>
        <v>0</v>
      </c>
      <c r="T23" s="4">
        <f t="shared" si="8"/>
        <v>0</v>
      </c>
      <c r="U23" s="4">
        <f t="shared" si="1"/>
        <v>500000</v>
      </c>
      <c r="V23" s="4"/>
      <c r="W23" s="4">
        <f t="shared" si="9"/>
        <v>500000</v>
      </c>
      <c r="X23" s="4"/>
      <c r="Y23" s="4"/>
      <c r="Z23" s="3"/>
      <c r="AA23" s="3" t="s">
        <v>1132</v>
      </c>
      <c r="AB23" s="3">
        <v>746000</v>
      </c>
      <c r="AC23" s="266"/>
      <c r="AD23" s="247"/>
      <c r="AE23" s="247"/>
      <c r="AF23" s="247"/>
      <c r="AG23" s="34"/>
      <c r="AH23" s="30"/>
      <c r="AI23" s="447"/>
      <c r="AJ23" s="448"/>
      <c r="AK23" s="449"/>
      <c r="AL23" s="31"/>
      <c r="AM23" s="31"/>
      <c r="AN23" s="31"/>
      <c r="AO23" s="31"/>
      <c r="AP23" s="30"/>
    </row>
    <row r="24" spans="1:42" s="5" customFormat="1" ht="30" customHeight="1">
      <c r="A24" s="3">
        <f t="shared" si="10"/>
        <v>19</v>
      </c>
      <c r="B24" s="3">
        <v>1662</v>
      </c>
      <c r="C24" s="3" t="s">
        <v>230</v>
      </c>
      <c r="D24" s="4">
        <v>815000</v>
      </c>
      <c r="E24" s="4">
        <v>815000</v>
      </c>
      <c r="F24" s="4">
        <f t="shared" si="0"/>
        <v>0</v>
      </c>
      <c r="G24" s="4">
        <v>425000</v>
      </c>
      <c r="H24" s="4">
        <v>241865.62</v>
      </c>
      <c r="I24" s="4"/>
      <c r="J24" s="4"/>
      <c r="K24" s="4">
        <f t="shared" si="2"/>
        <v>0</v>
      </c>
      <c r="L24" s="4">
        <f t="shared" si="3"/>
        <v>241865.62</v>
      </c>
      <c r="M24" s="4">
        <f t="shared" si="4"/>
        <v>573134.38</v>
      </c>
      <c r="N24" s="4"/>
      <c r="O24" s="4">
        <f t="shared" si="5"/>
        <v>0</v>
      </c>
      <c r="P24" s="4">
        <f t="shared" si="6"/>
        <v>183134.38</v>
      </c>
      <c r="Q24" s="4">
        <v>390000</v>
      </c>
      <c r="R24" s="4"/>
      <c r="S24" s="4">
        <f t="shared" si="7"/>
        <v>390000</v>
      </c>
      <c r="T24" s="4">
        <f t="shared" si="8"/>
        <v>0</v>
      </c>
      <c r="U24" s="4">
        <f t="shared" si="1"/>
        <v>0</v>
      </c>
      <c r="V24" s="4"/>
      <c r="W24" s="4">
        <f t="shared" si="9"/>
        <v>0</v>
      </c>
      <c r="X24" s="4"/>
      <c r="Y24" s="4"/>
      <c r="Z24" s="3"/>
      <c r="AA24" s="3"/>
      <c r="AB24" s="3">
        <v>870000</v>
      </c>
      <c r="AC24" s="266"/>
      <c r="AD24" s="247"/>
      <c r="AE24" s="247"/>
      <c r="AF24" s="247"/>
      <c r="AG24" s="34"/>
      <c r="AH24" s="30"/>
      <c r="AI24" s="447"/>
      <c r="AJ24" s="448"/>
      <c r="AK24" s="449"/>
      <c r="AL24" s="31"/>
      <c r="AM24" s="31"/>
      <c r="AN24" s="31"/>
      <c r="AO24" s="31"/>
      <c r="AP24" s="30"/>
    </row>
    <row r="25" spans="1:42" s="5" customFormat="1" ht="30" customHeight="1">
      <c r="A25" s="3">
        <f t="shared" si="10"/>
        <v>20</v>
      </c>
      <c r="B25" s="3">
        <v>1676</v>
      </c>
      <c r="C25" s="3" t="s">
        <v>292</v>
      </c>
      <c r="D25" s="4">
        <f>43215000-450000</f>
        <v>42765000</v>
      </c>
      <c r="E25" s="4">
        <v>43215000</v>
      </c>
      <c r="F25" s="4">
        <f t="shared" si="0"/>
        <v>-450000</v>
      </c>
      <c r="G25" s="4">
        <v>43215000</v>
      </c>
      <c r="H25" s="4">
        <v>42484661.57</v>
      </c>
      <c r="I25" s="4">
        <v>209870.43</v>
      </c>
      <c r="J25" s="4">
        <v>586.61</v>
      </c>
      <c r="K25" s="4">
        <f t="shared" si="2"/>
        <v>210457.03999999998</v>
      </c>
      <c r="L25" s="4">
        <f t="shared" si="3"/>
        <v>42695118.609999999</v>
      </c>
      <c r="M25" s="4">
        <f>P25+S25-450000</f>
        <v>69881.390000000596</v>
      </c>
      <c r="N25" s="4"/>
      <c r="O25" s="4">
        <f t="shared" si="5"/>
        <v>0</v>
      </c>
      <c r="P25" s="4">
        <f t="shared" si="6"/>
        <v>519881.3900000006</v>
      </c>
      <c r="Q25" s="4"/>
      <c r="R25" s="4"/>
      <c r="S25" s="4">
        <f t="shared" si="7"/>
        <v>0</v>
      </c>
      <c r="T25" s="4">
        <f t="shared" si="8"/>
        <v>450000</v>
      </c>
      <c r="U25" s="4">
        <f t="shared" si="1"/>
        <v>-450000</v>
      </c>
      <c r="V25" s="4"/>
      <c r="W25" s="4">
        <f t="shared" si="9"/>
        <v>-450000</v>
      </c>
      <c r="X25" s="4"/>
      <c r="Y25" s="4"/>
      <c r="Z25" s="3"/>
      <c r="AA25" s="3"/>
      <c r="AB25" s="3">
        <v>810000</v>
      </c>
      <c r="AC25" s="266"/>
      <c r="AD25" s="247"/>
      <c r="AE25" s="247"/>
      <c r="AF25" s="247"/>
      <c r="AG25" s="34"/>
      <c r="AH25" s="30"/>
      <c r="AI25" s="447"/>
      <c r="AJ25" s="448"/>
      <c r="AK25" s="449"/>
      <c r="AL25" s="31"/>
      <c r="AM25" s="31"/>
      <c r="AN25" s="31"/>
      <c r="AO25" s="31"/>
      <c r="AP25" s="30"/>
    </row>
    <row r="26" spans="1:42" s="5" customFormat="1" ht="30" customHeight="1">
      <c r="A26" s="3">
        <f t="shared" si="10"/>
        <v>21</v>
      </c>
      <c r="B26" s="3">
        <v>1677</v>
      </c>
      <c r="C26" s="3" t="s">
        <v>83</v>
      </c>
      <c r="D26" s="4">
        <v>18500000</v>
      </c>
      <c r="E26" s="4">
        <v>18500000</v>
      </c>
      <c r="F26" s="4">
        <f t="shared" si="0"/>
        <v>0</v>
      </c>
      <c r="G26" s="4">
        <v>18500000</v>
      </c>
      <c r="H26" s="4">
        <v>17903593.199999999</v>
      </c>
      <c r="I26" s="4">
        <v>302080</v>
      </c>
      <c r="J26" s="4">
        <v>232254</v>
      </c>
      <c r="K26" s="4">
        <f t="shared" si="2"/>
        <v>534334</v>
      </c>
      <c r="L26" s="4">
        <f t="shared" si="3"/>
        <v>18437927.199999999</v>
      </c>
      <c r="M26" s="4">
        <f t="shared" si="4"/>
        <v>62072.800000000745</v>
      </c>
      <c r="N26" s="4"/>
      <c r="O26" s="4">
        <f t="shared" si="5"/>
        <v>0</v>
      </c>
      <c r="P26" s="4">
        <f t="shared" si="6"/>
        <v>62072.800000000745</v>
      </c>
      <c r="Q26" s="4"/>
      <c r="R26" s="4"/>
      <c r="S26" s="4">
        <f t="shared" si="7"/>
        <v>0</v>
      </c>
      <c r="T26" s="4">
        <f t="shared" si="8"/>
        <v>0</v>
      </c>
      <c r="U26" s="4">
        <f t="shared" si="1"/>
        <v>0</v>
      </c>
      <c r="V26" s="4"/>
      <c r="W26" s="4">
        <f t="shared" si="9"/>
        <v>0</v>
      </c>
      <c r="X26" s="4"/>
      <c r="Y26" s="4"/>
      <c r="Z26" s="3"/>
      <c r="AA26" s="3"/>
      <c r="AB26" s="3">
        <v>810000</v>
      </c>
      <c r="AC26" s="266"/>
      <c r="AD26" s="247"/>
      <c r="AE26" s="247"/>
      <c r="AF26" s="247"/>
      <c r="AG26" s="34"/>
      <c r="AH26" s="30"/>
      <c r="AI26" s="447"/>
      <c r="AJ26" s="448"/>
      <c r="AK26" s="449"/>
      <c r="AL26" s="31"/>
      <c r="AM26" s="31"/>
      <c r="AN26" s="31"/>
      <c r="AO26" s="31"/>
      <c r="AP26" s="30"/>
    </row>
    <row r="27" spans="1:42" s="5" customFormat="1" ht="30" customHeight="1">
      <c r="A27" s="3">
        <f t="shared" si="10"/>
        <v>22</v>
      </c>
      <c r="B27" s="3">
        <v>1691</v>
      </c>
      <c r="C27" s="3" t="s">
        <v>293</v>
      </c>
      <c r="D27" s="4">
        <v>210000</v>
      </c>
      <c r="E27" s="4">
        <v>210000</v>
      </c>
      <c r="F27" s="4">
        <f t="shared" si="0"/>
        <v>0</v>
      </c>
      <c r="G27" s="4">
        <v>210000</v>
      </c>
      <c r="H27" s="4">
        <v>184253.53</v>
      </c>
      <c r="I27" s="4"/>
      <c r="J27" s="4"/>
      <c r="K27" s="4">
        <f t="shared" si="2"/>
        <v>0</v>
      </c>
      <c r="L27" s="4">
        <f t="shared" si="3"/>
        <v>184253.53</v>
      </c>
      <c r="M27" s="4">
        <f t="shared" si="4"/>
        <v>25746.47</v>
      </c>
      <c r="N27" s="4"/>
      <c r="O27" s="4">
        <f t="shared" si="5"/>
        <v>0</v>
      </c>
      <c r="P27" s="4">
        <f t="shared" si="6"/>
        <v>25746.47</v>
      </c>
      <c r="Q27" s="4"/>
      <c r="R27" s="4"/>
      <c r="S27" s="4">
        <f t="shared" si="7"/>
        <v>0</v>
      </c>
      <c r="T27" s="4">
        <f t="shared" si="8"/>
        <v>0</v>
      </c>
      <c r="U27" s="4">
        <f t="shared" si="1"/>
        <v>0</v>
      </c>
      <c r="V27" s="4"/>
      <c r="W27" s="4">
        <f t="shared" si="9"/>
        <v>0</v>
      </c>
      <c r="X27" s="4"/>
      <c r="Y27" s="4"/>
      <c r="Z27" s="3"/>
      <c r="AA27" s="3"/>
      <c r="AB27" s="3">
        <v>810000</v>
      </c>
      <c r="AC27" s="266"/>
      <c r="AD27" s="247"/>
      <c r="AE27" s="247"/>
      <c r="AF27" s="247"/>
      <c r="AG27" s="34"/>
      <c r="AH27" s="30"/>
      <c r="AI27" s="447"/>
      <c r="AJ27" s="448"/>
      <c r="AK27" s="449"/>
      <c r="AL27" s="31"/>
      <c r="AM27" s="31"/>
      <c r="AN27" s="31"/>
      <c r="AO27" s="31"/>
      <c r="AP27" s="30"/>
    </row>
    <row r="28" spans="1:42" s="5" customFormat="1" ht="30" customHeight="1">
      <c r="A28" s="3">
        <f t="shared" si="10"/>
        <v>23</v>
      </c>
      <c r="B28" s="3">
        <v>1711</v>
      </c>
      <c r="C28" s="3" t="s">
        <v>85</v>
      </c>
      <c r="D28" s="4">
        <f>445000-60000</f>
        <v>385000</v>
      </c>
      <c r="E28" s="4">
        <v>445000</v>
      </c>
      <c r="F28" s="4">
        <f t="shared" si="0"/>
        <v>-60000</v>
      </c>
      <c r="G28" s="4">
        <v>425000</v>
      </c>
      <c r="H28" s="4">
        <v>326380.49</v>
      </c>
      <c r="I28" s="4"/>
      <c r="J28" s="4">
        <v>10077.280000000001</v>
      </c>
      <c r="K28" s="4">
        <f t="shared" si="2"/>
        <v>10077.280000000001</v>
      </c>
      <c r="L28" s="4">
        <f t="shared" si="3"/>
        <v>336457.77</v>
      </c>
      <c r="M28" s="4">
        <f>P28+S28-40000</f>
        <v>48542.229999999981</v>
      </c>
      <c r="N28" s="4"/>
      <c r="O28" s="4">
        <f t="shared" si="5"/>
        <v>0</v>
      </c>
      <c r="P28" s="4">
        <f t="shared" si="6"/>
        <v>88542.229999999981</v>
      </c>
      <c r="Q28" s="4"/>
      <c r="R28" s="4"/>
      <c r="S28" s="4">
        <f t="shared" si="7"/>
        <v>0</v>
      </c>
      <c r="T28" s="4">
        <f t="shared" si="8"/>
        <v>40000</v>
      </c>
      <c r="U28" s="4">
        <f t="shared" si="1"/>
        <v>-40000</v>
      </c>
      <c r="V28" s="4"/>
      <c r="W28" s="4">
        <f t="shared" si="9"/>
        <v>-40000</v>
      </c>
      <c r="X28" s="4"/>
      <c r="Y28" s="4"/>
      <c r="Z28" s="3"/>
      <c r="AA28" s="47"/>
      <c r="AB28" s="3">
        <v>810000</v>
      </c>
      <c r="AC28" s="266"/>
      <c r="AD28" s="247"/>
      <c r="AE28" s="247"/>
      <c r="AF28" s="247"/>
      <c r="AG28" s="34"/>
      <c r="AH28" s="30"/>
      <c r="AI28" s="447"/>
      <c r="AJ28" s="448"/>
      <c r="AK28" s="449"/>
      <c r="AL28" s="31"/>
      <c r="AM28" s="31"/>
      <c r="AN28" s="31"/>
      <c r="AO28" s="31"/>
      <c r="AP28" s="30"/>
    </row>
    <row r="29" spans="1:42" s="5" customFormat="1" ht="30" customHeight="1">
      <c r="A29" s="3">
        <f t="shared" si="10"/>
        <v>24</v>
      </c>
      <c r="B29" s="3">
        <v>1769</v>
      </c>
      <c r="C29" s="3" t="s">
        <v>86</v>
      </c>
      <c r="D29" s="4">
        <v>4870000</v>
      </c>
      <c r="E29" s="4">
        <v>4870000</v>
      </c>
      <c r="F29" s="4">
        <f t="shared" si="0"/>
        <v>0</v>
      </c>
      <c r="G29" s="4">
        <v>4870000</v>
      </c>
      <c r="H29" s="4">
        <v>4767927.57</v>
      </c>
      <c r="I29" s="4">
        <v>65828.67</v>
      </c>
      <c r="J29" s="4"/>
      <c r="K29" s="4">
        <f t="shared" si="2"/>
        <v>65828.67</v>
      </c>
      <c r="L29" s="4">
        <f t="shared" si="3"/>
        <v>4833756.24</v>
      </c>
      <c r="M29" s="4">
        <f t="shared" si="4"/>
        <v>36243.759999999776</v>
      </c>
      <c r="N29" s="4"/>
      <c r="O29" s="4">
        <f t="shared" si="5"/>
        <v>0</v>
      </c>
      <c r="P29" s="4">
        <f t="shared" si="6"/>
        <v>36243.759999999776</v>
      </c>
      <c r="Q29" s="4"/>
      <c r="R29" s="4"/>
      <c r="S29" s="4">
        <f t="shared" si="7"/>
        <v>0</v>
      </c>
      <c r="T29" s="4">
        <f t="shared" si="8"/>
        <v>0</v>
      </c>
      <c r="U29" s="4">
        <f t="shared" si="1"/>
        <v>0</v>
      </c>
      <c r="V29" s="4"/>
      <c r="W29" s="4">
        <f t="shared" si="9"/>
        <v>0</v>
      </c>
      <c r="X29" s="4"/>
      <c r="Y29" s="4"/>
      <c r="Z29" s="3"/>
      <c r="AA29" s="3"/>
      <c r="AB29" s="3">
        <v>810000</v>
      </c>
      <c r="AC29" s="266"/>
      <c r="AD29" s="247"/>
      <c r="AE29" s="247"/>
      <c r="AF29" s="247"/>
      <c r="AG29" s="34"/>
      <c r="AH29" s="30"/>
      <c r="AI29" s="447"/>
      <c r="AJ29" s="448"/>
      <c r="AK29" s="449"/>
      <c r="AL29" s="31"/>
      <c r="AM29" s="31"/>
      <c r="AN29" s="31"/>
      <c r="AO29" s="31"/>
      <c r="AP29" s="30"/>
    </row>
    <row r="30" spans="1:42" s="5" customFormat="1" ht="30" customHeight="1">
      <c r="A30" s="3">
        <f t="shared" si="10"/>
        <v>25</v>
      </c>
      <c r="B30" s="3">
        <v>1770</v>
      </c>
      <c r="C30" s="3" t="s">
        <v>751</v>
      </c>
      <c r="D30" s="4">
        <v>29752105</v>
      </c>
      <c r="E30" s="4">
        <v>29752105</v>
      </c>
      <c r="F30" s="4">
        <f t="shared" si="0"/>
        <v>0</v>
      </c>
      <c r="G30" s="4">
        <v>29752105</v>
      </c>
      <c r="H30" s="4">
        <v>26831640.559999999</v>
      </c>
      <c r="I30" s="4">
        <v>2156197.21</v>
      </c>
      <c r="J30" s="4">
        <f>2681924-2156296</f>
        <v>525628</v>
      </c>
      <c r="K30" s="4">
        <f t="shared" si="2"/>
        <v>2681825.21</v>
      </c>
      <c r="L30" s="4">
        <f t="shared" si="3"/>
        <v>29513465.77</v>
      </c>
      <c r="M30" s="4">
        <f t="shared" si="4"/>
        <v>238639.23000000045</v>
      </c>
      <c r="N30" s="4"/>
      <c r="O30" s="4">
        <f t="shared" si="5"/>
        <v>0</v>
      </c>
      <c r="P30" s="4">
        <f t="shared" si="6"/>
        <v>238639.23000000045</v>
      </c>
      <c r="Q30" s="4"/>
      <c r="R30" s="4"/>
      <c r="S30" s="4">
        <f t="shared" si="7"/>
        <v>0</v>
      </c>
      <c r="T30" s="4">
        <f t="shared" si="8"/>
        <v>0</v>
      </c>
      <c r="U30" s="4">
        <f t="shared" si="1"/>
        <v>0</v>
      </c>
      <c r="V30" s="4"/>
      <c r="W30" s="4">
        <f t="shared" si="9"/>
        <v>0</v>
      </c>
      <c r="X30" s="4"/>
      <c r="Y30" s="4"/>
      <c r="Z30" s="3"/>
      <c r="AA30" s="3"/>
      <c r="AB30" s="3">
        <v>810000</v>
      </c>
      <c r="AC30" s="266"/>
      <c r="AD30" s="247"/>
      <c r="AE30" s="247"/>
      <c r="AF30" s="247"/>
      <c r="AG30" s="34"/>
      <c r="AH30" s="30"/>
      <c r="AI30" s="447"/>
      <c r="AJ30" s="448"/>
      <c r="AK30" s="449"/>
      <c r="AL30" s="31"/>
      <c r="AM30" s="31"/>
      <c r="AN30" s="31"/>
      <c r="AO30" s="31"/>
      <c r="AP30" s="30"/>
    </row>
    <row r="31" spans="1:42" s="5" customFormat="1" ht="30" customHeight="1">
      <c r="A31" s="3">
        <f t="shared" si="10"/>
        <v>26</v>
      </c>
      <c r="B31" s="3">
        <v>1773</v>
      </c>
      <c r="C31" s="3" t="s">
        <v>173</v>
      </c>
      <c r="D31" s="4">
        <v>1500000</v>
      </c>
      <c r="E31" s="4">
        <v>1500000</v>
      </c>
      <c r="F31" s="4">
        <f t="shared" si="0"/>
        <v>0</v>
      </c>
      <c r="G31" s="4">
        <v>500000</v>
      </c>
      <c r="H31" s="4">
        <v>119925</v>
      </c>
      <c r="I31" s="4">
        <v>58000</v>
      </c>
      <c r="J31" s="4"/>
      <c r="K31" s="4">
        <f t="shared" si="2"/>
        <v>58000</v>
      </c>
      <c r="L31" s="4">
        <f t="shared" si="3"/>
        <v>177925</v>
      </c>
      <c r="M31" s="4">
        <f t="shared" si="4"/>
        <v>822075</v>
      </c>
      <c r="N31" s="4">
        <v>500000</v>
      </c>
      <c r="O31" s="4">
        <f t="shared" si="5"/>
        <v>0</v>
      </c>
      <c r="P31" s="4">
        <f t="shared" si="6"/>
        <v>322075</v>
      </c>
      <c r="Q31" s="4">
        <v>500000</v>
      </c>
      <c r="R31" s="4"/>
      <c r="S31" s="4">
        <f t="shared" si="7"/>
        <v>500000</v>
      </c>
      <c r="T31" s="4">
        <f t="shared" si="8"/>
        <v>0</v>
      </c>
      <c r="U31" s="4">
        <f t="shared" si="1"/>
        <v>500000</v>
      </c>
      <c r="V31" s="4"/>
      <c r="W31" s="4">
        <f t="shared" si="9"/>
        <v>500000</v>
      </c>
      <c r="X31" s="4"/>
      <c r="Y31" s="4"/>
      <c r="Z31" s="3"/>
      <c r="AA31" s="3" t="s">
        <v>752</v>
      </c>
      <c r="AB31" s="3">
        <v>746000</v>
      </c>
      <c r="AC31" s="266"/>
      <c r="AD31" s="247"/>
      <c r="AE31" s="247"/>
      <c r="AF31" s="247"/>
      <c r="AG31" s="34"/>
      <c r="AH31" s="30"/>
      <c r="AI31" s="447"/>
      <c r="AJ31" s="448"/>
      <c r="AK31" s="30"/>
      <c r="AL31" s="31"/>
      <c r="AM31" s="31"/>
      <c r="AN31" s="31"/>
      <c r="AO31" s="31"/>
      <c r="AP31" s="30"/>
    </row>
    <row r="32" spans="1:42" s="5" customFormat="1" ht="30" customHeight="1">
      <c r="A32" s="3">
        <f t="shared" si="10"/>
        <v>27</v>
      </c>
      <c r="B32" s="3">
        <v>1794</v>
      </c>
      <c r="C32" s="3" t="s">
        <v>188</v>
      </c>
      <c r="D32" s="4">
        <f>975000+125000</f>
        <v>1100000</v>
      </c>
      <c r="E32" s="4">
        <f>850000+125000</f>
        <v>975000</v>
      </c>
      <c r="F32" s="4">
        <f t="shared" si="0"/>
        <v>125000</v>
      </c>
      <c r="G32" s="4">
        <v>975000</v>
      </c>
      <c r="H32" s="4">
        <v>363860.26</v>
      </c>
      <c r="I32" s="4">
        <v>59582.23</v>
      </c>
      <c r="J32" s="4">
        <v>546083</v>
      </c>
      <c r="K32" s="4">
        <f t="shared" si="2"/>
        <v>605665.23</v>
      </c>
      <c r="L32" s="4">
        <f t="shared" si="3"/>
        <v>969525.49</v>
      </c>
      <c r="M32" s="4">
        <f t="shared" si="4"/>
        <v>5474.5100000000093</v>
      </c>
      <c r="N32" s="4">
        <v>125000</v>
      </c>
      <c r="O32" s="4">
        <f t="shared" si="5"/>
        <v>0</v>
      </c>
      <c r="P32" s="4">
        <f t="shared" si="6"/>
        <v>5474.5100000000093</v>
      </c>
      <c r="Q32" s="4"/>
      <c r="R32" s="4"/>
      <c r="S32" s="4">
        <f t="shared" si="7"/>
        <v>0</v>
      </c>
      <c r="T32" s="4">
        <f t="shared" si="8"/>
        <v>0</v>
      </c>
      <c r="U32" s="4">
        <f t="shared" si="1"/>
        <v>125000</v>
      </c>
      <c r="V32" s="4"/>
      <c r="W32" s="4">
        <f t="shared" si="9"/>
        <v>125000</v>
      </c>
      <c r="X32" s="4"/>
      <c r="Y32" s="4"/>
      <c r="Z32" s="3"/>
      <c r="AA32" s="3" t="s">
        <v>753</v>
      </c>
      <c r="AB32" s="3">
        <v>850000</v>
      </c>
      <c r="AC32" s="266"/>
      <c r="AD32" s="247"/>
      <c r="AE32" s="247"/>
      <c r="AF32" s="247"/>
      <c r="AG32" s="34"/>
      <c r="AH32" s="30"/>
      <c r="AI32" s="447"/>
      <c r="AJ32" s="448"/>
      <c r="AK32" s="449"/>
      <c r="AL32" s="31"/>
      <c r="AM32" s="31"/>
      <c r="AN32" s="31"/>
      <c r="AO32" s="31"/>
      <c r="AP32" s="30"/>
    </row>
    <row r="33" spans="1:42" s="5" customFormat="1" ht="30" customHeight="1">
      <c r="A33" s="3">
        <f t="shared" si="10"/>
        <v>28</v>
      </c>
      <c r="B33" s="3">
        <v>1848</v>
      </c>
      <c r="C33" s="3" t="s">
        <v>217</v>
      </c>
      <c r="D33" s="4">
        <v>700000</v>
      </c>
      <c r="E33" s="4">
        <v>600000</v>
      </c>
      <c r="F33" s="4">
        <f t="shared" si="0"/>
        <v>100000</v>
      </c>
      <c r="G33" s="4">
        <v>500000</v>
      </c>
      <c r="H33" s="4">
        <v>497437.17</v>
      </c>
      <c r="I33" s="4"/>
      <c r="J33" s="4"/>
      <c r="K33" s="4">
        <f t="shared" si="2"/>
        <v>0</v>
      </c>
      <c r="L33" s="4">
        <f t="shared" si="3"/>
        <v>497437.17</v>
      </c>
      <c r="M33" s="4">
        <f t="shared" si="4"/>
        <v>2562.8300000000163</v>
      </c>
      <c r="N33" s="4">
        <v>200000</v>
      </c>
      <c r="O33" s="4">
        <f t="shared" si="5"/>
        <v>0</v>
      </c>
      <c r="P33" s="4">
        <f t="shared" si="6"/>
        <v>2562.8300000000163</v>
      </c>
      <c r="Q33" s="4"/>
      <c r="R33" s="4"/>
      <c r="S33" s="4">
        <f t="shared" si="7"/>
        <v>0</v>
      </c>
      <c r="T33" s="4">
        <f t="shared" si="8"/>
        <v>0</v>
      </c>
      <c r="U33" s="4">
        <f t="shared" si="1"/>
        <v>200000</v>
      </c>
      <c r="V33" s="4"/>
      <c r="W33" s="4">
        <f t="shared" si="9"/>
        <v>200000</v>
      </c>
      <c r="X33" s="4"/>
      <c r="Y33" s="4"/>
      <c r="Z33" s="3"/>
      <c r="AA33" s="3" t="s">
        <v>1133</v>
      </c>
      <c r="AB33" s="3">
        <v>742000</v>
      </c>
      <c r="AC33" s="266"/>
      <c r="AD33" s="247"/>
      <c r="AE33" s="247"/>
      <c r="AF33" s="247"/>
      <c r="AG33" s="34"/>
      <c r="AH33" s="30"/>
      <c r="AI33" s="447"/>
      <c r="AJ33" s="448"/>
      <c r="AK33" s="449"/>
      <c r="AL33" s="31"/>
      <c r="AM33" s="31"/>
      <c r="AN33" s="31"/>
      <c r="AO33" s="31"/>
      <c r="AP33" s="30"/>
    </row>
    <row r="34" spans="1:42" s="5" customFormat="1" ht="30" customHeight="1">
      <c r="A34" s="3">
        <f t="shared" si="10"/>
        <v>29</v>
      </c>
      <c r="B34" s="3">
        <v>1849</v>
      </c>
      <c r="C34" s="3" t="s">
        <v>754</v>
      </c>
      <c r="D34" s="4">
        <v>1400000</v>
      </c>
      <c r="E34" s="4">
        <v>1400000</v>
      </c>
      <c r="F34" s="4">
        <f t="shared" si="0"/>
        <v>0</v>
      </c>
      <c r="G34" s="4">
        <v>1300000</v>
      </c>
      <c r="H34" s="4">
        <v>316485</v>
      </c>
      <c r="I34" s="4"/>
      <c r="J34" s="4"/>
      <c r="K34" s="4">
        <f t="shared" si="2"/>
        <v>0</v>
      </c>
      <c r="L34" s="4">
        <f t="shared" si="3"/>
        <v>316485</v>
      </c>
      <c r="M34" s="4">
        <f t="shared" si="4"/>
        <v>983515</v>
      </c>
      <c r="N34" s="4">
        <v>100000</v>
      </c>
      <c r="O34" s="4">
        <f t="shared" si="5"/>
        <v>0</v>
      </c>
      <c r="P34" s="4">
        <f t="shared" si="6"/>
        <v>983515</v>
      </c>
      <c r="Q34" s="4"/>
      <c r="R34" s="4"/>
      <c r="S34" s="4">
        <f t="shared" si="7"/>
        <v>0</v>
      </c>
      <c r="T34" s="4">
        <f t="shared" si="8"/>
        <v>0</v>
      </c>
      <c r="U34" s="4">
        <f t="shared" si="1"/>
        <v>100000</v>
      </c>
      <c r="V34" s="4"/>
      <c r="W34" s="4">
        <f t="shared" si="9"/>
        <v>100000</v>
      </c>
      <c r="X34" s="4"/>
      <c r="Y34" s="4"/>
      <c r="Z34" s="3"/>
      <c r="AA34" s="3" t="s">
        <v>755</v>
      </c>
      <c r="AB34" s="3">
        <v>743000</v>
      </c>
      <c r="AC34" s="266"/>
      <c r="AD34" s="247"/>
      <c r="AE34" s="247"/>
      <c r="AF34" s="247"/>
      <c r="AG34" s="34"/>
      <c r="AH34" s="30"/>
      <c r="AI34" s="447"/>
      <c r="AJ34" s="448"/>
      <c r="AK34" s="449"/>
      <c r="AL34" s="31"/>
      <c r="AM34" s="31"/>
      <c r="AN34" s="30"/>
      <c r="AO34" s="30"/>
      <c r="AP34" s="30"/>
    </row>
    <row r="35" spans="1:42" s="5" customFormat="1" ht="30" customHeight="1">
      <c r="A35" s="3">
        <f t="shared" si="10"/>
        <v>30</v>
      </c>
      <c r="B35" s="3">
        <v>1850</v>
      </c>
      <c r="C35" s="3" t="s">
        <v>1327</v>
      </c>
      <c r="D35" s="4">
        <v>14600000</v>
      </c>
      <c r="E35" s="4">
        <v>14600000</v>
      </c>
      <c r="F35" s="4">
        <f t="shared" si="0"/>
        <v>0</v>
      </c>
      <c r="G35" s="4">
        <v>3080000</v>
      </c>
      <c r="H35" s="4">
        <v>1188851</v>
      </c>
      <c r="I35" s="4"/>
      <c r="J35" s="4">
        <v>1268465</v>
      </c>
      <c r="K35" s="4">
        <f t="shared" si="2"/>
        <v>1268465</v>
      </c>
      <c r="L35" s="4">
        <f t="shared" si="3"/>
        <v>2457316</v>
      </c>
      <c r="M35" s="4">
        <f t="shared" si="4"/>
        <v>622684</v>
      </c>
      <c r="N35" s="4">
        <f>1500000-450000</f>
        <v>1050000</v>
      </c>
      <c r="O35" s="4">
        <f t="shared" si="5"/>
        <v>10470000</v>
      </c>
      <c r="P35" s="4">
        <f t="shared" si="6"/>
        <v>622684</v>
      </c>
      <c r="Q35" s="4"/>
      <c r="R35" s="4"/>
      <c r="S35" s="4"/>
      <c r="T35" s="4">
        <f t="shared" si="8"/>
        <v>0</v>
      </c>
      <c r="U35" s="4">
        <f t="shared" si="1"/>
        <v>1050000</v>
      </c>
      <c r="V35" s="4">
        <f>U35*2/3-700000</f>
        <v>0</v>
      </c>
      <c r="W35" s="4">
        <f t="shared" si="9"/>
        <v>1050000</v>
      </c>
      <c r="X35" s="4"/>
      <c r="Y35" s="4"/>
      <c r="Z35" s="3"/>
      <c r="AA35" s="3" t="s">
        <v>756</v>
      </c>
      <c r="AB35" s="3">
        <v>810000</v>
      </c>
      <c r="AC35" s="266"/>
      <c r="AD35" s="247"/>
      <c r="AE35" s="247"/>
      <c r="AF35" s="247"/>
      <c r="AG35" s="34"/>
      <c r="AH35" s="30"/>
      <c r="AI35" s="447"/>
      <c r="AJ35" s="448"/>
      <c r="AK35" s="449"/>
      <c r="AL35" s="31"/>
      <c r="AM35" s="31"/>
      <c r="AN35" s="30"/>
      <c r="AO35" s="30"/>
      <c r="AP35" s="30"/>
    </row>
    <row r="36" spans="1:42" s="453" customFormat="1" ht="30" customHeight="1">
      <c r="A36" s="3">
        <f t="shared" si="10"/>
        <v>31</v>
      </c>
      <c r="B36" s="3">
        <v>1851</v>
      </c>
      <c r="C36" s="3" t="s">
        <v>219</v>
      </c>
      <c r="D36" s="4">
        <v>3050000</v>
      </c>
      <c r="E36" s="4">
        <v>3050000</v>
      </c>
      <c r="F36" s="4">
        <f t="shared" si="0"/>
        <v>0</v>
      </c>
      <c r="G36" s="4">
        <v>3050000</v>
      </c>
      <c r="H36" s="4">
        <v>2991435.5</v>
      </c>
      <c r="I36" s="4">
        <v>23133.24</v>
      </c>
      <c r="J36" s="4">
        <v>8424</v>
      </c>
      <c r="K36" s="4">
        <f t="shared" si="2"/>
        <v>31557.24</v>
      </c>
      <c r="L36" s="4">
        <f t="shared" si="3"/>
        <v>3022992.74</v>
      </c>
      <c r="M36" s="4">
        <f t="shared" si="4"/>
        <v>27007.259999999776</v>
      </c>
      <c r="N36" s="4"/>
      <c r="O36" s="4">
        <f t="shared" si="5"/>
        <v>0</v>
      </c>
      <c r="P36" s="4">
        <f t="shared" si="6"/>
        <v>27007.259999999776</v>
      </c>
      <c r="Q36" s="4"/>
      <c r="R36" s="4"/>
      <c r="S36" s="4"/>
      <c r="T36" s="4">
        <f t="shared" si="8"/>
        <v>0</v>
      </c>
      <c r="U36" s="4">
        <f t="shared" si="1"/>
        <v>0</v>
      </c>
      <c r="V36" s="4"/>
      <c r="W36" s="4">
        <f t="shared" si="9"/>
        <v>0</v>
      </c>
      <c r="X36" s="4"/>
      <c r="Y36" s="4"/>
      <c r="Z36" s="3"/>
      <c r="AA36" s="3"/>
      <c r="AB36" s="3">
        <v>810000</v>
      </c>
      <c r="AC36" s="266"/>
      <c r="AD36" s="247"/>
      <c r="AE36" s="247"/>
      <c r="AF36" s="247"/>
      <c r="AG36" s="34"/>
      <c r="AH36" s="30"/>
      <c r="AI36" s="447"/>
      <c r="AJ36" s="448"/>
      <c r="AK36" s="449"/>
      <c r="AL36" s="451"/>
      <c r="AM36" s="451"/>
      <c r="AN36" s="451"/>
      <c r="AO36" s="451"/>
      <c r="AP36" s="452"/>
    </row>
    <row r="37" spans="1:42" s="5" customFormat="1" ht="30" customHeight="1">
      <c r="A37" s="3">
        <f t="shared" si="10"/>
        <v>32</v>
      </c>
      <c r="B37" s="3">
        <v>1853</v>
      </c>
      <c r="C37" s="3" t="s">
        <v>220</v>
      </c>
      <c r="D37" s="4">
        <v>410000</v>
      </c>
      <c r="E37" s="4">
        <v>310000</v>
      </c>
      <c r="F37" s="4">
        <f t="shared" si="0"/>
        <v>100000</v>
      </c>
      <c r="G37" s="4">
        <v>310000</v>
      </c>
      <c r="H37" s="4">
        <v>117609</v>
      </c>
      <c r="I37" s="4">
        <v>5148</v>
      </c>
      <c r="J37" s="4">
        <v>184063</v>
      </c>
      <c r="K37" s="4">
        <f t="shared" si="2"/>
        <v>189211</v>
      </c>
      <c r="L37" s="4">
        <f t="shared" si="3"/>
        <v>306820</v>
      </c>
      <c r="M37" s="4">
        <f t="shared" si="4"/>
        <v>3180</v>
      </c>
      <c r="N37" s="4">
        <v>100000</v>
      </c>
      <c r="O37" s="4">
        <f t="shared" si="5"/>
        <v>0</v>
      </c>
      <c r="P37" s="4">
        <f t="shared" si="6"/>
        <v>3180</v>
      </c>
      <c r="Q37" s="4"/>
      <c r="R37" s="4"/>
      <c r="S37" s="4">
        <f t="shared" si="7"/>
        <v>0</v>
      </c>
      <c r="T37" s="4">
        <f t="shared" si="8"/>
        <v>0</v>
      </c>
      <c r="U37" s="4">
        <f t="shared" si="1"/>
        <v>100000</v>
      </c>
      <c r="V37" s="4"/>
      <c r="W37" s="4">
        <f t="shared" si="9"/>
        <v>100000</v>
      </c>
      <c r="X37" s="4"/>
      <c r="Y37" s="4"/>
      <c r="Z37" s="3"/>
      <c r="AA37" s="3" t="s">
        <v>757</v>
      </c>
      <c r="AB37" s="3">
        <v>824000</v>
      </c>
      <c r="AC37" s="266"/>
      <c r="AD37" s="247"/>
      <c r="AE37" s="247"/>
      <c r="AF37" s="247"/>
      <c r="AG37" s="34"/>
      <c r="AH37" s="30"/>
      <c r="AI37" s="447"/>
      <c r="AJ37" s="448"/>
      <c r="AK37" s="449"/>
      <c r="AL37" s="31"/>
      <c r="AM37" s="31"/>
      <c r="AN37" s="31"/>
      <c r="AO37" s="31"/>
      <c r="AP37" s="30"/>
    </row>
    <row r="38" spans="1:42" s="5" customFormat="1" ht="30" customHeight="1">
      <c r="A38" s="3">
        <f t="shared" si="10"/>
        <v>33</v>
      </c>
      <c r="B38" s="3">
        <v>1883</v>
      </c>
      <c r="C38" s="3" t="s">
        <v>221</v>
      </c>
      <c r="D38" s="4">
        <f>26115000+100000</f>
        <v>26215000</v>
      </c>
      <c r="E38" s="4">
        <f>25480000+635000</f>
        <v>26115000</v>
      </c>
      <c r="F38" s="4">
        <f t="shared" si="0"/>
        <v>100000</v>
      </c>
      <c r="G38" s="4">
        <v>26115000</v>
      </c>
      <c r="H38" s="4">
        <v>15254644.43</v>
      </c>
      <c r="I38" s="4">
        <v>9525412</v>
      </c>
      <c r="J38" s="4">
        <v>521548.07</v>
      </c>
      <c r="K38" s="4">
        <f t="shared" si="2"/>
        <v>10046960.07</v>
      </c>
      <c r="L38" s="4">
        <f t="shared" si="3"/>
        <v>25301604.5</v>
      </c>
      <c r="M38" s="4">
        <f t="shared" si="4"/>
        <v>813395.5</v>
      </c>
      <c r="N38" s="4">
        <v>100000</v>
      </c>
      <c r="O38" s="4">
        <f t="shared" si="5"/>
        <v>0</v>
      </c>
      <c r="P38" s="4">
        <f t="shared" si="6"/>
        <v>813395.5</v>
      </c>
      <c r="Q38" s="126"/>
      <c r="R38" s="4"/>
      <c r="S38" s="4">
        <f t="shared" si="7"/>
        <v>0</v>
      </c>
      <c r="T38" s="4">
        <f t="shared" si="8"/>
        <v>0</v>
      </c>
      <c r="U38" s="4">
        <f t="shared" si="1"/>
        <v>100000</v>
      </c>
      <c r="V38" s="4"/>
      <c r="W38" s="4">
        <f t="shared" si="9"/>
        <v>100000</v>
      </c>
      <c r="X38" s="4"/>
      <c r="Y38" s="4"/>
      <c r="Z38" s="3"/>
      <c r="AA38" s="3" t="s">
        <v>1332</v>
      </c>
      <c r="AB38" s="3">
        <v>810000</v>
      </c>
      <c r="AC38" s="266"/>
      <c r="AD38" s="247"/>
      <c r="AE38" s="247"/>
      <c r="AF38" s="247"/>
      <c r="AG38" s="34"/>
      <c r="AH38" s="30"/>
      <c r="AI38" s="447"/>
      <c r="AJ38" s="448"/>
      <c r="AK38" s="449"/>
      <c r="AL38" s="31"/>
      <c r="AM38" s="31"/>
      <c r="AN38" s="30"/>
      <c r="AO38" s="30"/>
      <c r="AP38" s="30"/>
    </row>
    <row r="39" spans="1:42" s="5" customFormat="1" ht="30" customHeight="1">
      <c r="A39" s="3">
        <f t="shared" si="10"/>
        <v>34</v>
      </c>
      <c r="B39" s="3">
        <v>1884</v>
      </c>
      <c r="C39" s="3" t="s">
        <v>222</v>
      </c>
      <c r="D39" s="4">
        <v>2100000</v>
      </c>
      <c r="E39" s="4">
        <v>2100000</v>
      </c>
      <c r="F39" s="4"/>
      <c r="G39" s="4">
        <v>2100000</v>
      </c>
      <c r="H39" s="4">
        <v>2069481.78</v>
      </c>
      <c r="I39" s="4"/>
      <c r="J39" s="4">
        <v>28954.57</v>
      </c>
      <c r="K39" s="4">
        <f t="shared" si="2"/>
        <v>28954.57</v>
      </c>
      <c r="L39" s="4">
        <f t="shared" si="3"/>
        <v>2098436.35</v>
      </c>
      <c r="M39" s="4">
        <f t="shared" si="4"/>
        <v>1563.6499999999069</v>
      </c>
      <c r="N39" s="4"/>
      <c r="O39" s="4">
        <f t="shared" si="5"/>
        <v>0</v>
      </c>
      <c r="P39" s="4">
        <f t="shared" si="6"/>
        <v>1563.6499999999069</v>
      </c>
      <c r="Q39" s="4"/>
      <c r="R39" s="4"/>
      <c r="S39" s="4">
        <f t="shared" si="7"/>
        <v>0</v>
      </c>
      <c r="T39" s="4">
        <f t="shared" si="8"/>
        <v>0</v>
      </c>
      <c r="U39" s="4">
        <f t="shared" si="1"/>
        <v>0</v>
      </c>
      <c r="V39" s="4"/>
      <c r="W39" s="4">
        <f t="shared" si="9"/>
        <v>0</v>
      </c>
      <c r="X39" s="4"/>
      <c r="Y39" s="4"/>
      <c r="Z39" s="3"/>
      <c r="AA39" s="3"/>
      <c r="AB39" s="3">
        <v>810000</v>
      </c>
      <c r="AC39" s="266"/>
      <c r="AD39" s="247"/>
      <c r="AE39" s="247"/>
      <c r="AF39" s="247"/>
      <c r="AG39" s="34"/>
      <c r="AH39" s="30"/>
      <c r="AI39" s="447"/>
      <c r="AJ39" s="448"/>
      <c r="AK39" s="449"/>
      <c r="AL39" s="31"/>
      <c r="AM39" s="31"/>
      <c r="AN39" s="30"/>
      <c r="AO39" s="30"/>
      <c r="AP39" s="30"/>
    </row>
    <row r="40" spans="1:42" s="5" customFormat="1" ht="30" customHeight="1">
      <c r="A40" s="3">
        <f t="shared" si="10"/>
        <v>35</v>
      </c>
      <c r="B40" s="3">
        <v>1885</v>
      </c>
      <c r="C40" s="3" t="s">
        <v>258</v>
      </c>
      <c r="D40" s="4">
        <v>300000</v>
      </c>
      <c r="E40" s="4">
        <v>300000</v>
      </c>
      <c r="F40" s="4">
        <f t="shared" ref="F40:F66" si="11">D40-E40</f>
        <v>0</v>
      </c>
      <c r="G40" s="4">
        <v>300000</v>
      </c>
      <c r="H40" s="4">
        <v>288973</v>
      </c>
      <c r="I40" s="4">
        <v>2080.2600000000002</v>
      </c>
      <c r="J40" s="4"/>
      <c r="K40" s="4">
        <f t="shared" si="2"/>
        <v>2080.2600000000002</v>
      </c>
      <c r="L40" s="4">
        <f t="shared" si="3"/>
        <v>291053.26</v>
      </c>
      <c r="M40" s="4">
        <f t="shared" si="4"/>
        <v>8946.7399999999907</v>
      </c>
      <c r="N40" s="4"/>
      <c r="O40" s="4">
        <f t="shared" si="5"/>
        <v>0</v>
      </c>
      <c r="P40" s="4">
        <f t="shared" si="6"/>
        <v>8946.7399999999907</v>
      </c>
      <c r="Q40" s="4"/>
      <c r="R40" s="4"/>
      <c r="S40" s="4">
        <f t="shared" si="7"/>
        <v>0</v>
      </c>
      <c r="T40" s="4">
        <f t="shared" si="8"/>
        <v>0</v>
      </c>
      <c r="U40" s="4">
        <f t="shared" si="1"/>
        <v>0</v>
      </c>
      <c r="V40" s="4"/>
      <c r="W40" s="4">
        <f t="shared" si="9"/>
        <v>0</v>
      </c>
      <c r="X40" s="4"/>
      <c r="Y40" s="4"/>
      <c r="Z40" s="3"/>
      <c r="AA40" s="3"/>
      <c r="AB40" s="3">
        <v>810000</v>
      </c>
      <c r="AC40" s="266"/>
      <c r="AD40" s="247"/>
      <c r="AE40" s="247"/>
      <c r="AF40" s="247"/>
      <c r="AG40" s="34"/>
      <c r="AH40" s="30"/>
      <c r="AI40" s="447"/>
      <c r="AJ40" s="448"/>
      <c r="AK40" s="449"/>
      <c r="AL40" s="31"/>
      <c r="AM40" s="31"/>
      <c r="AN40" s="30"/>
      <c r="AO40" s="30"/>
      <c r="AP40" s="30"/>
    </row>
    <row r="41" spans="1:42" s="5" customFormat="1" ht="30" customHeight="1">
      <c r="A41" s="3">
        <f t="shared" si="10"/>
        <v>36</v>
      </c>
      <c r="B41" s="3">
        <v>1886</v>
      </c>
      <c r="C41" s="3" t="s">
        <v>305</v>
      </c>
      <c r="D41" s="4">
        <v>4830000</v>
      </c>
      <c r="E41" s="4">
        <v>4830000</v>
      </c>
      <c r="F41" s="4">
        <f t="shared" si="11"/>
        <v>0</v>
      </c>
      <c r="G41" s="4">
        <v>4830000</v>
      </c>
      <c r="H41" s="4">
        <v>4617996.9400000004</v>
      </c>
      <c r="I41" s="4"/>
      <c r="J41" s="4">
        <v>5630</v>
      </c>
      <c r="K41" s="4">
        <f t="shared" si="2"/>
        <v>5630</v>
      </c>
      <c r="L41" s="4">
        <f t="shared" si="3"/>
        <v>4623626.9400000004</v>
      </c>
      <c r="M41" s="4">
        <f t="shared" si="4"/>
        <v>206373.05999999959</v>
      </c>
      <c r="N41" s="4"/>
      <c r="O41" s="4">
        <f t="shared" si="5"/>
        <v>0</v>
      </c>
      <c r="P41" s="4">
        <f t="shared" si="6"/>
        <v>206373.05999999959</v>
      </c>
      <c r="Q41" s="4"/>
      <c r="R41" s="4"/>
      <c r="S41" s="4">
        <f t="shared" si="7"/>
        <v>0</v>
      </c>
      <c r="T41" s="4">
        <f t="shared" si="8"/>
        <v>0</v>
      </c>
      <c r="U41" s="4">
        <f t="shared" si="1"/>
        <v>0</v>
      </c>
      <c r="V41" s="4"/>
      <c r="W41" s="4">
        <f t="shared" si="9"/>
        <v>0</v>
      </c>
      <c r="X41" s="4"/>
      <c r="Y41" s="4"/>
      <c r="Z41" s="3"/>
      <c r="AA41" s="3"/>
      <c r="AB41" s="3">
        <v>810000</v>
      </c>
      <c r="AC41" s="266"/>
      <c r="AD41" s="247"/>
      <c r="AE41" s="247"/>
      <c r="AF41" s="247"/>
      <c r="AG41" s="34"/>
      <c r="AH41" s="30"/>
      <c r="AI41" s="447"/>
      <c r="AJ41" s="448"/>
      <c r="AK41" s="449"/>
      <c r="AL41" s="31"/>
      <c r="AM41" s="31"/>
      <c r="AN41" s="30"/>
      <c r="AO41" s="30"/>
      <c r="AP41" s="30"/>
    </row>
    <row r="42" spans="1:42" s="5" customFormat="1" ht="30" customHeight="1">
      <c r="A42" s="3">
        <f t="shared" si="10"/>
        <v>37</v>
      </c>
      <c r="B42" s="3">
        <v>1887</v>
      </c>
      <c r="C42" s="3" t="s">
        <v>223</v>
      </c>
      <c r="D42" s="4">
        <v>5200000</v>
      </c>
      <c r="E42" s="4">
        <v>4200000</v>
      </c>
      <c r="F42" s="4">
        <f t="shared" si="11"/>
        <v>1000000</v>
      </c>
      <c r="G42" s="4">
        <v>4200000</v>
      </c>
      <c r="H42" s="4">
        <v>841218</v>
      </c>
      <c r="I42" s="4">
        <v>41365</v>
      </c>
      <c r="J42" s="4">
        <v>234592</v>
      </c>
      <c r="K42" s="4">
        <f t="shared" si="2"/>
        <v>275957</v>
      </c>
      <c r="L42" s="4">
        <f t="shared" si="3"/>
        <v>1117175</v>
      </c>
      <c r="M42" s="4">
        <f t="shared" si="4"/>
        <v>3082825</v>
      </c>
      <c r="N42" s="4">
        <v>1000000</v>
      </c>
      <c r="O42" s="4">
        <f t="shared" si="5"/>
        <v>0</v>
      </c>
      <c r="P42" s="4">
        <f t="shared" si="6"/>
        <v>3082825</v>
      </c>
      <c r="Q42" s="4"/>
      <c r="R42" s="4"/>
      <c r="S42" s="4">
        <f t="shared" si="7"/>
        <v>0</v>
      </c>
      <c r="T42" s="4">
        <f t="shared" si="8"/>
        <v>0</v>
      </c>
      <c r="U42" s="4">
        <f t="shared" si="1"/>
        <v>1000000</v>
      </c>
      <c r="V42" s="4">
        <f>U42-W42-X42-Y42-Z42</f>
        <v>0</v>
      </c>
      <c r="W42" s="4">
        <v>1000000</v>
      </c>
      <c r="X42" s="4"/>
      <c r="Y42" s="4"/>
      <c r="Z42" s="3"/>
      <c r="AA42" s="3" t="s">
        <v>758</v>
      </c>
      <c r="AB42" s="3">
        <v>810000</v>
      </c>
      <c r="AC42" s="266"/>
      <c r="AD42" s="247"/>
      <c r="AE42" s="247"/>
      <c r="AF42" s="247"/>
      <c r="AG42" s="34"/>
      <c r="AH42" s="30"/>
      <c r="AI42" s="447"/>
      <c r="AJ42" s="448"/>
      <c r="AK42" s="30"/>
      <c r="AL42" s="31"/>
      <c r="AM42" s="31"/>
      <c r="AN42" s="30"/>
      <c r="AO42" s="30"/>
      <c r="AP42" s="30"/>
    </row>
    <row r="43" spans="1:42" s="5" customFormat="1" ht="30" customHeight="1">
      <c r="A43" s="3">
        <f t="shared" si="10"/>
        <v>38</v>
      </c>
      <c r="B43" s="3">
        <v>1889</v>
      </c>
      <c r="C43" s="3" t="s">
        <v>232</v>
      </c>
      <c r="D43" s="4">
        <f>1450000-50000</f>
        <v>1400000</v>
      </c>
      <c r="E43" s="4">
        <v>1450000</v>
      </c>
      <c r="F43" s="4">
        <f t="shared" si="11"/>
        <v>-50000</v>
      </c>
      <c r="G43" s="4">
        <v>1450000</v>
      </c>
      <c r="H43" s="4">
        <v>1381767</v>
      </c>
      <c r="I43" s="4">
        <v>13781.43</v>
      </c>
      <c r="J43" s="4"/>
      <c r="K43" s="4">
        <f t="shared" si="2"/>
        <v>13781.43</v>
      </c>
      <c r="L43" s="4">
        <f t="shared" si="3"/>
        <v>1395548.43</v>
      </c>
      <c r="M43" s="4">
        <f>P43+S43-50000</f>
        <v>4451.5700000000652</v>
      </c>
      <c r="N43" s="4"/>
      <c r="O43" s="4">
        <f t="shared" si="5"/>
        <v>0</v>
      </c>
      <c r="P43" s="4">
        <f t="shared" si="6"/>
        <v>54451.570000000065</v>
      </c>
      <c r="Q43" s="4"/>
      <c r="R43" s="4"/>
      <c r="S43" s="4">
        <f t="shared" si="7"/>
        <v>0</v>
      </c>
      <c r="T43" s="4">
        <f t="shared" si="8"/>
        <v>50000</v>
      </c>
      <c r="U43" s="4">
        <f t="shared" si="1"/>
        <v>-50000</v>
      </c>
      <c r="V43" s="4"/>
      <c r="W43" s="4">
        <f t="shared" si="9"/>
        <v>-50000</v>
      </c>
      <c r="X43" s="4"/>
      <c r="Y43" s="4"/>
      <c r="Z43" s="3"/>
      <c r="AA43" s="3"/>
      <c r="AB43" s="3">
        <v>810000</v>
      </c>
      <c r="AC43" s="266"/>
      <c r="AD43" s="247"/>
      <c r="AE43" s="247"/>
      <c r="AF43" s="247"/>
      <c r="AG43" s="34"/>
      <c r="AH43" s="30"/>
      <c r="AI43" s="447"/>
      <c r="AJ43" s="448"/>
      <c r="AK43" s="449"/>
      <c r="AL43" s="31"/>
      <c r="AM43" s="31"/>
      <c r="AN43" s="30"/>
      <c r="AO43" s="30"/>
      <c r="AP43" s="30"/>
    </row>
    <row r="44" spans="1:42" s="5" customFormat="1" ht="30" customHeight="1">
      <c r="A44" s="3">
        <f t="shared" si="10"/>
        <v>39</v>
      </c>
      <c r="B44" s="3">
        <v>1900</v>
      </c>
      <c r="C44" s="3" t="s">
        <v>224</v>
      </c>
      <c r="D44" s="4">
        <v>700000</v>
      </c>
      <c r="E44" s="4">
        <v>700000</v>
      </c>
      <c r="F44" s="4">
        <f t="shared" si="11"/>
        <v>0</v>
      </c>
      <c r="G44" s="4">
        <v>700000</v>
      </c>
      <c r="H44" s="4">
        <v>0</v>
      </c>
      <c r="I44" s="4">
        <v>522410.57</v>
      </c>
      <c r="J44" s="4"/>
      <c r="K44" s="4">
        <f t="shared" si="2"/>
        <v>522410.57</v>
      </c>
      <c r="L44" s="4">
        <f t="shared" si="3"/>
        <v>522410.57</v>
      </c>
      <c r="M44" s="4">
        <f t="shared" si="4"/>
        <v>177589.43</v>
      </c>
      <c r="N44" s="4"/>
      <c r="O44" s="4">
        <f t="shared" si="5"/>
        <v>0</v>
      </c>
      <c r="P44" s="4">
        <f t="shared" si="6"/>
        <v>177589.43</v>
      </c>
      <c r="Q44" s="4"/>
      <c r="R44" s="4"/>
      <c r="S44" s="4">
        <f t="shared" si="7"/>
        <v>0</v>
      </c>
      <c r="T44" s="4">
        <f t="shared" si="8"/>
        <v>0</v>
      </c>
      <c r="U44" s="4">
        <f t="shared" si="1"/>
        <v>0</v>
      </c>
      <c r="V44" s="4"/>
      <c r="W44" s="4">
        <f t="shared" si="9"/>
        <v>0</v>
      </c>
      <c r="X44" s="4"/>
      <c r="Y44" s="4"/>
      <c r="Z44" s="3"/>
      <c r="AA44" s="3"/>
      <c r="AB44" s="3">
        <v>810000</v>
      </c>
      <c r="AC44" s="266"/>
      <c r="AD44" s="247"/>
      <c r="AE44" s="247"/>
      <c r="AF44" s="247"/>
      <c r="AG44" s="34"/>
      <c r="AH44" s="30"/>
      <c r="AI44" s="447"/>
      <c r="AJ44" s="448"/>
      <c r="AK44" s="449"/>
      <c r="AL44" s="31"/>
      <c r="AM44" s="31"/>
      <c r="AN44" s="31"/>
      <c r="AO44" s="31"/>
      <c r="AP44" s="30"/>
    </row>
    <row r="45" spans="1:42" s="5" customFormat="1" ht="42">
      <c r="A45" s="3">
        <f t="shared" si="10"/>
        <v>40</v>
      </c>
      <c r="B45" s="3">
        <v>1917</v>
      </c>
      <c r="C45" s="3" t="s">
        <v>226</v>
      </c>
      <c r="D45" s="4">
        <v>76800000</v>
      </c>
      <c r="E45" s="4">
        <v>76800000</v>
      </c>
      <c r="F45" s="4">
        <f t="shared" si="11"/>
        <v>0</v>
      </c>
      <c r="G45" s="4">
        <v>25501000</v>
      </c>
      <c r="H45" s="4">
        <v>9853774.4600000009</v>
      </c>
      <c r="I45" s="4"/>
      <c r="J45" s="4">
        <v>13576509.710000001</v>
      </c>
      <c r="K45" s="4">
        <f t="shared" si="2"/>
        <v>13576509.710000001</v>
      </c>
      <c r="L45" s="4">
        <f t="shared" si="3"/>
        <v>23430284.170000002</v>
      </c>
      <c r="M45" s="4">
        <f t="shared" si="4"/>
        <v>2070715.8299999982</v>
      </c>
      <c r="N45" s="4">
        <f>10000000-2000000</f>
        <v>8000000</v>
      </c>
      <c r="O45" s="4">
        <f t="shared" si="5"/>
        <v>43299000</v>
      </c>
      <c r="P45" s="4">
        <f t="shared" si="6"/>
        <v>2070715.8299999982</v>
      </c>
      <c r="Q45" s="4"/>
      <c r="R45" s="4"/>
      <c r="S45" s="4">
        <f t="shared" si="7"/>
        <v>0</v>
      </c>
      <c r="T45" s="4">
        <f t="shared" si="8"/>
        <v>0</v>
      </c>
      <c r="U45" s="4">
        <f t="shared" si="1"/>
        <v>8000000</v>
      </c>
      <c r="V45" s="4">
        <f>U45-W45-X45-Y45-Z45</f>
        <v>8000000</v>
      </c>
      <c r="W45" s="4"/>
      <c r="X45" s="4"/>
      <c r="Y45" s="4"/>
      <c r="Z45" s="3"/>
      <c r="AA45" s="3" t="s">
        <v>1051</v>
      </c>
      <c r="AB45" s="3">
        <v>743000</v>
      </c>
      <c r="AC45" s="266"/>
      <c r="AD45" s="247"/>
      <c r="AE45" s="247"/>
      <c r="AF45" s="247"/>
      <c r="AG45" s="34"/>
      <c r="AH45" s="30"/>
      <c r="AI45" s="447"/>
      <c r="AJ45" s="448"/>
      <c r="AK45" s="449"/>
      <c r="AL45" s="31"/>
      <c r="AM45" s="31"/>
      <c r="AN45" s="30"/>
      <c r="AO45" s="30"/>
      <c r="AP45" s="30"/>
    </row>
    <row r="46" spans="1:42" s="5" customFormat="1" ht="30" customHeight="1">
      <c r="A46" s="3">
        <f t="shared" si="10"/>
        <v>41</v>
      </c>
      <c r="B46" s="3">
        <v>1925</v>
      </c>
      <c r="C46" s="3" t="s">
        <v>228</v>
      </c>
      <c r="D46" s="4">
        <v>1000000</v>
      </c>
      <c r="E46" s="4">
        <v>1000000</v>
      </c>
      <c r="F46" s="4">
        <f t="shared" si="11"/>
        <v>0</v>
      </c>
      <c r="G46" s="4">
        <v>1000000</v>
      </c>
      <c r="H46" s="4">
        <v>898013.97</v>
      </c>
      <c r="I46" s="4">
        <v>20622.419999999998</v>
      </c>
      <c r="J46" s="4"/>
      <c r="K46" s="4">
        <f t="shared" si="2"/>
        <v>20622.419999999998</v>
      </c>
      <c r="L46" s="4">
        <f t="shared" si="3"/>
        <v>918636.39</v>
      </c>
      <c r="M46" s="4">
        <f t="shared" si="4"/>
        <v>81363.609999999986</v>
      </c>
      <c r="N46" s="4"/>
      <c r="O46" s="4">
        <f t="shared" si="5"/>
        <v>0</v>
      </c>
      <c r="P46" s="4">
        <f t="shared" si="6"/>
        <v>81363.609999999986</v>
      </c>
      <c r="Q46" s="4"/>
      <c r="R46" s="4"/>
      <c r="S46" s="4">
        <f t="shared" si="7"/>
        <v>0</v>
      </c>
      <c r="T46" s="4">
        <f t="shared" si="8"/>
        <v>0</v>
      </c>
      <c r="U46" s="4">
        <f t="shared" si="1"/>
        <v>0</v>
      </c>
      <c r="V46" s="4"/>
      <c r="W46" s="4">
        <f t="shared" si="9"/>
        <v>0</v>
      </c>
      <c r="X46" s="4"/>
      <c r="Y46" s="4"/>
      <c r="Z46" s="3"/>
      <c r="AA46" s="3"/>
      <c r="AB46" s="3">
        <v>850000</v>
      </c>
      <c r="AC46" s="266"/>
      <c r="AD46" s="247"/>
      <c r="AE46" s="247"/>
      <c r="AF46" s="247"/>
      <c r="AG46" s="34"/>
      <c r="AH46" s="30"/>
      <c r="AI46" s="447"/>
      <c r="AJ46" s="448"/>
      <c r="AK46" s="449"/>
      <c r="AL46" s="31"/>
      <c r="AM46" s="31"/>
      <c r="AN46" s="31"/>
      <c r="AO46" s="31"/>
      <c r="AP46" s="30"/>
    </row>
    <row r="47" spans="1:42" s="5" customFormat="1" ht="30" customHeight="1">
      <c r="A47" s="3">
        <f t="shared" si="10"/>
        <v>42</v>
      </c>
      <c r="B47" s="3">
        <v>1931</v>
      </c>
      <c r="C47" s="3" t="s">
        <v>231</v>
      </c>
      <c r="D47" s="4">
        <v>831000</v>
      </c>
      <c r="E47" s="4">
        <v>831000</v>
      </c>
      <c r="F47" s="4">
        <f t="shared" si="11"/>
        <v>0</v>
      </c>
      <c r="G47" s="4">
        <v>831000</v>
      </c>
      <c r="H47" s="4">
        <v>766233</v>
      </c>
      <c r="I47" s="4"/>
      <c r="J47" s="4">
        <v>58500</v>
      </c>
      <c r="K47" s="4">
        <f t="shared" si="2"/>
        <v>58500</v>
      </c>
      <c r="L47" s="4">
        <f t="shared" si="3"/>
        <v>824733</v>
      </c>
      <c r="M47" s="4">
        <f t="shared" si="4"/>
        <v>6267</v>
      </c>
      <c r="N47" s="4"/>
      <c r="O47" s="4">
        <f t="shared" si="5"/>
        <v>0</v>
      </c>
      <c r="P47" s="4">
        <f t="shared" si="6"/>
        <v>6267</v>
      </c>
      <c r="Q47" s="4"/>
      <c r="R47" s="4"/>
      <c r="S47" s="4">
        <f t="shared" si="7"/>
        <v>0</v>
      </c>
      <c r="T47" s="4">
        <f t="shared" si="8"/>
        <v>0</v>
      </c>
      <c r="U47" s="4">
        <f t="shared" si="1"/>
        <v>0</v>
      </c>
      <c r="V47" s="4"/>
      <c r="W47" s="4">
        <f t="shared" si="9"/>
        <v>0</v>
      </c>
      <c r="X47" s="4"/>
      <c r="Y47" s="4"/>
      <c r="Z47" s="3"/>
      <c r="AA47" s="3"/>
      <c r="AB47" s="3">
        <v>810000</v>
      </c>
      <c r="AC47" s="266"/>
      <c r="AD47" s="247"/>
      <c r="AE47" s="247"/>
      <c r="AF47" s="247"/>
      <c r="AG47" s="34"/>
      <c r="AH47" s="30"/>
      <c r="AI47" s="447"/>
      <c r="AJ47" s="448"/>
      <c r="AK47" s="449"/>
      <c r="AL47" s="31"/>
      <c r="AM47" s="31"/>
      <c r="AN47" s="31"/>
      <c r="AO47" s="31"/>
      <c r="AP47" s="30"/>
    </row>
    <row r="48" spans="1:42" s="5" customFormat="1" ht="30" customHeight="1">
      <c r="A48" s="3">
        <f t="shared" si="10"/>
        <v>43</v>
      </c>
      <c r="B48" s="3">
        <v>1933</v>
      </c>
      <c r="C48" s="3" t="s">
        <v>259</v>
      </c>
      <c r="D48" s="4">
        <f>1400000+20000</f>
        <v>1420000</v>
      </c>
      <c r="E48" s="4">
        <v>1200000</v>
      </c>
      <c r="F48" s="4">
        <f t="shared" si="11"/>
        <v>220000</v>
      </c>
      <c r="G48" s="4">
        <v>1200000</v>
      </c>
      <c r="H48" s="4">
        <v>168219</v>
      </c>
      <c r="I48" s="4"/>
      <c r="J48" s="4">
        <v>429292.81</v>
      </c>
      <c r="K48" s="4">
        <f t="shared" si="2"/>
        <v>429292.81</v>
      </c>
      <c r="L48" s="4">
        <f t="shared" si="3"/>
        <v>597511.81000000006</v>
      </c>
      <c r="M48" s="4">
        <f t="shared" si="4"/>
        <v>602488.18999999994</v>
      </c>
      <c r="N48" s="4">
        <f>200000+20000</f>
        <v>220000</v>
      </c>
      <c r="O48" s="4">
        <f t="shared" si="5"/>
        <v>0</v>
      </c>
      <c r="P48" s="4">
        <f t="shared" si="6"/>
        <v>602488.18999999994</v>
      </c>
      <c r="Q48" s="4"/>
      <c r="R48" s="4"/>
      <c r="S48" s="4">
        <f t="shared" si="7"/>
        <v>0</v>
      </c>
      <c r="T48" s="4">
        <f t="shared" si="8"/>
        <v>0</v>
      </c>
      <c r="U48" s="4">
        <f t="shared" si="1"/>
        <v>220000</v>
      </c>
      <c r="V48" s="4"/>
      <c r="W48" s="4">
        <f t="shared" si="9"/>
        <v>220000</v>
      </c>
      <c r="X48" s="4"/>
      <c r="Y48" s="4"/>
      <c r="Z48" s="3"/>
      <c r="AA48" s="3" t="s">
        <v>1333</v>
      </c>
      <c r="AB48" s="3">
        <v>826000</v>
      </c>
      <c r="AC48" s="266"/>
      <c r="AD48" s="247"/>
      <c r="AE48" s="247"/>
      <c r="AF48" s="247"/>
      <c r="AG48" s="34"/>
      <c r="AH48" s="30"/>
      <c r="AI48" s="447"/>
      <c r="AJ48" s="448"/>
      <c r="AK48" s="30"/>
      <c r="AL48" s="31"/>
      <c r="AM48" s="31"/>
      <c r="AN48" s="31"/>
      <c r="AO48" s="31"/>
      <c r="AP48" s="30"/>
    </row>
    <row r="49" spans="1:42" s="5" customFormat="1" ht="30" customHeight="1">
      <c r="A49" s="3">
        <f t="shared" si="10"/>
        <v>44</v>
      </c>
      <c r="B49" s="3">
        <v>1942</v>
      </c>
      <c r="C49" s="3" t="s">
        <v>260</v>
      </c>
      <c r="D49" s="4">
        <v>972000</v>
      </c>
      <c r="E49" s="4">
        <v>972000</v>
      </c>
      <c r="F49" s="4">
        <f t="shared" si="11"/>
        <v>0</v>
      </c>
      <c r="G49" s="4">
        <v>572000</v>
      </c>
      <c r="H49" s="4">
        <v>28009.8</v>
      </c>
      <c r="I49" s="4"/>
      <c r="J49" s="4">
        <v>531907.06999999995</v>
      </c>
      <c r="K49" s="4">
        <f t="shared" si="2"/>
        <v>531907.06999999995</v>
      </c>
      <c r="L49" s="4">
        <f t="shared" si="3"/>
        <v>559916.87</v>
      </c>
      <c r="M49" s="4">
        <f t="shared" si="4"/>
        <v>12083.130000000005</v>
      </c>
      <c r="N49" s="4">
        <v>400000</v>
      </c>
      <c r="O49" s="4">
        <f t="shared" si="5"/>
        <v>0</v>
      </c>
      <c r="P49" s="4">
        <f t="shared" si="6"/>
        <v>12083.130000000005</v>
      </c>
      <c r="Q49" s="409"/>
      <c r="R49" s="4"/>
      <c r="S49" s="4">
        <f t="shared" si="7"/>
        <v>0</v>
      </c>
      <c r="T49" s="4">
        <f t="shared" si="8"/>
        <v>0</v>
      </c>
      <c r="U49" s="4">
        <f t="shared" si="1"/>
        <v>400000</v>
      </c>
      <c r="V49" s="4">
        <f>U49-W49-X49-Y49-Z49</f>
        <v>400000</v>
      </c>
      <c r="W49" s="4"/>
      <c r="X49" s="4"/>
      <c r="Y49" s="4"/>
      <c r="Z49" s="3"/>
      <c r="AA49" s="3" t="s">
        <v>759</v>
      </c>
      <c r="AB49" s="3">
        <v>724000</v>
      </c>
      <c r="AC49" s="266"/>
      <c r="AD49" s="247"/>
      <c r="AE49" s="247"/>
      <c r="AF49" s="247"/>
      <c r="AG49" s="34"/>
      <c r="AH49" s="30"/>
      <c r="AI49" s="447"/>
      <c r="AJ49" s="448"/>
      <c r="AK49" s="449"/>
      <c r="AL49" s="31"/>
      <c r="AM49" s="31"/>
      <c r="AN49" s="31"/>
      <c r="AO49" s="31"/>
      <c r="AP49" s="30"/>
    </row>
    <row r="50" spans="1:42" s="5" customFormat="1" ht="30" customHeight="1">
      <c r="A50" s="3">
        <f t="shared" si="10"/>
        <v>45</v>
      </c>
      <c r="B50" s="3">
        <v>1946</v>
      </c>
      <c r="C50" s="3" t="s">
        <v>760</v>
      </c>
      <c r="D50" s="4">
        <v>890000</v>
      </c>
      <c r="E50" s="4">
        <v>890000</v>
      </c>
      <c r="F50" s="4">
        <f t="shared" si="11"/>
        <v>0</v>
      </c>
      <c r="G50" s="4">
        <v>890000</v>
      </c>
      <c r="H50" s="4">
        <v>550267</v>
      </c>
      <c r="I50" s="4"/>
      <c r="J50" s="4">
        <v>51559</v>
      </c>
      <c r="K50" s="4">
        <f t="shared" si="2"/>
        <v>51559</v>
      </c>
      <c r="L50" s="4">
        <f t="shared" si="3"/>
        <v>601826</v>
      </c>
      <c r="M50" s="4">
        <f t="shared" si="4"/>
        <v>288174</v>
      </c>
      <c r="N50" s="4"/>
      <c r="O50" s="4">
        <f t="shared" si="5"/>
        <v>0</v>
      </c>
      <c r="P50" s="4">
        <f t="shared" si="6"/>
        <v>288174</v>
      </c>
      <c r="Q50" s="4"/>
      <c r="R50" s="4"/>
      <c r="S50" s="4">
        <f t="shared" si="7"/>
        <v>0</v>
      </c>
      <c r="T50" s="4">
        <f t="shared" si="8"/>
        <v>0</v>
      </c>
      <c r="U50" s="4">
        <f t="shared" si="1"/>
        <v>0</v>
      </c>
      <c r="V50" s="4"/>
      <c r="W50" s="4">
        <f t="shared" si="9"/>
        <v>0</v>
      </c>
      <c r="X50" s="4"/>
      <c r="Y50" s="4"/>
      <c r="Z50" s="3"/>
      <c r="AA50" s="3"/>
      <c r="AB50" s="3">
        <v>810000</v>
      </c>
      <c r="AC50" s="266"/>
      <c r="AD50" s="247"/>
      <c r="AE50" s="247"/>
      <c r="AF50" s="247"/>
      <c r="AG50" s="34"/>
      <c r="AH50" s="30"/>
      <c r="AI50" s="447"/>
      <c r="AJ50" s="448"/>
      <c r="AK50" s="449"/>
      <c r="AL50" s="31"/>
      <c r="AM50" s="31"/>
      <c r="AN50" s="31"/>
      <c r="AO50" s="31"/>
      <c r="AP50" s="30"/>
    </row>
    <row r="51" spans="1:42" s="5" customFormat="1" ht="30" customHeight="1">
      <c r="A51" s="3">
        <f t="shared" si="10"/>
        <v>46</v>
      </c>
      <c r="B51" s="3">
        <v>1947</v>
      </c>
      <c r="C51" s="3" t="s">
        <v>326</v>
      </c>
      <c r="D51" s="4">
        <f>1400000+1100000</f>
        <v>2500000</v>
      </c>
      <c r="E51" s="4">
        <f>1400000+1100000</f>
        <v>2500000</v>
      </c>
      <c r="F51" s="4">
        <f t="shared" si="11"/>
        <v>0</v>
      </c>
      <c r="G51" s="4">
        <v>1400000</v>
      </c>
      <c r="H51" s="4">
        <v>18600.240000000002</v>
      </c>
      <c r="I51" s="4">
        <v>126360</v>
      </c>
      <c r="J51" s="4"/>
      <c r="K51" s="4">
        <f t="shared" si="2"/>
        <v>126360</v>
      </c>
      <c r="L51" s="4">
        <f t="shared" si="3"/>
        <v>144960.24</v>
      </c>
      <c r="M51" s="4">
        <f t="shared" si="4"/>
        <v>1255039.76</v>
      </c>
      <c r="N51" s="4">
        <v>1100000</v>
      </c>
      <c r="O51" s="4">
        <f t="shared" si="5"/>
        <v>0</v>
      </c>
      <c r="P51" s="4">
        <f t="shared" si="6"/>
        <v>1255039.76</v>
      </c>
      <c r="Q51" s="4"/>
      <c r="R51" s="4"/>
      <c r="S51" s="4">
        <f t="shared" si="7"/>
        <v>0</v>
      </c>
      <c r="T51" s="4">
        <f t="shared" si="8"/>
        <v>0</v>
      </c>
      <c r="U51" s="4">
        <f t="shared" si="1"/>
        <v>1100000</v>
      </c>
      <c r="V51" s="4">
        <f>U51-W51-X51-Y51-Z51</f>
        <v>1100000</v>
      </c>
      <c r="W51" s="4"/>
      <c r="X51" s="4"/>
      <c r="Y51" s="4"/>
      <c r="Z51" s="3"/>
      <c r="AA51" s="3" t="s">
        <v>1334</v>
      </c>
      <c r="AB51" s="3">
        <v>850000</v>
      </c>
      <c r="AC51" s="266"/>
      <c r="AD51" s="247"/>
      <c r="AE51" s="247"/>
      <c r="AF51" s="247"/>
      <c r="AG51" s="34"/>
      <c r="AH51" s="30"/>
      <c r="AI51" s="447"/>
      <c r="AJ51" s="448"/>
      <c r="AK51" s="449"/>
      <c r="AL51" s="31"/>
      <c r="AM51" s="31"/>
      <c r="AN51" s="31"/>
      <c r="AO51" s="31"/>
      <c r="AP51" s="30"/>
    </row>
    <row r="52" spans="1:42" s="5" customFormat="1" ht="30" customHeight="1">
      <c r="A52" s="3">
        <f t="shared" si="10"/>
        <v>47</v>
      </c>
      <c r="B52" s="3">
        <v>1966</v>
      </c>
      <c r="C52" s="3" t="s">
        <v>1328</v>
      </c>
      <c r="D52" s="4">
        <v>1700000</v>
      </c>
      <c r="E52" s="4">
        <v>1700000</v>
      </c>
      <c r="F52" s="4">
        <f t="shared" si="11"/>
        <v>0</v>
      </c>
      <c r="G52" s="4">
        <v>0</v>
      </c>
      <c r="H52" s="4">
        <v>0</v>
      </c>
      <c r="I52" s="4"/>
      <c r="J52" s="4"/>
      <c r="K52" s="4">
        <f t="shared" si="2"/>
        <v>0</v>
      </c>
      <c r="L52" s="4">
        <f t="shared" si="3"/>
        <v>0</v>
      </c>
      <c r="M52" s="4">
        <f t="shared" si="4"/>
        <v>1700000</v>
      </c>
      <c r="N52" s="4"/>
      <c r="O52" s="4">
        <f t="shared" si="5"/>
        <v>0</v>
      </c>
      <c r="P52" s="4">
        <f t="shared" si="6"/>
        <v>0</v>
      </c>
      <c r="Q52" s="4">
        <v>1700000</v>
      </c>
      <c r="R52" s="4"/>
      <c r="S52" s="4">
        <f t="shared" si="7"/>
        <v>1700000</v>
      </c>
      <c r="T52" s="4">
        <f t="shared" si="8"/>
        <v>0</v>
      </c>
      <c r="U52" s="4">
        <f t="shared" si="1"/>
        <v>0</v>
      </c>
      <c r="V52" s="4"/>
      <c r="W52" s="4">
        <f t="shared" si="9"/>
        <v>0</v>
      </c>
      <c r="X52" s="4"/>
      <c r="Y52" s="4"/>
      <c r="Z52" s="3"/>
      <c r="AA52" s="3"/>
      <c r="AB52" s="3">
        <v>870000</v>
      </c>
      <c r="AC52" s="266"/>
      <c r="AD52" s="247"/>
      <c r="AE52" s="247"/>
      <c r="AF52" s="247"/>
      <c r="AG52" s="34"/>
      <c r="AH52" s="30"/>
      <c r="AI52" s="447"/>
      <c r="AJ52" s="448"/>
      <c r="AK52" s="449"/>
      <c r="AL52" s="31"/>
      <c r="AM52" s="31"/>
      <c r="AN52" s="30"/>
      <c r="AO52" s="30"/>
      <c r="AP52" s="30"/>
    </row>
    <row r="53" spans="1:42" s="5" customFormat="1" ht="30" customHeight="1">
      <c r="A53" s="3">
        <f t="shared" si="10"/>
        <v>48</v>
      </c>
      <c r="B53" s="3">
        <v>1967</v>
      </c>
      <c r="C53" s="3" t="s">
        <v>262</v>
      </c>
      <c r="D53" s="4">
        <v>12929000</v>
      </c>
      <c r="E53" s="4">
        <v>3929000</v>
      </c>
      <c r="F53" s="4">
        <f t="shared" si="11"/>
        <v>9000000</v>
      </c>
      <c r="G53" s="4">
        <v>2429000</v>
      </c>
      <c r="H53" s="4">
        <v>379994.6</v>
      </c>
      <c r="I53" s="4">
        <v>1538063.98</v>
      </c>
      <c r="J53" s="4">
        <v>502180</v>
      </c>
      <c r="K53" s="4">
        <f t="shared" si="2"/>
        <v>2040243.98</v>
      </c>
      <c r="L53" s="4">
        <f t="shared" si="3"/>
        <v>2420238.58</v>
      </c>
      <c r="M53" s="4">
        <f t="shared" si="4"/>
        <v>8761.4199999999255</v>
      </c>
      <c r="N53" s="4">
        <f>8000000-3620000-1000000</f>
        <v>3380000</v>
      </c>
      <c r="O53" s="4">
        <f t="shared" si="5"/>
        <v>7120000</v>
      </c>
      <c r="P53" s="4">
        <f t="shared" si="6"/>
        <v>8761.4199999999255</v>
      </c>
      <c r="Q53" s="409"/>
      <c r="R53" s="4"/>
      <c r="S53" s="4">
        <f t="shared" si="7"/>
        <v>0</v>
      </c>
      <c r="T53" s="4">
        <f t="shared" si="8"/>
        <v>0</v>
      </c>
      <c r="U53" s="4">
        <f t="shared" si="1"/>
        <v>3380000</v>
      </c>
      <c r="V53" s="4">
        <f>U53-W53-X53-Y53-Z53</f>
        <v>3270000</v>
      </c>
      <c r="W53" s="4"/>
      <c r="X53" s="4"/>
      <c r="Y53" s="4"/>
      <c r="Z53" s="4">
        <v>110000</v>
      </c>
      <c r="AA53" s="3" t="s">
        <v>1335</v>
      </c>
      <c r="AB53" s="3">
        <v>810000</v>
      </c>
      <c r="AC53" s="266"/>
      <c r="AD53" s="247"/>
      <c r="AE53" s="247"/>
      <c r="AF53" s="247"/>
      <c r="AG53" s="34"/>
      <c r="AH53" s="30"/>
      <c r="AI53" s="447"/>
      <c r="AJ53" s="448"/>
      <c r="AK53" s="30"/>
      <c r="AL53" s="31"/>
      <c r="AM53" s="31"/>
      <c r="AN53" s="31"/>
      <c r="AO53" s="31"/>
      <c r="AP53" s="30"/>
    </row>
    <row r="54" spans="1:42" s="5" customFormat="1" ht="30" customHeight="1">
      <c r="A54" s="3">
        <f t="shared" si="10"/>
        <v>49</v>
      </c>
      <c r="B54" s="3">
        <v>1968</v>
      </c>
      <c r="C54" s="3" t="s">
        <v>263</v>
      </c>
      <c r="D54" s="4">
        <f>2500000-1100000</f>
        <v>1400000</v>
      </c>
      <c r="E54" s="4">
        <v>1800000</v>
      </c>
      <c r="F54" s="4">
        <f t="shared" si="11"/>
        <v>-400000</v>
      </c>
      <c r="G54" s="4">
        <v>1400000</v>
      </c>
      <c r="H54" s="4">
        <v>603369.29</v>
      </c>
      <c r="I54" s="4"/>
      <c r="J54" s="4">
        <v>790426</v>
      </c>
      <c r="K54" s="4">
        <f t="shared" si="2"/>
        <v>790426</v>
      </c>
      <c r="L54" s="4">
        <f t="shared" si="3"/>
        <v>1393795.29</v>
      </c>
      <c r="M54" s="4">
        <f t="shared" si="4"/>
        <v>6204.7099999999627</v>
      </c>
      <c r="N54" s="4">
        <f>1000000-400000-600000</f>
        <v>0</v>
      </c>
      <c r="O54" s="4">
        <f t="shared" si="5"/>
        <v>0</v>
      </c>
      <c r="P54" s="4">
        <f t="shared" si="6"/>
        <v>6204.7099999999627</v>
      </c>
      <c r="Q54" s="4"/>
      <c r="R54" s="4"/>
      <c r="S54" s="4">
        <f t="shared" si="7"/>
        <v>0</v>
      </c>
      <c r="T54" s="4">
        <f t="shared" si="8"/>
        <v>0</v>
      </c>
      <c r="U54" s="4">
        <f t="shared" si="1"/>
        <v>0</v>
      </c>
      <c r="V54" s="4">
        <f>U54*0.5</f>
        <v>0</v>
      </c>
      <c r="W54" s="4">
        <f t="shared" si="9"/>
        <v>0</v>
      </c>
      <c r="X54" s="4"/>
      <c r="Y54" s="4"/>
      <c r="Z54" s="3"/>
      <c r="AA54" s="3"/>
      <c r="AB54" s="3">
        <v>848500</v>
      </c>
      <c r="AC54" s="266"/>
      <c r="AD54" s="247"/>
      <c r="AE54" s="247"/>
      <c r="AF54" s="247"/>
      <c r="AG54" s="34"/>
      <c r="AH54" s="30"/>
      <c r="AI54" s="447"/>
      <c r="AJ54" s="448"/>
      <c r="AK54" s="449"/>
      <c r="AL54" s="31"/>
      <c r="AM54" s="31"/>
      <c r="AN54" s="31"/>
      <c r="AO54" s="31"/>
      <c r="AP54" s="30"/>
    </row>
    <row r="55" spans="1:42" s="5" customFormat="1" ht="30" customHeight="1">
      <c r="A55" s="3">
        <f t="shared" si="10"/>
        <v>50</v>
      </c>
      <c r="B55" s="3">
        <v>1969</v>
      </c>
      <c r="C55" s="3" t="s">
        <v>264</v>
      </c>
      <c r="D55" s="4">
        <f>1485000-585000</f>
        <v>900000</v>
      </c>
      <c r="E55" s="4">
        <v>1485000</v>
      </c>
      <c r="F55" s="4">
        <f t="shared" si="11"/>
        <v>-585000</v>
      </c>
      <c r="G55" s="4">
        <v>900000</v>
      </c>
      <c r="H55" s="4">
        <v>632558.23</v>
      </c>
      <c r="I55" s="4"/>
      <c r="J55" s="4">
        <v>43923</v>
      </c>
      <c r="K55" s="4">
        <f t="shared" si="2"/>
        <v>43923</v>
      </c>
      <c r="L55" s="4">
        <f t="shared" si="3"/>
        <v>676481.23</v>
      </c>
      <c r="M55" s="4">
        <f t="shared" si="4"/>
        <v>223518.77000000002</v>
      </c>
      <c r="N55" s="4">
        <f>400000-400000</f>
        <v>0</v>
      </c>
      <c r="O55" s="4">
        <f t="shared" si="5"/>
        <v>0</v>
      </c>
      <c r="P55" s="4">
        <f t="shared" si="6"/>
        <v>223518.77000000002</v>
      </c>
      <c r="Q55" s="4"/>
      <c r="R55" s="4"/>
      <c r="S55" s="4">
        <f t="shared" si="7"/>
        <v>0</v>
      </c>
      <c r="T55" s="4">
        <f t="shared" si="8"/>
        <v>0</v>
      </c>
      <c r="U55" s="4">
        <f t="shared" si="1"/>
        <v>0</v>
      </c>
      <c r="V55" s="4"/>
      <c r="W55" s="4">
        <f t="shared" si="9"/>
        <v>0</v>
      </c>
      <c r="X55" s="4"/>
      <c r="Y55" s="4"/>
      <c r="Z55" s="3"/>
      <c r="AA55" s="3" t="s">
        <v>761</v>
      </c>
      <c r="AB55" s="3">
        <v>810000</v>
      </c>
      <c r="AC55" s="266"/>
      <c r="AD55" s="247"/>
      <c r="AE55" s="247"/>
      <c r="AF55" s="247"/>
      <c r="AG55" s="34"/>
      <c r="AH55" s="30"/>
      <c r="AI55" s="447"/>
      <c r="AJ55" s="448"/>
      <c r="AK55" s="449"/>
      <c r="AL55" s="31"/>
      <c r="AM55" s="31"/>
      <c r="AN55" s="31"/>
      <c r="AO55" s="31"/>
      <c r="AP55" s="30"/>
    </row>
    <row r="56" spans="1:42" s="5" customFormat="1" ht="28">
      <c r="A56" s="3">
        <f t="shared" si="10"/>
        <v>51</v>
      </c>
      <c r="B56" s="3">
        <v>1970</v>
      </c>
      <c r="C56" s="3" t="s">
        <v>294</v>
      </c>
      <c r="D56" s="4">
        <f>12200000+1000000</f>
        <v>13200000</v>
      </c>
      <c r="E56" s="4">
        <v>7200000</v>
      </c>
      <c r="F56" s="4">
        <f>D56-E56</f>
        <v>6000000</v>
      </c>
      <c r="G56" s="4">
        <v>7200000</v>
      </c>
      <c r="H56" s="4">
        <v>3512620</v>
      </c>
      <c r="I56" s="4">
        <v>277409</v>
      </c>
      <c r="J56" s="4">
        <v>3028845</v>
      </c>
      <c r="K56" s="4">
        <f t="shared" si="2"/>
        <v>3306254</v>
      </c>
      <c r="L56" s="4">
        <f t="shared" si="3"/>
        <v>6818874</v>
      </c>
      <c r="M56" s="4">
        <f t="shared" si="4"/>
        <v>381126</v>
      </c>
      <c r="N56" s="4">
        <f>5000000+1000000</f>
        <v>6000000</v>
      </c>
      <c r="O56" s="4">
        <f t="shared" si="5"/>
        <v>0</v>
      </c>
      <c r="P56" s="4">
        <f t="shared" si="6"/>
        <v>381126</v>
      </c>
      <c r="Q56" s="4"/>
      <c r="R56" s="4"/>
      <c r="S56" s="4">
        <f t="shared" si="7"/>
        <v>0</v>
      </c>
      <c r="T56" s="4">
        <f t="shared" si="8"/>
        <v>0</v>
      </c>
      <c r="U56" s="4">
        <f t="shared" si="1"/>
        <v>6000000</v>
      </c>
      <c r="V56" s="4">
        <f>U56*0.5-1000000</f>
        <v>2000000</v>
      </c>
      <c r="W56" s="4">
        <f t="shared" si="9"/>
        <v>4000000</v>
      </c>
      <c r="X56" s="4"/>
      <c r="Y56" s="4"/>
      <c r="Z56" s="3"/>
      <c r="AA56" s="3" t="s">
        <v>1134</v>
      </c>
      <c r="AB56" s="3">
        <v>810000</v>
      </c>
      <c r="AC56" s="266"/>
      <c r="AD56" s="247"/>
      <c r="AE56" s="247"/>
      <c r="AF56" s="247"/>
      <c r="AG56" s="34"/>
      <c r="AH56" s="30"/>
      <c r="AI56" s="447"/>
      <c r="AJ56" s="448"/>
      <c r="AK56" s="449"/>
      <c r="AL56" s="31"/>
      <c r="AM56" s="31"/>
      <c r="AN56" s="31"/>
      <c r="AO56" s="31"/>
      <c r="AP56" s="30"/>
    </row>
    <row r="57" spans="1:42" s="5" customFormat="1" ht="30" customHeight="1">
      <c r="A57" s="3">
        <f t="shared" si="10"/>
        <v>52</v>
      </c>
      <c r="B57" s="3">
        <v>2000</v>
      </c>
      <c r="C57" s="3" t="s">
        <v>327</v>
      </c>
      <c r="D57" s="4">
        <v>354000</v>
      </c>
      <c r="E57" s="4">
        <v>354000</v>
      </c>
      <c r="F57" s="4">
        <f>D57-E57</f>
        <v>0</v>
      </c>
      <c r="G57" s="4">
        <v>354000</v>
      </c>
      <c r="H57" s="4">
        <v>353367.64</v>
      </c>
      <c r="I57" s="4"/>
      <c r="J57" s="4"/>
      <c r="K57" s="4">
        <f t="shared" si="2"/>
        <v>0</v>
      </c>
      <c r="L57" s="4">
        <f t="shared" si="3"/>
        <v>353367.64</v>
      </c>
      <c r="M57" s="4">
        <f t="shared" si="4"/>
        <v>632.35999999998603</v>
      </c>
      <c r="N57" s="4"/>
      <c r="O57" s="4">
        <f t="shared" si="5"/>
        <v>0</v>
      </c>
      <c r="P57" s="4">
        <f t="shared" si="6"/>
        <v>632.35999999998603</v>
      </c>
      <c r="Q57" s="4"/>
      <c r="R57" s="4"/>
      <c r="S57" s="4">
        <f t="shared" si="7"/>
        <v>0</v>
      </c>
      <c r="T57" s="4">
        <f t="shared" si="8"/>
        <v>0</v>
      </c>
      <c r="U57" s="4">
        <f t="shared" si="1"/>
        <v>0</v>
      </c>
      <c r="V57" s="4"/>
      <c r="W57" s="4">
        <f t="shared" si="9"/>
        <v>0</v>
      </c>
      <c r="X57" s="4"/>
      <c r="Y57" s="4"/>
      <c r="Z57" s="3"/>
      <c r="AA57" s="3"/>
      <c r="AB57" s="3">
        <v>840000</v>
      </c>
      <c r="AC57" s="266"/>
      <c r="AD57" s="247"/>
      <c r="AE57" s="247"/>
      <c r="AF57" s="247"/>
      <c r="AG57" s="34"/>
      <c r="AH57" s="30"/>
      <c r="AI57" s="447"/>
      <c r="AJ57" s="448"/>
      <c r="AK57" s="30"/>
      <c r="AL57" s="31"/>
      <c r="AM57" s="31"/>
      <c r="AN57" s="31"/>
      <c r="AO57" s="31"/>
      <c r="AP57" s="30"/>
    </row>
    <row r="58" spans="1:42" s="5" customFormat="1" ht="30" customHeight="1">
      <c r="A58" s="3">
        <f t="shared" si="10"/>
        <v>53</v>
      </c>
      <c r="B58" s="3">
        <v>2001</v>
      </c>
      <c r="C58" s="3" t="s">
        <v>328</v>
      </c>
      <c r="D58" s="4">
        <v>18500000</v>
      </c>
      <c r="E58" s="4">
        <v>18500000</v>
      </c>
      <c r="F58" s="4">
        <f>D58-E58</f>
        <v>0</v>
      </c>
      <c r="G58" s="4">
        <v>998700</v>
      </c>
      <c r="H58" s="4">
        <v>0</v>
      </c>
      <c r="I58" s="4">
        <v>816746.6</v>
      </c>
      <c r="J58" s="4"/>
      <c r="K58" s="4">
        <f t="shared" si="2"/>
        <v>816746.6</v>
      </c>
      <c r="L58" s="4">
        <f t="shared" si="3"/>
        <v>816746.6</v>
      </c>
      <c r="M58" s="4">
        <f t="shared" si="4"/>
        <v>181953.40000000002</v>
      </c>
      <c r="N58" s="4">
        <f>17501300-8500000</f>
        <v>9001300</v>
      </c>
      <c r="O58" s="4">
        <f t="shared" si="5"/>
        <v>8500000</v>
      </c>
      <c r="P58" s="4">
        <f t="shared" si="6"/>
        <v>181953.40000000002</v>
      </c>
      <c r="Q58" s="4"/>
      <c r="R58" s="4"/>
      <c r="S58" s="4">
        <f t="shared" si="7"/>
        <v>0</v>
      </c>
      <c r="T58" s="4">
        <f t="shared" si="8"/>
        <v>0</v>
      </c>
      <c r="U58" s="4">
        <f t="shared" si="1"/>
        <v>9001300</v>
      </c>
      <c r="V58" s="4">
        <f>U58-W58-X58-Y58-Z58</f>
        <v>0</v>
      </c>
      <c r="W58" s="4"/>
      <c r="X58" s="4"/>
      <c r="Y58" s="4"/>
      <c r="Z58" s="4">
        <v>9001300</v>
      </c>
      <c r="AA58" s="3" t="s">
        <v>762</v>
      </c>
      <c r="AB58" s="3">
        <v>810000</v>
      </c>
      <c r="AC58" s="266"/>
      <c r="AD58" s="247"/>
      <c r="AE58" s="247"/>
      <c r="AF58" s="247"/>
      <c r="AG58" s="34"/>
      <c r="AH58" s="30"/>
      <c r="AI58" s="447"/>
      <c r="AJ58" s="448"/>
      <c r="AK58" s="30"/>
      <c r="AL58" s="31"/>
      <c r="AM58" s="31"/>
      <c r="AN58" s="31"/>
      <c r="AO58" s="31"/>
      <c r="AP58" s="30"/>
    </row>
    <row r="59" spans="1:42" s="5" customFormat="1" ht="30" customHeight="1">
      <c r="A59" s="3">
        <f t="shared" si="10"/>
        <v>54</v>
      </c>
      <c r="B59" s="3">
        <v>2027</v>
      </c>
      <c r="C59" s="3" t="s">
        <v>763</v>
      </c>
      <c r="D59" s="4">
        <v>1930000</v>
      </c>
      <c r="E59" s="4">
        <v>1930000</v>
      </c>
      <c r="F59" s="4">
        <f t="shared" si="11"/>
        <v>0</v>
      </c>
      <c r="G59" s="4">
        <v>1930000</v>
      </c>
      <c r="H59" s="4">
        <v>518384</v>
      </c>
      <c r="I59" s="4">
        <f>1247790-53911</f>
        <v>1193879</v>
      </c>
      <c r="J59" s="4">
        <v>53911</v>
      </c>
      <c r="K59" s="4">
        <f t="shared" si="2"/>
        <v>1247790</v>
      </c>
      <c r="L59" s="4">
        <f t="shared" si="3"/>
        <v>1766174</v>
      </c>
      <c r="M59" s="4">
        <f t="shared" si="4"/>
        <v>163826</v>
      </c>
      <c r="N59" s="4"/>
      <c r="O59" s="4">
        <f t="shared" si="5"/>
        <v>0</v>
      </c>
      <c r="P59" s="4">
        <f t="shared" si="6"/>
        <v>163826</v>
      </c>
      <c r="Q59" s="409"/>
      <c r="R59" s="4"/>
      <c r="S59" s="409">
        <f t="shared" si="7"/>
        <v>0</v>
      </c>
      <c r="T59" s="4">
        <f t="shared" si="8"/>
        <v>0</v>
      </c>
      <c r="U59" s="4">
        <f t="shared" si="1"/>
        <v>0</v>
      </c>
      <c r="V59" s="4"/>
      <c r="W59" s="4">
        <f t="shared" si="9"/>
        <v>0</v>
      </c>
      <c r="X59" s="4"/>
      <c r="Y59" s="4"/>
      <c r="Z59" s="3"/>
      <c r="AA59" s="3"/>
      <c r="AB59" s="3">
        <v>810000</v>
      </c>
      <c r="AC59" s="266"/>
      <c r="AD59" s="247"/>
      <c r="AE59" s="247"/>
      <c r="AF59" s="247"/>
      <c r="AG59" s="34"/>
      <c r="AH59" s="30"/>
      <c r="AI59" s="447"/>
      <c r="AJ59" s="448"/>
      <c r="AK59" s="449"/>
      <c r="AL59" s="31"/>
      <c r="AM59" s="31"/>
      <c r="AN59" s="31"/>
      <c r="AO59" s="31"/>
      <c r="AP59" s="30"/>
    </row>
    <row r="60" spans="1:42" s="5" customFormat="1" ht="30" customHeight="1">
      <c r="A60" s="3">
        <f t="shared" si="10"/>
        <v>55</v>
      </c>
      <c r="B60" s="3">
        <v>2028</v>
      </c>
      <c r="C60" s="3" t="s">
        <v>764</v>
      </c>
      <c r="D60" s="4">
        <v>1800000</v>
      </c>
      <c r="E60" s="4">
        <v>1800000</v>
      </c>
      <c r="F60" s="4">
        <f t="shared" si="11"/>
        <v>0</v>
      </c>
      <c r="G60" s="4">
        <v>1800000</v>
      </c>
      <c r="H60" s="4">
        <v>6084</v>
      </c>
      <c r="I60" s="4">
        <v>124488</v>
      </c>
      <c r="J60" s="4">
        <v>24428</v>
      </c>
      <c r="K60" s="4">
        <f t="shared" si="2"/>
        <v>148916</v>
      </c>
      <c r="L60" s="4">
        <f t="shared" si="3"/>
        <v>155000</v>
      </c>
      <c r="M60" s="4">
        <f t="shared" si="4"/>
        <v>1645000</v>
      </c>
      <c r="N60" s="4"/>
      <c r="O60" s="4">
        <f t="shared" si="5"/>
        <v>0</v>
      </c>
      <c r="P60" s="4">
        <f t="shared" si="6"/>
        <v>1645000</v>
      </c>
      <c r="Q60" s="4"/>
      <c r="R60" s="4"/>
      <c r="S60" s="4">
        <f t="shared" si="7"/>
        <v>0</v>
      </c>
      <c r="T60" s="4">
        <f t="shared" si="8"/>
        <v>0</v>
      </c>
      <c r="U60" s="4">
        <f t="shared" si="1"/>
        <v>0</v>
      </c>
      <c r="V60" s="4"/>
      <c r="W60" s="4">
        <f t="shared" si="9"/>
        <v>0</v>
      </c>
      <c r="X60" s="4"/>
      <c r="Y60" s="4"/>
      <c r="Z60" s="3"/>
      <c r="AA60" s="3"/>
      <c r="AB60" s="3">
        <v>810000</v>
      </c>
      <c r="AC60" s="266"/>
      <c r="AD60" s="247"/>
      <c r="AE60" s="247"/>
      <c r="AF60" s="247"/>
      <c r="AG60" s="34"/>
      <c r="AH60" s="30"/>
      <c r="AI60" s="447"/>
      <c r="AJ60" s="448"/>
      <c r="AK60" s="30"/>
      <c r="AL60" s="31"/>
      <c r="AM60" s="31"/>
      <c r="AN60" s="31"/>
      <c r="AO60" s="31"/>
      <c r="AP60" s="30"/>
    </row>
    <row r="61" spans="1:42" s="5" customFormat="1" ht="30" customHeight="1">
      <c r="A61" s="3">
        <f t="shared" si="10"/>
        <v>56</v>
      </c>
      <c r="B61" s="3">
        <v>2029</v>
      </c>
      <c r="C61" s="3" t="s">
        <v>765</v>
      </c>
      <c r="D61" s="4">
        <v>300000</v>
      </c>
      <c r="E61" s="4">
        <v>300000</v>
      </c>
      <c r="F61" s="4">
        <f t="shared" si="11"/>
        <v>0</v>
      </c>
      <c r="G61" s="4">
        <v>300000</v>
      </c>
      <c r="H61" s="4">
        <v>0</v>
      </c>
      <c r="I61" s="4"/>
      <c r="J61" s="4"/>
      <c r="K61" s="4">
        <f t="shared" si="2"/>
        <v>0</v>
      </c>
      <c r="L61" s="4">
        <f t="shared" si="3"/>
        <v>0</v>
      </c>
      <c r="M61" s="4">
        <f t="shared" si="4"/>
        <v>300000</v>
      </c>
      <c r="N61" s="4"/>
      <c r="O61" s="4">
        <f t="shared" si="5"/>
        <v>0</v>
      </c>
      <c r="P61" s="4">
        <f t="shared" si="6"/>
        <v>300000</v>
      </c>
      <c r="Q61" s="4"/>
      <c r="R61" s="4"/>
      <c r="S61" s="4">
        <f t="shared" si="7"/>
        <v>0</v>
      </c>
      <c r="T61" s="4">
        <f t="shared" si="8"/>
        <v>0</v>
      </c>
      <c r="U61" s="4">
        <f t="shared" si="1"/>
        <v>0</v>
      </c>
      <c r="V61" s="4"/>
      <c r="W61" s="4">
        <f t="shared" si="9"/>
        <v>0</v>
      </c>
      <c r="X61" s="4"/>
      <c r="Y61" s="4"/>
      <c r="Z61" s="3"/>
      <c r="AA61" s="3"/>
      <c r="AB61" s="3">
        <v>850000</v>
      </c>
      <c r="AC61" s="266"/>
      <c r="AD61" s="247"/>
      <c r="AE61" s="247"/>
      <c r="AF61" s="247"/>
      <c r="AG61" s="34"/>
      <c r="AH61" s="30"/>
      <c r="AI61" s="447"/>
      <c r="AJ61" s="448"/>
      <c r="AK61" s="30"/>
      <c r="AL61" s="31"/>
      <c r="AM61" s="31"/>
      <c r="AN61" s="31"/>
      <c r="AO61" s="31"/>
      <c r="AP61" s="30"/>
    </row>
    <row r="62" spans="1:42" s="5" customFormat="1" ht="28">
      <c r="A62" s="3">
        <f t="shared" si="10"/>
        <v>57</v>
      </c>
      <c r="B62" s="3">
        <v>2030</v>
      </c>
      <c r="C62" s="3" t="s">
        <v>580</v>
      </c>
      <c r="D62" s="4">
        <v>31500000</v>
      </c>
      <c r="E62" s="4">
        <v>28000000</v>
      </c>
      <c r="F62" s="4">
        <f t="shared" si="11"/>
        <v>3500000</v>
      </c>
      <c r="G62" s="4">
        <v>3000000</v>
      </c>
      <c r="H62" s="4">
        <v>584408.21</v>
      </c>
      <c r="I62" s="4">
        <v>570857.04</v>
      </c>
      <c r="J62" s="4">
        <f>1935188-570857</f>
        <v>1364331</v>
      </c>
      <c r="K62" s="4">
        <f t="shared" si="2"/>
        <v>1935188.04</v>
      </c>
      <c r="L62" s="4">
        <f t="shared" si="3"/>
        <v>2519596.25</v>
      </c>
      <c r="M62" s="4">
        <f t="shared" si="4"/>
        <v>480403.75</v>
      </c>
      <c r="N62" s="4">
        <f>20000000-5000000-5000000-2000000</f>
        <v>8000000</v>
      </c>
      <c r="O62" s="4">
        <f t="shared" si="5"/>
        <v>20500000</v>
      </c>
      <c r="P62" s="4">
        <f t="shared" si="6"/>
        <v>480403.75</v>
      </c>
      <c r="Q62" s="4"/>
      <c r="R62" s="4"/>
      <c r="S62" s="4">
        <f t="shared" si="7"/>
        <v>0</v>
      </c>
      <c r="T62" s="4">
        <f t="shared" si="8"/>
        <v>0</v>
      </c>
      <c r="U62" s="4">
        <f t="shared" si="1"/>
        <v>8000000</v>
      </c>
      <c r="V62" s="4">
        <f>U62-W62-X62-Y62-Z62</f>
        <v>7890000</v>
      </c>
      <c r="W62" s="4"/>
      <c r="X62" s="4"/>
      <c r="Y62" s="4"/>
      <c r="Z62" s="4">
        <v>110000</v>
      </c>
      <c r="AA62" s="3" t="s">
        <v>1097</v>
      </c>
      <c r="AB62" s="3">
        <v>810000</v>
      </c>
      <c r="AC62" s="266"/>
      <c r="AD62" s="247"/>
      <c r="AE62" s="247"/>
      <c r="AF62" s="247"/>
      <c r="AG62" s="34"/>
      <c r="AH62" s="30"/>
      <c r="AI62" s="447"/>
      <c r="AJ62" s="448"/>
      <c r="AK62" s="30"/>
      <c r="AL62" s="31"/>
      <c r="AM62" s="31"/>
      <c r="AN62" s="30"/>
      <c r="AO62" s="30"/>
      <c r="AP62" s="30"/>
    </row>
    <row r="63" spans="1:42" s="5" customFormat="1" ht="30" customHeight="1">
      <c r="A63" s="3">
        <f t="shared" si="10"/>
        <v>58</v>
      </c>
      <c r="B63" s="3">
        <v>2061</v>
      </c>
      <c r="C63" s="3" t="s">
        <v>766</v>
      </c>
      <c r="D63" s="4">
        <v>290000</v>
      </c>
      <c r="E63" s="4">
        <v>290000</v>
      </c>
      <c r="F63" s="4">
        <f t="shared" si="11"/>
        <v>0</v>
      </c>
      <c r="G63" s="4">
        <v>290000</v>
      </c>
      <c r="H63" s="4">
        <v>0</v>
      </c>
      <c r="I63" s="4"/>
      <c r="J63" s="4">
        <v>243144</v>
      </c>
      <c r="K63" s="4">
        <f t="shared" ref="K63:K69" si="12">SUM(I63:J63)</f>
        <v>243144</v>
      </c>
      <c r="L63" s="4">
        <f t="shared" si="3"/>
        <v>243144</v>
      </c>
      <c r="M63" s="4">
        <f t="shared" si="4"/>
        <v>46856</v>
      </c>
      <c r="N63" s="4"/>
      <c r="O63" s="4">
        <f t="shared" si="5"/>
        <v>0</v>
      </c>
      <c r="P63" s="4">
        <f t="shared" si="6"/>
        <v>46856</v>
      </c>
      <c r="Q63" s="4"/>
      <c r="R63" s="4"/>
      <c r="S63" s="4">
        <f t="shared" si="7"/>
        <v>0</v>
      </c>
      <c r="T63" s="4">
        <f t="shared" si="8"/>
        <v>0</v>
      </c>
      <c r="U63" s="4">
        <f t="shared" si="1"/>
        <v>0</v>
      </c>
      <c r="V63" s="4"/>
      <c r="W63" s="4">
        <f t="shared" si="9"/>
        <v>0</v>
      </c>
      <c r="X63" s="4"/>
      <c r="Y63" s="4"/>
      <c r="Z63" s="3"/>
      <c r="AA63" s="3" t="s">
        <v>1336</v>
      </c>
      <c r="AB63" s="3">
        <v>930000</v>
      </c>
      <c r="AC63" s="266"/>
      <c r="AD63" s="247"/>
      <c r="AE63" s="247"/>
      <c r="AF63" s="247"/>
      <c r="AG63" s="34"/>
      <c r="AH63" s="30"/>
      <c r="AI63" s="447"/>
      <c r="AJ63" s="448"/>
      <c r="AK63" s="30"/>
      <c r="AL63" s="31"/>
      <c r="AM63" s="31"/>
      <c r="AN63" s="31"/>
      <c r="AO63" s="31"/>
      <c r="AP63" s="30"/>
    </row>
    <row r="64" spans="1:42" s="5" customFormat="1" ht="30" customHeight="1">
      <c r="A64" s="3">
        <f t="shared" si="10"/>
        <v>59</v>
      </c>
      <c r="B64" s="3">
        <v>2063</v>
      </c>
      <c r="C64" s="3" t="s">
        <v>767</v>
      </c>
      <c r="D64" s="4">
        <v>1490000</v>
      </c>
      <c r="E64" s="4">
        <v>1490000</v>
      </c>
      <c r="F64" s="4">
        <f t="shared" si="11"/>
        <v>0</v>
      </c>
      <c r="G64" s="4">
        <v>1490000</v>
      </c>
      <c r="H64" s="4">
        <v>0</v>
      </c>
      <c r="I64" s="4">
        <v>61074</v>
      </c>
      <c r="J64" s="4">
        <v>27787.5</v>
      </c>
      <c r="K64" s="4">
        <f t="shared" si="12"/>
        <v>88861.5</v>
      </c>
      <c r="L64" s="4">
        <f t="shared" si="3"/>
        <v>88861.5</v>
      </c>
      <c r="M64" s="4">
        <f t="shared" si="4"/>
        <v>1401138.5</v>
      </c>
      <c r="N64" s="4">
        <v>0</v>
      </c>
      <c r="O64" s="4">
        <f t="shared" si="5"/>
        <v>0</v>
      </c>
      <c r="P64" s="4">
        <f t="shared" si="6"/>
        <v>1401138.5</v>
      </c>
      <c r="Q64" s="4"/>
      <c r="R64" s="4"/>
      <c r="S64" s="4">
        <f t="shared" si="7"/>
        <v>0</v>
      </c>
      <c r="T64" s="4">
        <f t="shared" si="8"/>
        <v>0</v>
      </c>
      <c r="U64" s="4">
        <f t="shared" si="1"/>
        <v>0</v>
      </c>
      <c r="V64" s="4"/>
      <c r="W64" s="4">
        <f t="shared" si="9"/>
        <v>0</v>
      </c>
      <c r="X64" s="4"/>
      <c r="Y64" s="4"/>
      <c r="Z64" s="3"/>
      <c r="AA64" s="3" t="s">
        <v>1337</v>
      </c>
      <c r="AB64" s="3">
        <v>810000</v>
      </c>
      <c r="AC64" s="266"/>
      <c r="AD64" s="247"/>
      <c r="AE64" s="247"/>
      <c r="AF64" s="247"/>
      <c r="AG64" s="34"/>
      <c r="AH64" s="30"/>
      <c r="AI64" s="447"/>
      <c r="AJ64" s="448"/>
      <c r="AK64" s="30"/>
      <c r="AL64" s="31"/>
      <c r="AM64" s="31"/>
      <c r="AN64" s="31"/>
      <c r="AO64" s="31"/>
      <c r="AP64" s="30"/>
    </row>
    <row r="65" spans="1:43" s="5" customFormat="1" ht="30" customHeight="1">
      <c r="A65" s="3">
        <f t="shared" si="10"/>
        <v>60</v>
      </c>
      <c r="B65" s="3">
        <v>2065</v>
      </c>
      <c r="C65" s="3" t="s">
        <v>768</v>
      </c>
      <c r="D65" s="4">
        <v>700000</v>
      </c>
      <c r="E65" s="4">
        <v>700000</v>
      </c>
      <c r="F65" s="4">
        <f t="shared" si="11"/>
        <v>0</v>
      </c>
      <c r="G65" s="4">
        <v>700000</v>
      </c>
      <c r="H65" s="4">
        <v>546750.99</v>
      </c>
      <c r="I65" s="4"/>
      <c r="J65" s="4">
        <v>153196</v>
      </c>
      <c r="K65" s="4">
        <f t="shared" si="12"/>
        <v>153196</v>
      </c>
      <c r="L65" s="4">
        <f t="shared" si="3"/>
        <v>699946.99</v>
      </c>
      <c r="M65" s="4">
        <f t="shared" si="4"/>
        <v>53.010000000009313</v>
      </c>
      <c r="N65" s="4"/>
      <c r="O65" s="4">
        <f t="shared" si="5"/>
        <v>0</v>
      </c>
      <c r="P65" s="4">
        <f t="shared" si="6"/>
        <v>53.010000000009313</v>
      </c>
      <c r="Q65" s="4"/>
      <c r="R65" s="4"/>
      <c r="S65" s="4">
        <f t="shared" si="7"/>
        <v>0</v>
      </c>
      <c r="T65" s="4">
        <f t="shared" si="8"/>
        <v>0</v>
      </c>
      <c r="U65" s="4">
        <f t="shared" si="1"/>
        <v>0</v>
      </c>
      <c r="V65" s="4"/>
      <c r="W65" s="4">
        <f t="shared" si="9"/>
        <v>0</v>
      </c>
      <c r="X65" s="4"/>
      <c r="Y65" s="4"/>
      <c r="Z65" s="3"/>
      <c r="AA65" s="3" t="s">
        <v>1338</v>
      </c>
      <c r="AB65" s="3">
        <v>810000</v>
      </c>
      <c r="AC65" s="266"/>
      <c r="AD65" s="247"/>
      <c r="AE65" s="247"/>
      <c r="AF65" s="247"/>
      <c r="AG65" s="440"/>
      <c r="AH65" s="30"/>
      <c r="AI65" s="447"/>
      <c r="AJ65" s="448"/>
      <c r="AK65" s="30"/>
      <c r="AL65" s="31"/>
      <c r="AM65" s="31"/>
      <c r="AN65" s="31"/>
      <c r="AO65" s="31"/>
      <c r="AP65" s="30"/>
    </row>
    <row r="66" spans="1:43" s="5" customFormat="1" ht="30" customHeight="1">
      <c r="A66" s="3">
        <f t="shared" si="10"/>
        <v>61</v>
      </c>
      <c r="B66" s="3">
        <v>2068</v>
      </c>
      <c r="C66" s="3" t="s">
        <v>1339</v>
      </c>
      <c r="D66" s="4">
        <v>280000</v>
      </c>
      <c r="E66" s="4">
        <v>280000</v>
      </c>
      <c r="F66" s="4">
        <f t="shared" si="11"/>
        <v>0</v>
      </c>
      <c r="G66" s="4">
        <v>280000</v>
      </c>
      <c r="H66" s="4">
        <v>0</v>
      </c>
      <c r="I66" s="4"/>
      <c r="J66" s="4">
        <v>276360.27</v>
      </c>
      <c r="K66" s="4">
        <f t="shared" si="12"/>
        <v>276360.27</v>
      </c>
      <c r="L66" s="4">
        <f t="shared" si="3"/>
        <v>276360.27</v>
      </c>
      <c r="M66" s="4">
        <f t="shared" si="4"/>
        <v>3639.7299999999814</v>
      </c>
      <c r="N66" s="4"/>
      <c r="O66" s="4">
        <f t="shared" si="5"/>
        <v>0</v>
      </c>
      <c r="P66" s="4">
        <f t="shared" si="6"/>
        <v>3639.7299999999814</v>
      </c>
      <c r="Q66" s="4"/>
      <c r="R66" s="4"/>
      <c r="S66" s="4">
        <f t="shared" si="7"/>
        <v>0</v>
      </c>
      <c r="T66" s="4">
        <f t="shared" si="8"/>
        <v>0</v>
      </c>
      <c r="U66" s="4">
        <f t="shared" si="1"/>
        <v>0</v>
      </c>
      <c r="V66" s="4"/>
      <c r="W66" s="4">
        <f t="shared" si="9"/>
        <v>0</v>
      </c>
      <c r="X66" s="4"/>
      <c r="Y66" s="4"/>
      <c r="Z66" s="3"/>
      <c r="AA66" s="3" t="s">
        <v>1340</v>
      </c>
      <c r="AB66" s="3">
        <v>829000</v>
      </c>
      <c r="AC66" s="266"/>
      <c r="AD66" s="247"/>
      <c r="AE66" s="247"/>
      <c r="AF66" s="247"/>
      <c r="AG66" s="34"/>
      <c r="AH66" s="30"/>
      <c r="AI66" s="447"/>
      <c r="AJ66" s="448"/>
      <c r="AK66" s="30"/>
      <c r="AL66" s="31"/>
      <c r="AM66" s="31"/>
      <c r="AN66" s="31"/>
      <c r="AO66" s="31"/>
      <c r="AP66" s="30"/>
    </row>
    <row r="67" spans="1:43" s="5" customFormat="1" ht="30" customHeight="1">
      <c r="A67" s="3">
        <f t="shared" si="10"/>
        <v>62</v>
      </c>
      <c r="B67" s="3">
        <v>2074</v>
      </c>
      <c r="C67" s="3" t="s">
        <v>769</v>
      </c>
      <c r="D67" s="4">
        <f>2500000-500000</f>
        <v>2000000</v>
      </c>
      <c r="E67" s="4">
        <v>560000</v>
      </c>
      <c r="F67" s="4">
        <f>D67-E67</f>
        <v>1440000</v>
      </c>
      <c r="G67" s="4">
        <v>560000</v>
      </c>
      <c r="H67" s="4">
        <v>0</v>
      </c>
      <c r="I67" s="4"/>
      <c r="J67" s="4">
        <v>7897</v>
      </c>
      <c r="K67" s="4">
        <f t="shared" si="12"/>
        <v>7897</v>
      </c>
      <c r="L67" s="4">
        <f>K67+H67</f>
        <v>7897</v>
      </c>
      <c r="M67" s="4">
        <f>P67+S67</f>
        <v>552103</v>
      </c>
      <c r="N67" s="4">
        <f>1940000-500000</f>
        <v>1440000</v>
      </c>
      <c r="O67" s="4">
        <f>D67-L67-M67-N67</f>
        <v>0</v>
      </c>
      <c r="P67" s="4">
        <f>G67-L67</f>
        <v>552103</v>
      </c>
      <c r="Q67" s="4"/>
      <c r="R67" s="4"/>
      <c r="S67" s="4">
        <f>SUM(Q67:R67)</f>
        <v>0</v>
      </c>
      <c r="T67" s="4">
        <f>P67-M67+S67</f>
        <v>0</v>
      </c>
      <c r="U67" s="4">
        <f>N67-T67</f>
        <v>1440000</v>
      </c>
      <c r="V67" s="4">
        <f>U67*0.5</f>
        <v>720000</v>
      </c>
      <c r="W67" s="4">
        <f>U67-V67-Y67-Z67</f>
        <v>720000</v>
      </c>
      <c r="X67" s="4"/>
      <c r="Y67" s="4"/>
      <c r="Z67" s="3"/>
      <c r="AA67" s="3" t="s">
        <v>1519</v>
      </c>
      <c r="AB67" s="3">
        <v>930000</v>
      </c>
      <c r="AC67" s="266"/>
      <c r="AD67" s="247"/>
      <c r="AE67" s="247"/>
      <c r="AF67" s="247"/>
      <c r="AG67" s="34"/>
      <c r="AH67" s="30"/>
      <c r="AI67" s="447"/>
      <c r="AJ67" s="448"/>
      <c r="AK67" s="30"/>
      <c r="AL67" s="31"/>
      <c r="AM67" s="31"/>
      <c r="AN67" s="31"/>
      <c r="AO67" s="31"/>
      <c r="AP67" s="30"/>
    </row>
    <row r="68" spans="1:43" s="5" customFormat="1" ht="30" customHeight="1">
      <c r="A68" s="3">
        <f t="shared" si="10"/>
        <v>63</v>
      </c>
      <c r="B68" s="42">
        <v>2095</v>
      </c>
      <c r="C68" s="3" t="s">
        <v>771</v>
      </c>
      <c r="D68" s="4">
        <v>160000</v>
      </c>
      <c r="E68" s="4"/>
      <c r="F68" s="4">
        <f>D68-E68</f>
        <v>160000</v>
      </c>
      <c r="G68" s="4"/>
      <c r="H68" s="4"/>
      <c r="I68" s="4"/>
      <c r="J68" s="4"/>
      <c r="K68" s="4">
        <f t="shared" si="12"/>
        <v>0</v>
      </c>
      <c r="L68" s="4">
        <f>K68+H68</f>
        <v>0</v>
      </c>
      <c r="M68" s="4">
        <f>P68+S68</f>
        <v>0</v>
      </c>
      <c r="N68" s="4">
        <v>160000</v>
      </c>
      <c r="O68" s="4">
        <f>D68-L68-M68-N68</f>
        <v>0</v>
      </c>
      <c r="P68" s="4">
        <f>G68-L68</f>
        <v>0</v>
      </c>
      <c r="Q68" s="4"/>
      <c r="R68" s="4"/>
      <c r="S68" s="4">
        <f>SUM(Q68:R68)</f>
        <v>0</v>
      </c>
      <c r="T68" s="4">
        <f>P68-M68+S68</f>
        <v>0</v>
      </c>
      <c r="U68" s="4">
        <f>N68-T68</f>
        <v>160000</v>
      </c>
      <c r="V68" s="4"/>
      <c r="W68" s="4">
        <f>U68-V68-Y68-Z68</f>
        <v>160000</v>
      </c>
      <c r="X68" s="4"/>
      <c r="Y68" s="4"/>
      <c r="Z68" s="3"/>
      <c r="AA68" s="3" t="s">
        <v>772</v>
      </c>
      <c r="AB68" s="3">
        <v>610000</v>
      </c>
      <c r="AC68" s="266"/>
      <c r="AD68" s="247"/>
      <c r="AE68" s="247"/>
      <c r="AF68" s="247"/>
      <c r="AG68" s="34"/>
      <c r="AH68" s="440"/>
      <c r="AI68" s="440"/>
      <c r="AJ68" s="441"/>
      <c r="AK68" s="446"/>
      <c r="AL68" s="31"/>
      <c r="AM68" s="31"/>
      <c r="AN68" s="31"/>
      <c r="AO68" s="31"/>
      <c r="AP68" s="30"/>
    </row>
    <row r="69" spans="1:43" s="5" customFormat="1" ht="30" customHeight="1">
      <c r="A69" s="3">
        <f t="shared" si="10"/>
        <v>64</v>
      </c>
      <c r="B69" s="42">
        <v>2096</v>
      </c>
      <c r="C69" s="3" t="s">
        <v>773</v>
      </c>
      <c r="D69" s="4">
        <f>1715000-500000</f>
        <v>1215000</v>
      </c>
      <c r="E69" s="4"/>
      <c r="F69" s="4">
        <f>D69-E69</f>
        <v>1215000</v>
      </c>
      <c r="G69" s="4"/>
      <c r="H69" s="4"/>
      <c r="I69" s="4"/>
      <c r="J69" s="4"/>
      <c r="K69" s="4">
        <f t="shared" si="12"/>
        <v>0</v>
      </c>
      <c r="L69" s="4">
        <f>K69+H69</f>
        <v>0</v>
      </c>
      <c r="M69" s="4">
        <f>P69+S69</f>
        <v>0</v>
      </c>
      <c r="N69" s="4">
        <f>1715000-500000</f>
        <v>1215000</v>
      </c>
      <c r="O69" s="4">
        <f>D69-L69-M69-N69</f>
        <v>0</v>
      </c>
      <c r="P69" s="4">
        <f>G69-L69</f>
        <v>0</v>
      </c>
      <c r="Q69" s="4"/>
      <c r="R69" s="4"/>
      <c r="S69" s="4">
        <f>SUM(Q69:R69)</f>
        <v>0</v>
      </c>
      <c r="T69" s="4">
        <f>P69-M69+S69</f>
        <v>0</v>
      </c>
      <c r="U69" s="4">
        <f>N69-T69</f>
        <v>1215000</v>
      </c>
      <c r="V69" s="4">
        <f>500000-500000</f>
        <v>0</v>
      </c>
      <c r="W69" s="4">
        <f>U69-V69-Y69-Z69</f>
        <v>1215000</v>
      </c>
      <c r="X69" s="4"/>
      <c r="Y69" s="4"/>
      <c r="Z69" s="3"/>
      <c r="AA69" s="3" t="s">
        <v>1341</v>
      </c>
      <c r="AB69" s="3">
        <v>930000</v>
      </c>
      <c r="AC69" s="266"/>
      <c r="AD69" s="247"/>
      <c r="AE69" s="247"/>
      <c r="AF69" s="247"/>
      <c r="AG69" s="34"/>
      <c r="AH69" s="440"/>
      <c r="AI69" s="440"/>
      <c r="AJ69" s="441"/>
      <c r="AK69" s="446"/>
      <c r="AL69" s="31"/>
      <c r="AM69" s="31"/>
      <c r="AN69" s="31"/>
      <c r="AO69" s="31"/>
      <c r="AP69" s="30"/>
    </row>
    <row r="70" spans="1:43" s="6" customFormat="1" ht="30" customHeight="1">
      <c r="A70" s="9">
        <f>A69</f>
        <v>64</v>
      </c>
      <c r="B70" s="9"/>
      <c r="C70" s="260" t="s">
        <v>1196</v>
      </c>
      <c r="D70" s="10">
        <f t="shared" ref="D70:Z70" si="13">SUM(D6:D69)</f>
        <v>659008945</v>
      </c>
      <c r="E70" s="10">
        <f t="shared" si="13"/>
        <v>632243945</v>
      </c>
      <c r="F70" s="10">
        <f t="shared" si="13"/>
        <v>26765000</v>
      </c>
      <c r="G70" s="10">
        <f t="shared" si="13"/>
        <v>507684741</v>
      </c>
      <c r="H70" s="10">
        <f t="shared" si="13"/>
        <v>432359545.21999997</v>
      </c>
      <c r="I70" s="10">
        <f t="shared" si="13"/>
        <v>18484399.039999999</v>
      </c>
      <c r="J70" s="10">
        <f t="shared" si="13"/>
        <v>36617167.289999999</v>
      </c>
      <c r="K70" s="10">
        <f t="shared" si="13"/>
        <v>55101566.330000006</v>
      </c>
      <c r="L70" s="10">
        <f t="shared" si="13"/>
        <v>487461111.55000001</v>
      </c>
      <c r="M70" s="10">
        <f t="shared" si="13"/>
        <v>22273629.449999984</v>
      </c>
      <c r="N70" s="10">
        <f t="shared" si="13"/>
        <v>49991300</v>
      </c>
      <c r="O70" s="10">
        <f t="shared" si="13"/>
        <v>99282904</v>
      </c>
      <c r="P70" s="10">
        <f t="shared" si="13"/>
        <v>20223629.449999988</v>
      </c>
      <c r="Q70" s="10">
        <f t="shared" si="13"/>
        <v>2590000</v>
      </c>
      <c r="R70" s="10">
        <f t="shared" si="13"/>
        <v>0</v>
      </c>
      <c r="S70" s="10">
        <f t="shared" si="13"/>
        <v>2590000</v>
      </c>
      <c r="T70" s="10">
        <f t="shared" si="13"/>
        <v>540000</v>
      </c>
      <c r="U70" s="10">
        <f t="shared" si="13"/>
        <v>49451300</v>
      </c>
      <c r="V70" s="10">
        <f t="shared" si="13"/>
        <v>25230000</v>
      </c>
      <c r="W70" s="10">
        <f t="shared" si="13"/>
        <v>15000000</v>
      </c>
      <c r="X70" s="10">
        <f t="shared" si="13"/>
        <v>0</v>
      </c>
      <c r="Y70" s="10">
        <f t="shared" si="13"/>
        <v>0</v>
      </c>
      <c r="Z70" s="10">
        <f t="shared" si="13"/>
        <v>9221300</v>
      </c>
      <c r="AA70" s="3">
        <v>0</v>
      </c>
      <c r="AB70" s="10"/>
      <c r="AC70" s="266"/>
      <c r="AD70" s="247"/>
      <c r="AE70" s="247"/>
      <c r="AF70" s="247"/>
      <c r="AH70" s="30"/>
      <c r="AI70" s="440"/>
      <c r="AJ70" s="440"/>
      <c r="AK70" s="21"/>
      <c r="AL70" s="31"/>
      <c r="AM70" s="32"/>
      <c r="AN70" s="32"/>
      <c r="AO70" s="32"/>
      <c r="AP70" s="32"/>
      <c r="AQ70" s="29"/>
    </row>
    <row r="71" spans="1:43" s="31" customFormat="1" hidden="1">
      <c r="B71" s="20"/>
      <c r="C71" s="20"/>
      <c r="D71" s="27"/>
      <c r="E71" s="27"/>
      <c r="F71" s="27"/>
      <c r="G71" s="27"/>
      <c r="H71" s="27"/>
      <c r="I71" s="27"/>
      <c r="J71" s="27"/>
      <c r="K71" s="27"/>
      <c r="L71" s="24">
        <f>H70+K70</f>
        <v>487461111.54999995</v>
      </c>
      <c r="M71" s="24">
        <f>P70+S70-T70</f>
        <v>22273629.449999988</v>
      </c>
      <c r="N71" s="51"/>
      <c r="O71" s="27"/>
      <c r="P71" s="24">
        <f>G70-L70</f>
        <v>20223629.449999988</v>
      </c>
      <c r="Q71" s="27"/>
      <c r="R71" s="27"/>
      <c r="S71" s="27"/>
      <c r="T71" s="27"/>
      <c r="U71" s="24">
        <f>N70-T70</f>
        <v>49451300</v>
      </c>
      <c r="V71" s="52"/>
      <c r="W71" s="52"/>
      <c r="X71" s="52"/>
      <c r="Y71" s="52"/>
      <c r="Z71" s="52"/>
      <c r="AA71" s="49"/>
      <c r="AB71" s="20"/>
      <c r="AC71" s="266"/>
      <c r="AD71" s="247"/>
      <c r="AE71" s="247"/>
      <c r="AF71" s="247"/>
      <c r="AG71" s="34"/>
      <c r="AH71" s="440"/>
      <c r="AI71" s="440"/>
      <c r="AJ71" s="441"/>
      <c r="AK71" s="446"/>
    </row>
    <row r="72" spans="1:43" s="31" customFormat="1">
      <c r="B72" s="20"/>
      <c r="C72" s="15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0"/>
      <c r="V72" s="20"/>
      <c r="W72" s="20"/>
      <c r="X72" s="20"/>
      <c r="Y72" s="20"/>
      <c r="Z72" s="20"/>
      <c r="AA72" s="21"/>
      <c r="AB72" s="20"/>
      <c r="AC72" s="266"/>
      <c r="AD72" s="247"/>
      <c r="AE72" s="247"/>
      <c r="AF72" s="247"/>
      <c r="AG72" s="34"/>
      <c r="AH72" s="440"/>
      <c r="AI72" s="440"/>
      <c r="AJ72" s="441"/>
      <c r="AK72" s="446"/>
    </row>
    <row r="73" spans="1:43" s="31" customFormat="1">
      <c r="B73" s="20"/>
      <c r="C73" s="20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P73" s="248"/>
      <c r="Q73" s="27"/>
      <c r="R73" s="27"/>
      <c r="S73" s="27"/>
      <c r="T73" s="27"/>
      <c r="U73" s="20"/>
      <c r="V73" s="20"/>
      <c r="W73" s="20"/>
      <c r="X73" s="20"/>
      <c r="Y73" s="20"/>
      <c r="Z73" s="20"/>
      <c r="AA73" s="21"/>
      <c r="AB73" s="20"/>
      <c r="AC73" s="266"/>
      <c r="AD73" s="247"/>
      <c r="AE73" s="247"/>
      <c r="AF73" s="247"/>
      <c r="AG73" s="34"/>
      <c r="AH73" s="440"/>
      <c r="AI73" s="440"/>
      <c r="AJ73" s="441"/>
      <c r="AK73" s="446"/>
    </row>
    <row r="74" spans="1:43">
      <c r="N74" s="27"/>
      <c r="O74" s="27"/>
      <c r="P74" s="27"/>
      <c r="Q74" s="27"/>
      <c r="R74" s="27"/>
      <c r="S74" s="27"/>
      <c r="T74" s="27"/>
      <c r="U74" s="20"/>
    </row>
    <row r="75" spans="1:43">
      <c r="N75" s="27"/>
      <c r="O75" s="27"/>
      <c r="P75" s="27"/>
      <c r="Q75" s="27"/>
      <c r="R75" s="27"/>
      <c r="S75" s="27"/>
      <c r="T75" s="27"/>
      <c r="U75" s="20"/>
    </row>
    <row r="76" spans="1:43">
      <c r="N76" s="27"/>
      <c r="O76" s="27"/>
      <c r="P76" s="27"/>
      <c r="Q76" s="27"/>
      <c r="R76" s="27"/>
      <c r="S76" s="27"/>
      <c r="T76" s="27"/>
      <c r="U76" s="20"/>
    </row>
    <row r="77" spans="1:43" ht="31" hidden="1">
      <c r="N77" s="27"/>
      <c r="O77" s="27"/>
      <c r="P77" s="27"/>
      <c r="Q77" s="27"/>
      <c r="R77" s="27"/>
      <c r="S77" s="27"/>
      <c r="T77" s="27"/>
      <c r="U77" s="20"/>
      <c r="AA77" s="23" t="s">
        <v>774</v>
      </c>
    </row>
    <row r="78" spans="1:43">
      <c r="N78" s="27"/>
      <c r="O78" s="27"/>
      <c r="P78" s="27"/>
      <c r="Q78" s="27"/>
      <c r="R78" s="27"/>
      <c r="S78" s="27"/>
      <c r="T78" s="27"/>
      <c r="U78" s="20"/>
    </row>
    <row r="79" spans="1:43" s="17" customFormat="1">
      <c r="A79" s="40"/>
      <c r="B79" s="15"/>
      <c r="C79" s="15"/>
      <c r="N79" s="27"/>
      <c r="O79" s="27"/>
      <c r="P79" s="27"/>
      <c r="Q79" s="27"/>
      <c r="R79" s="27"/>
      <c r="S79" s="27"/>
      <c r="T79" s="27"/>
      <c r="U79" s="20"/>
      <c r="V79" s="15"/>
      <c r="W79" s="15"/>
      <c r="X79" s="15"/>
      <c r="Y79" s="15"/>
      <c r="Z79" s="15"/>
      <c r="AA79" s="21"/>
      <c r="AB79" s="15"/>
      <c r="AC79" s="266"/>
      <c r="AD79" s="247"/>
      <c r="AE79" s="247"/>
      <c r="AF79" s="247"/>
      <c r="AG79" s="34"/>
      <c r="AH79" s="440"/>
      <c r="AI79" s="440"/>
      <c r="AJ79" s="441"/>
      <c r="AK79" s="454"/>
      <c r="AL79" s="20"/>
      <c r="AM79" s="20"/>
      <c r="AN79" s="27"/>
      <c r="AO79" s="27"/>
      <c r="AP79" s="27"/>
    </row>
    <row r="80" spans="1:43">
      <c r="N80" s="27"/>
      <c r="O80" s="27"/>
      <c r="P80" s="27"/>
      <c r="Q80" s="27"/>
      <c r="R80" s="27"/>
      <c r="S80" s="27"/>
      <c r="T80" s="27"/>
      <c r="U80" s="20"/>
    </row>
    <row r="81" spans="14:42">
      <c r="N81" s="27"/>
      <c r="O81" s="27"/>
      <c r="P81" s="27"/>
      <c r="Q81" s="27"/>
      <c r="R81" s="27"/>
      <c r="S81" s="27"/>
      <c r="T81" s="27"/>
      <c r="U81" s="20"/>
    </row>
    <row r="82" spans="14:42">
      <c r="N82" s="27"/>
      <c r="O82" s="27"/>
      <c r="P82" s="27"/>
      <c r="Q82" s="27"/>
      <c r="R82" s="27"/>
      <c r="S82" s="27"/>
      <c r="T82" s="27"/>
      <c r="U82" s="20"/>
    </row>
    <row r="83" spans="14:42">
      <c r="N83" s="27"/>
      <c r="O83" s="27"/>
      <c r="P83" s="27"/>
      <c r="Q83" s="27"/>
      <c r="R83" s="27"/>
      <c r="S83" s="27"/>
      <c r="T83" s="27"/>
      <c r="U83" s="20"/>
    </row>
    <row r="84" spans="14:42">
      <c r="N84" s="27"/>
      <c r="O84" s="27"/>
      <c r="P84" s="27"/>
      <c r="Q84" s="27"/>
      <c r="R84" s="27"/>
      <c r="S84" s="27"/>
      <c r="T84" s="27"/>
      <c r="U84" s="20"/>
    </row>
    <row r="85" spans="14:42">
      <c r="N85" s="27"/>
      <c r="O85" s="27"/>
      <c r="P85" s="27"/>
      <c r="Q85" s="27"/>
      <c r="R85" s="27"/>
      <c r="S85" s="27"/>
      <c r="T85" s="27"/>
      <c r="U85" s="20"/>
    </row>
    <row r="86" spans="14:42">
      <c r="N86" s="27"/>
      <c r="O86" s="27"/>
      <c r="P86" s="27"/>
      <c r="Q86" s="27"/>
      <c r="R86" s="27"/>
      <c r="S86" s="27"/>
      <c r="T86" s="27"/>
      <c r="U86" s="20"/>
    </row>
    <row r="88" spans="14:42">
      <c r="S88" s="45"/>
    </row>
    <row r="89" spans="14:42">
      <c r="S89" s="45"/>
    </row>
    <row r="90" spans="14:42">
      <c r="S90" s="45"/>
    </row>
    <row r="91" spans="14:42">
      <c r="S91" s="45"/>
      <c r="AP91" s="27"/>
    </row>
    <row r="92" spans="14:42">
      <c r="S92" s="45"/>
    </row>
    <row r="94" spans="14:42">
      <c r="S94" s="45"/>
    </row>
    <row r="95" spans="14:42">
      <c r="AP95" s="27"/>
    </row>
    <row r="96" spans="14:42">
      <c r="T96" s="15"/>
      <c r="U96" s="17"/>
    </row>
    <row r="97" spans="21:21">
      <c r="U97" s="17"/>
    </row>
  </sheetData>
  <sheetProtection formatCells="0" formatColumns="0" formatRows="0" insertColumns="0" insertRows="0" insertHyperlinks="0" deleteColumns="0" deleteRows="0" sort="0" autoFilter="0" pivotTables="0"/>
  <conditionalFormatting sqref="AA4">
    <cfRule type="cellIs" dxfId="281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9"/>
  <sheetViews>
    <sheetView rightToLeft="1" workbookViewId="0">
      <selection activeCell="T20" sqref="T20"/>
    </sheetView>
  </sheetViews>
  <sheetFormatPr defaultColWidth="9.1796875" defaultRowHeight="14"/>
  <cols>
    <col min="1" max="3" width="4.1796875" style="353" customWidth="1"/>
    <col min="4" max="4" width="34.81640625" style="353" customWidth="1"/>
    <col min="5" max="5" width="30.453125" style="353" customWidth="1"/>
    <col min="6" max="6" width="10.81640625" style="353" customWidth="1"/>
    <col min="7" max="7" width="5.54296875" style="353" customWidth="1"/>
    <col min="8" max="9" width="12.1796875" style="353" customWidth="1"/>
    <col min="10" max="10" width="7.81640625" style="353" customWidth="1"/>
    <col min="11" max="16384" width="9.1796875" style="353"/>
  </cols>
  <sheetData>
    <row r="2" spans="1:17" ht="20.5">
      <c r="E2" s="354"/>
    </row>
    <row r="3" spans="1:17" ht="20.5">
      <c r="A3" s="352"/>
      <c r="C3" s="354" t="s">
        <v>558</v>
      </c>
      <c r="D3" s="352"/>
      <c r="E3" s="352"/>
      <c r="F3" s="352"/>
      <c r="G3" s="352"/>
      <c r="H3" s="352"/>
      <c r="I3" s="352"/>
      <c r="J3" s="352"/>
      <c r="K3" s="352"/>
      <c r="L3" s="352"/>
    </row>
    <row r="4" spans="1:17" ht="21" thickBot="1">
      <c r="A4" s="352"/>
      <c r="C4" s="354"/>
      <c r="D4" s="352"/>
      <c r="E4" s="352"/>
      <c r="F4" s="352"/>
      <c r="G4" s="352"/>
      <c r="H4" s="352"/>
      <c r="I4" s="352"/>
      <c r="J4" s="352"/>
      <c r="K4" s="352"/>
      <c r="L4" s="352"/>
    </row>
    <row r="5" spans="1:17" ht="16" thickBot="1">
      <c r="A5" s="352"/>
      <c r="B5" s="355" t="s">
        <v>344</v>
      </c>
      <c r="C5" s="352" t="s">
        <v>1205</v>
      </c>
      <c r="D5" s="352"/>
      <c r="E5" s="352"/>
      <c r="F5" s="356">
        <f>'תקציב אגף בטחון פיקוח סד"צ 2019'!U11</f>
        <v>1660000</v>
      </c>
      <c r="I5" s="352"/>
      <c r="J5" s="352"/>
      <c r="K5" s="352"/>
      <c r="L5" s="352"/>
    </row>
    <row r="6" spans="1:17" ht="21" thickBot="1">
      <c r="A6" s="352"/>
      <c r="C6" s="354"/>
      <c r="D6" s="352"/>
      <c r="E6" s="352"/>
      <c r="F6" s="352"/>
      <c r="H6" s="352"/>
      <c r="I6" s="352"/>
      <c r="J6" s="352"/>
      <c r="K6" s="352"/>
      <c r="L6" s="352"/>
    </row>
    <row r="7" spans="1:17" ht="16" thickBot="1">
      <c r="B7" s="355" t="s">
        <v>344</v>
      </c>
      <c r="C7" s="352" t="s">
        <v>559</v>
      </c>
      <c r="D7" s="352"/>
      <c r="F7" s="364">
        <f>'תקציב אגף בטחון פיקוח סד"צ 2019'!A11</f>
        <v>5</v>
      </c>
      <c r="I7" s="352"/>
      <c r="J7" s="352"/>
      <c r="K7" s="352"/>
      <c r="L7" s="352"/>
      <c r="M7" s="352"/>
      <c r="N7" s="352"/>
      <c r="O7" s="352"/>
      <c r="P7" s="352"/>
      <c r="Q7" s="352"/>
    </row>
    <row r="8" spans="1:17" ht="15.5">
      <c r="B8" s="355"/>
      <c r="C8" s="352"/>
      <c r="D8" s="352"/>
      <c r="E8" s="352"/>
      <c r="F8" s="352"/>
      <c r="H8" s="352"/>
      <c r="I8" s="352"/>
      <c r="J8" s="352"/>
      <c r="K8" s="352"/>
      <c r="L8" s="352"/>
      <c r="M8" s="352"/>
      <c r="N8" s="352"/>
      <c r="O8" s="352"/>
      <c r="P8" s="352"/>
      <c r="Q8" s="352"/>
    </row>
    <row r="9" spans="1:17" ht="15.5">
      <c r="B9" s="355" t="s">
        <v>344</v>
      </c>
      <c r="C9" s="352" t="s">
        <v>547</v>
      </c>
      <c r="D9" s="352"/>
      <c r="E9" s="352"/>
      <c r="F9" s="352"/>
      <c r="G9" s="352"/>
      <c r="H9" s="352"/>
      <c r="I9" s="352"/>
      <c r="J9" s="352"/>
      <c r="K9" s="352"/>
      <c r="L9" s="352"/>
    </row>
    <row r="10" spans="1:17" ht="16" thickBot="1">
      <c r="B10" s="352"/>
      <c r="C10" s="352"/>
      <c r="D10" s="352"/>
      <c r="E10" s="352"/>
      <c r="F10" s="352"/>
      <c r="G10" s="352"/>
      <c r="H10" s="352"/>
      <c r="I10" s="352"/>
      <c r="J10" s="352"/>
      <c r="K10" s="352"/>
      <c r="L10" s="352"/>
      <c r="M10" s="352"/>
      <c r="N10" s="352"/>
      <c r="O10" s="352"/>
      <c r="P10" s="352"/>
      <c r="Q10" s="352"/>
    </row>
    <row r="11" spans="1:17" ht="15.5">
      <c r="D11" s="365" t="s">
        <v>548</v>
      </c>
      <c r="E11" s="366" t="s">
        <v>549</v>
      </c>
      <c r="F11" s="367" t="s">
        <v>551</v>
      </c>
      <c r="G11" s="352"/>
      <c r="H11" s="352"/>
      <c r="I11" s="352"/>
      <c r="J11" s="352"/>
      <c r="K11" s="352"/>
      <c r="L11" s="352"/>
      <c r="M11" s="352"/>
      <c r="N11" s="352"/>
      <c r="O11" s="352"/>
      <c r="P11" s="352"/>
      <c r="Q11" s="352"/>
    </row>
    <row r="12" spans="1:17" ht="15.5">
      <c r="C12" s="355"/>
      <c r="D12" s="359" t="s">
        <v>14</v>
      </c>
      <c r="E12" s="380">
        <f>'תקציב אגף בטחון פיקוח סד"צ 2019'!W11</f>
        <v>1660000</v>
      </c>
      <c r="F12" s="369">
        <f>E12/E13</f>
        <v>1</v>
      </c>
      <c r="G12" s="352"/>
      <c r="H12" s="352"/>
      <c r="I12" s="352"/>
      <c r="J12" s="352"/>
      <c r="K12" s="352"/>
      <c r="L12" s="352"/>
      <c r="M12" s="352"/>
      <c r="N12" s="352"/>
      <c r="O12" s="352"/>
      <c r="P12" s="352"/>
      <c r="Q12" s="352"/>
    </row>
    <row r="13" spans="1:17" ht="16" thickBot="1">
      <c r="C13" s="355"/>
      <c r="D13" s="362" t="s">
        <v>160</v>
      </c>
      <c r="E13" s="381">
        <f>SUM(E12)</f>
        <v>1660000</v>
      </c>
      <c r="F13" s="219">
        <f>SUM(F12)</f>
        <v>1</v>
      </c>
      <c r="G13" s="352"/>
      <c r="H13" s="352"/>
      <c r="I13" s="352"/>
      <c r="J13" s="352"/>
      <c r="K13" s="352"/>
      <c r="L13" s="352"/>
      <c r="M13" s="352"/>
      <c r="N13" s="352"/>
      <c r="O13" s="352"/>
      <c r="P13" s="352"/>
      <c r="Q13" s="352"/>
    </row>
    <row r="14" spans="1:17" ht="15.5">
      <c r="B14" s="355"/>
      <c r="C14" s="352"/>
      <c r="D14" s="352"/>
      <c r="E14" s="352"/>
      <c r="F14" s="352"/>
      <c r="G14" s="352"/>
      <c r="H14" s="352"/>
      <c r="I14" s="352"/>
      <c r="J14" s="352"/>
      <c r="K14" s="352"/>
      <c r="L14" s="352"/>
      <c r="M14" s="352"/>
      <c r="N14" s="352"/>
      <c r="O14" s="352"/>
      <c r="P14" s="352"/>
      <c r="Q14" s="352"/>
    </row>
    <row r="15" spans="1:17" ht="15.5">
      <c r="B15" s="355"/>
      <c r="C15" s="352"/>
      <c r="D15" s="352"/>
      <c r="F15" s="352"/>
      <c r="H15" s="361"/>
      <c r="I15" s="352"/>
      <c r="J15" s="352"/>
      <c r="K15" s="352"/>
      <c r="L15" s="352"/>
      <c r="M15" s="352"/>
      <c r="N15" s="352"/>
      <c r="O15" s="352"/>
      <c r="P15" s="352"/>
      <c r="Q15" s="352"/>
    </row>
    <row r="16" spans="1:17" ht="15.5">
      <c r="B16" s="355"/>
      <c r="C16" s="352"/>
      <c r="D16" s="352"/>
      <c r="E16" s="352"/>
      <c r="F16" s="352"/>
      <c r="G16" s="352"/>
      <c r="H16" s="352"/>
      <c r="I16" s="352"/>
      <c r="J16" s="352"/>
      <c r="K16" s="352"/>
      <c r="L16" s="352"/>
      <c r="M16" s="352"/>
      <c r="N16" s="352"/>
      <c r="O16" s="352"/>
      <c r="P16" s="352"/>
      <c r="Q16" s="352"/>
    </row>
    <row r="17" spans="2:17" ht="15.5">
      <c r="B17" s="355" t="s">
        <v>344</v>
      </c>
      <c r="C17" s="352" t="s">
        <v>1452</v>
      </c>
      <c r="D17" s="352"/>
      <c r="F17" s="352"/>
      <c r="H17" s="361"/>
      <c r="I17" s="352"/>
      <c r="J17" s="352"/>
      <c r="K17" s="352"/>
      <c r="L17" s="352"/>
      <c r="M17" s="352"/>
      <c r="N17" s="352"/>
      <c r="O17" s="352"/>
      <c r="P17" s="352"/>
      <c r="Q17" s="352"/>
    </row>
    <row r="18" spans="2:17" ht="15.5">
      <c r="B18" s="355"/>
      <c r="C18" s="352"/>
      <c r="D18" s="352"/>
      <c r="F18" s="352"/>
      <c r="H18" s="361"/>
      <c r="I18" s="352"/>
      <c r="J18" s="352"/>
      <c r="K18" s="352"/>
      <c r="L18" s="352"/>
      <c r="M18" s="352"/>
      <c r="N18" s="352"/>
      <c r="O18" s="352"/>
      <c r="P18" s="352"/>
      <c r="Q18" s="352"/>
    </row>
    <row r="19" spans="2:17" ht="15.5">
      <c r="B19" s="355"/>
      <c r="C19" s="352"/>
      <c r="D19" s="352"/>
      <c r="E19" s="352"/>
      <c r="F19" s="352"/>
      <c r="G19" s="352"/>
      <c r="H19" s="352"/>
      <c r="I19" s="352"/>
      <c r="J19" s="352"/>
      <c r="K19" s="352"/>
      <c r="L19" s="352"/>
      <c r="M19" s="352"/>
      <c r="N19" s="352"/>
      <c r="O19" s="352"/>
      <c r="P19" s="352"/>
      <c r="Q19" s="352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"/>
  <sheetViews>
    <sheetView showZeros="0" rightToLeft="1" zoomScaleNormal="100" workbookViewId="0">
      <pane xSplit="3" ySplit="4" topLeftCell="D5" activePane="bottomRight" state="frozen"/>
      <selection activeCell="T20" sqref="T20"/>
      <selection pane="topRight" activeCell="T20" sqref="T20"/>
      <selection pane="bottomLeft" activeCell="T20" sqref="T20"/>
      <selection pane="bottomRight" activeCell="T20" sqref="T20"/>
    </sheetView>
  </sheetViews>
  <sheetFormatPr defaultColWidth="9.1796875" defaultRowHeight="18"/>
  <cols>
    <col min="1" max="1" width="4.54296875" style="418" customWidth="1"/>
    <col min="2" max="2" width="5.453125" style="247" customWidth="1"/>
    <col min="3" max="3" width="29.26953125" style="247" customWidth="1"/>
    <col min="4" max="4" width="9.453125" style="248" customWidth="1"/>
    <col min="5" max="5" width="11" style="248" customWidth="1"/>
    <col min="6" max="6" width="9" style="248" customWidth="1"/>
    <col min="7" max="10" width="12.7265625" style="248" hidden="1" customWidth="1"/>
    <col min="11" max="11" width="11.26953125" style="248" hidden="1" customWidth="1"/>
    <col min="12" max="12" width="9.26953125" style="248" customWidth="1"/>
    <col min="13" max="13" width="7.26953125" style="248" customWidth="1"/>
    <col min="14" max="14" width="9.1796875" style="248" customWidth="1"/>
    <col min="15" max="15" width="7" style="248" customWidth="1"/>
    <col min="16" max="17" width="11.1796875" style="248" hidden="1" customWidth="1"/>
    <col min="18" max="19" width="12" style="248" hidden="1" customWidth="1"/>
    <col min="20" max="20" width="6.81640625" style="248" customWidth="1"/>
    <col min="21" max="21" width="9.453125" style="247" customWidth="1"/>
    <col min="22" max="22" width="7.54296875" style="247" hidden="1" customWidth="1"/>
    <col min="23" max="23" width="10.1796875" style="247" customWidth="1"/>
    <col min="24" max="24" width="5.7265625" style="247" hidden="1" customWidth="1"/>
    <col min="25" max="25" width="5.54296875" style="247" hidden="1" customWidth="1"/>
    <col min="26" max="26" width="6.54296875" style="247" hidden="1" customWidth="1"/>
    <col min="27" max="27" width="43" style="418" customWidth="1"/>
    <col min="28" max="28" width="7.81640625" style="247" hidden="1" customWidth="1"/>
    <col min="29" max="29" width="9.26953125" style="415" customWidth="1"/>
    <col min="30" max="30" width="12.7265625" style="415" customWidth="1"/>
    <col min="31" max="31" width="9.54296875" style="415" customWidth="1"/>
    <col min="32" max="32" width="9.1796875" style="247" customWidth="1"/>
    <col min="33" max="33" width="9.1796875" style="247"/>
    <col min="34" max="34" width="27" style="429" customWidth="1"/>
    <col min="35" max="16384" width="9.1796875" style="247"/>
  </cols>
  <sheetData>
    <row r="1" spans="1:34" s="416" customFormat="1">
      <c r="A1" s="414"/>
      <c r="B1" s="414"/>
      <c r="C1" s="414"/>
      <c r="D1" s="414"/>
      <c r="E1" s="414"/>
      <c r="F1" s="414"/>
      <c r="G1" s="414"/>
      <c r="H1" s="414"/>
      <c r="I1" s="414"/>
      <c r="J1" s="414"/>
      <c r="K1" s="414"/>
      <c r="L1" s="414"/>
      <c r="M1" s="414"/>
      <c r="N1" s="414"/>
      <c r="O1" s="414"/>
      <c r="P1" s="414"/>
      <c r="Q1" s="414"/>
      <c r="R1" s="414"/>
      <c r="S1" s="414"/>
      <c r="T1" s="414"/>
      <c r="U1" s="414"/>
      <c r="V1" s="414"/>
      <c r="W1" s="414"/>
      <c r="X1" s="414"/>
      <c r="Y1" s="414"/>
      <c r="Z1" s="414"/>
      <c r="AA1" s="415"/>
      <c r="AC1" s="415"/>
      <c r="AD1" s="415"/>
      <c r="AE1" s="415"/>
      <c r="AH1" s="429"/>
    </row>
    <row r="2" spans="1:34">
      <c r="A2" s="414" t="s">
        <v>235</v>
      </c>
      <c r="B2" s="414"/>
      <c r="C2" s="414"/>
      <c r="D2" s="414"/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414"/>
      <c r="R2" s="414"/>
      <c r="S2" s="414"/>
      <c r="T2" s="414"/>
      <c r="U2" s="414"/>
      <c r="V2" s="414"/>
      <c r="W2" s="414"/>
      <c r="X2" s="414"/>
      <c r="Y2" s="414"/>
      <c r="Z2" s="414"/>
    </row>
    <row r="4" spans="1:34" s="457" customFormat="1" ht="70">
      <c r="A4" s="283" t="s">
        <v>0</v>
      </c>
      <c r="B4" s="283" t="s">
        <v>1</v>
      </c>
      <c r="C4" s="283" t="s">
        <v>2</v>
      </c>
      <c r="D4" s="283" t="s">
        <v>3</v>
      </c>
      <c r="E4" s="283" t="s">
        <v>4</v>
      </c>
      <c r="F4" s="283" t="s">
        <v>5</v>
      </c>
      <c r="G4" s="283" t="s">
        <v>6</v>
      </c>
      <c r="H4" s="283" t="s">
        <v>7</v>
      </c>
      <c r="I4" s="283" t="s">
        <v>9</v>
      </c>
      <c r="J4" s="283" t="s">
        <v>318</v>
      </c>
      <c r="K4" s="283" t="s">
        <v>10</v>
      </c>
      <c r="L4" s="283" t="s">
        <v>11</v>
      </c>
      <c r="M4" s="11" t="s">
        <v>627</v>
      </c>
      <c r="N4" s="283" t="s">
        <v>628</v>
      </c>
      <c r="O4" s="283" t="s">
        <v>629</v>
      </c>
      <c r="P4" s="283" t="s">
        <v>12</v>
      </c>
      <c r="Q4" s="283" t="s">
        <v>630</v>
      </c>
      <c r="R4" s="283" t="s">
        <v>631</v>
      </c>
      <c r="S4" s="283" t="s">
        <v>632</v>
      </c>
      <c r="T4" s="283" t="s">
        <v>633</v>
      </c>
      <c r="U4" s="283" t="s">
        <v>634</v>
      </c>
      <c r="V4" s="283" t="s">
        <v>13</v>
      </c>
      <c r="W4" s="283" t="s">
        <v>14</v>
      </c>
      <c r="X4" s="283" t="s">
        <v>15</v>
      </c>
      <c r="Y4" s="283" t="s">
        <v>523</v>
      </c>
      <c r="Z4" s="283" t="s">
        <v>140</v>
      </c>
      <c r="AA4" s="19" t="s">
        <v>635</v>
      </c>
      <c r="AB4" s="283" t="s">
        <v>16</v>
      </c>
      <c r="AC4" s="415"/>
      <c r="AD4" s="415"/>
      <c r="AE4" s="415"/>
      <c r="AH4" s="429"/>
    </row>
    <row r="5" spans="1:34" s="258" customFormat="1" ht="18.75" customHeight="1">
      <c r="A5" s="254"/>
      <c r="B5" s="254"/>
      <c r="C5" s="254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Y5" s="255"/>
      <c r="Z5" s="254"/>
      <c r="AA5" s="427"/>
      <c r="AB5" s="254"/>
      <c r="AC5" s="415"/>
      <c r="AD5" s="415"/>
      <c r="AE5" s="415"/>
      <c r="AH5" s="429"/>
    </row>
    <row r="6" spans="1:34" s="258" customFormat="1" ht="35.15" customHeight="1">
      <c r="A6" s="254">
        <v>1</v>
      </c>
      <c r="B6" s="254">
        <v>1621</v>
      </c>
      <c r="C6" s="254" t="s">
        <v>82</v>
      </c>
      <c r="D6" s="255">
        <f>1950000+3000000-2650000</f>
        <v>2300000</v>
      </c>
      <c r="E6" s="255">
        <v>1950000</v>
      </c>
      <c r="F6" s="255">
        <f>D6-E6</f>
        <v>350000</v>
      </c>
      <c r="G6" s="255">
        <v>1800000</v>
      </c>
      <c r="H6" s="255">
        <v>1716864.69</v>
      </c>
      <c r="I6" s="255"/>
      <c r="J6" s="255">
        <v>83114.960000000006</v>
      </c>
      <c r="K6" s="255">
        <f>SUM(I6:J6)</f>
        <v>83114.960000000006</v>
      </c>
      <c r="L6" s="255">
        <f>H6+K6</f>
        <v>1799979.65</v>
      </c>
      <c r="M6" s="255">
        <f>P6+S6</f>
        <v>20.350000000093132</v>
      </c>
      <c r="N6" s="255">
        <f>1500000-1000000</f>
        <v>500000</v>
      </c>
      <c r="O6" s="255">
        <f>D6-L6-M6-N6</f>
        <v>0</v>
      </c>
      <c r="P6" s="255">
        <f>G6-L6</f>
        <v>20.350000000093132</v>
      </c>
      <c r="Q6" s="255"/>
      <c r="R6" s="255"/>
      <c r="S6" s="255">
        <f>SUM(Q6:R6)</f>
        <v>0</v>
      </c>
      <c r="T6" s="255">
        <f>P6-M6+S6</f>
        <v>0</v>
      </c>
      <c r="U6" s="255">
        <f>N6-T6</f>
        <v>500000</v>
      </c>
      <c r="V6" s="255"/>
      <c r="W6" s="255">
        <f>U6-V6-Y6-Z6</f>
        <v>500000</v>
      </c>
      <c r="X6" s="255"/>
      <c r="Y6" s="255"/>
      <c r="Z6" s="254"/>
      <c r="AA6" s="428" t="s">
        <v>1524</v>
      </c>
      <c r="AB6" s="254">
        <v>723000</v>
      </c>
      <c r="AC6" s="415"/>
      <c r="AD6" s="415"/>
      <c r="AE6" s="415"/>
      <c r="AG6" s="561"/>
      <c r="AH6" s="429"/>
    </row>
    <row r="7" spans="1:34" s="258" customFormat="1" ht="35.15" customHeight="1">
      <c r="A7" s="254">
        <f>A6+1</f>
        <v>2</v>
      </c>
      <c r="B7" s="254">
        <v>1858</v>
      </c>
      <c r="C7" s="254" t="s">
        <v>234</v>
      </c>
      <c r="D7" s="255">
        <f>75000-40000</f>
        <v>35000</v>
      </c>
      <c r="E7" s="255">
        <v>75000</v>
      </c>
      <c r="F7" s="255">
        <f>D7-E7</f>
        <v>-40000</v>
      </c>
      <c r="G7" s="255">
        <v>75000</v>
      </c>
      <c r="H7" s="255">
        <v>29836</v>
      </c>
      <c r="I7" s="255"/>
      <c r="J7" s="255"/>
      <c r="K7" s="255">
        <f>SUM(I7:J7)</f>
        <v>0</v>
      </c>
      <c r="L7" s="255">
        <f>H7+K7</f>
        <v>29836</v>
      </c>
      <c r="M7" s="255">
        <f>P7+S7-40000</f>
        <v>5164</v>
      </c>
      <c r="N7" s="255"/>
      <c r="O7" s="255">
        <f>D7-L7-M7-N7</f>
        <v>0</v>
      </c>
      <c r="P7" s="255">
        <f>G7-L7</f>
        <v>45164</v>
      </c>
      <c r="Q7" s="255"/>
      <c r="R7" s="255"/>
      <c r="S7" s="255">
        <f>SUM(Q7:R7)</f>
        <v>0</v>
      </c>
      <c r="T7" s="255">
        <f>P7-M7+S7</f>
        <v>40000</v>
      </c>
      <c r="U7" s="255">
        <f>N7-T7</f>
        <v>-40000</v>
      </c>
      <c r="V7" s="255"/>
      <c r="W7" s="255">
        <f>U7-V7-Y7-Z7</f>
        <v>-40000</v>
      </c>
      <c r="X7" s="255"/>
      <c r="Y7" s="255"/>
      <c r="Z7" s="254"/>
      <c r="AA7" s="255"/>
      <c r="AB7" s="254">
        <v>720000</v>
      </c>
      <c r="AC7" s="415"/>
      <c r="AD7" s="415"/>
      <c r="AE7" s="415"/>
      <c r="AG7" s="561"/>
      <c r="AH7" s="429"/>
    </row>
    <row r="8" spans="1:34" s="258" customFormat="1" ht="35.15" customHeight="1">
      <c r="A8" s="254">
        <f>A7+1</f>
        <v>3</v>
      </c>
      <c r="B8" s="254">
        <v>2005</v>
      </c>
      <c r="C8" s="280" t="s">
        <v>329</v>
      </c>
      <c r="D8" s="255">
        <v>300000</v>
      </c>
      <c r="E8" s="255">
        <v>200000</v>
      </c>
      <c r="F8" s="255">
        <f>D8-E8</f>
        <v>100000</v>
      </c>
      <c r="G8" s="255">
        <v>200000</v>
      </c>
      <c r="H8" s="255">
        <v>130263.57</v>
      </c>
      <c r="I8" s="255"/>
      <c r="J8" s="255">
        <v>52167</v>
      </c>
      <c r="K8" s="255">
        <f>SUM(I8:J8)</f>
        <v>52167</v>
      </c>
      <c r="L8" s="255">
        <f>H8+K8</f>
        <v>182430.57</v>
      </c>
      <c r="M8" s="255">
        <f>P8+S8</f>
        <v>17569.429999999993</v>
      </c>
      <c r="N8" s="255">
        <v>100000</v>
      </c>
      <c r="O8" s="255">
        <f>D8-L8-M8-N8</f>
        <v>0</v>
      </c>
      <c r="P8" s="255">
        <f>G8-L8</f>
        <v>17569.429999999993</v>
      </c>
      <c r="Q8" s="255"/>
      <c r="R8" s="255"/>
      <c r="S8" s="255">
        <f>SUM(Q8:R8)</f>
        <v>0</v>
      </c>
      <c r="T8" s="255">
        <f>P8-M8+S8</f>
        <v>0</v>
      </c>
      <c r="U8" s="255">
        <f>N8-T8</f>
        <v>100000</v>
      </c>
      <c r="V8" s="255"/>
      <c r="W8" s="255">
        <f>U8-V8-Y8-Z8</f>
        <v>100000</v>
      </c>
      <c r="X8" s="255"/>
      <c r="Y8" s="255"/>
      <c r="Z8" s="254"/>
      <c r="AA8" s="428" t="s">
        <v>1451</v>
      </c>
      <c r="AB8" s="254">
        <v>720000</v>
      </c>
      <c r="AC8" s="415"/>
      <c r="AD8" s="415"/>
      <c r="AE8" s="415"/>
      <c r="AG8" s="561"/>
      <c r="AH8" s="429"/>
    </row>
    <row r="9" spans="1:34" s="258" customFormat="1" ht="35.15" customHeight="1">
      <c r="A9" s="254">
        <f>A8+1</f>
        <v>4</v>
      </c>
      <c r="B9" s="434">
        <v>2093</v>
      </c>
      <c r="C9" s="280" t="s">
        <v>775</v>
      </c>
      <c r="D9" s="255">
        <v>100000</v>
      </c>
      <c r="E9" s="255"/>
      <c r="F9" s="255">
        <f>D9-E9</f>
        <v>100000</v>
      </c>
      <c r="G9" s="255"/>
      <c r="H9" s="255"/>
      <c r="I9" s="255"/>
      <c r="J9" s="255"/>
      <c r="K9" s="255">
        <f>SUM(I9:J9)</f>
        <v>0</v>
      </c>
      <c r="L9" s="255">
        <f>H9+K9</f>
        <v>0</v>
      </c>
      <c r="M9" s="255">
        <f>P9+S9</f>
        <v>0</v>
      </c>
      <c r="N9" s="255">
        <v>100000</v>
      </c>
      <c r="O9" s="255">
        <f>D9-L9-M9-N9</f>
        <v>0</v>
      </c>
      <c r="P9" s="255">
        <f>G9-L9</f>
        <v>0</v>
      </c>
      <c r="Q9" s="255"/>
      <c r="R9" s="255"/>
      <c r="S9" s="255">
        <f>SUM(Q9:R9)</f>
        <v>0</v>
      </c>
      <c r="T9" s="255">
        <f>P9-M9+S9</f>
        <v>0</v>
      </c>
      <c r="U9" s="255">
        <f>N9-T9</f>
        <v>100000</v>
      </c>
      <c r="V9" s="255"/>
      <c r="W9" s="255">
        <f>U9-V9-Y9-Z9</f>
        <v>100000</v>
      </c>
      <c r="X9" s="255"/>
      <c r="Y9" s="255"/>
      <c r="Z9" s="254"/>
      <c r="AA9" s="463" t="s">
        <v>1135</v>
      </c>
      <c r="AB9" s="254">
        <v>720000</v>
      </c>
      <c r="AC9" s="415"/>
      <c r="AD9" s="415"/>
      <c r="AE9" s="415"/>
      <c r="AH9" s="429"/>
    </row>
    <row r="10" spans="1:34" s="258" customFormat="1" ht="70">
      <c r="A10" s="254">
        <f>A9+1</f>
        <v>5</v>
      </c>
      <c r="B10" s="434">
        <v>2094</v>
      </c>
      <c r="C10" s="280" t="s">
        <v>776</v>
      </c>
      <c r="D10" s="255">
        <f>1500000-500000</f>
        <v>1000000</v>
      </c>
      <c r="E10" s="255"/>
      <c r="F10" s="255">
        <f>D10-E10</f>
        <v>1000000</v>
      </c>
      <c r="G10" s="255"/>
      <c r="H10" s="255"/>
      <c r="I10" s="255"/>
      <c r="J10" s="255"/>
      <c r="K10" s="255">
        <f>SUM(I10:J10)</f>
        <v>0</v>
      </c>
      <c r="L10" s="255">
        <f>H10+K10</f>
        <v>0</v>
      </c>
      <c r="M10" s="255">
        <f>P10+S10</f>
        <v>0</v>
      </c>
      <c r="N10" s="255">
        <v>1000000</v>
      </c>
      <c r="O10" s="255">
        <f>D10-L10-M10-N10</f>
        <v>0</v>
      </c>
      <c r="P10" s="255">
        <f>G10-L10</f>
        <v>0</v>
      </c>
      <c r="Q10" s="255"/>
      <c r="R10" s="255"/>
      <c r="S10" s="255">
        <f>SUM(Q10:R10)</f>
        <v>0</v>
      </c>
      <c r="T10" s="255">
        <f>P10-M10+S10</f>
        <v>0</v>
      </c>
      <c r="U10" s="255">
        <f>N10-T10</f>
        <v>1000000</v>
      </c>
      <c r="V10" s="255"/>
      <c r="W10" s="255">
        <f>U10-V10-Y10-Z10</f>
        <v>1000000</v>
      </c>
      <c r="X10" s="255"/>
      <c r="Y10" s="255"/>
      <c r="Z10" s="254"/>
      <c r="AA10" s="428" t="s">
        <v>1136</v>
      </c>
      <c r="AB10" s="254">
        <v>720000</v>
      </c>
      <c r="AC10" s="415"/>
      <c r="AD10" s="415"/>
      <c r="AE10" s="415"/>
      <c r="AH10" s="429"/>
    </row>
    <row r="11" spans="1:34" s="259" customFormat="1" ht="18.75" customHeight="1">
      <c r="A11" s="260">
        <f>A10</f>
        <v>5</v>
      </c>
      <c r="B11" s="260"/>
      <c r="C11" s="260" t="s">
        <v>1195</v>
      </c>
      <c r="D11" s="262">
        <f t="shared" ref="D11:Z11" si="0">SUM(D6:D10)</f>
        <v>3735000</v>
      </c>
      <c r="E11" s="262">
        <f t="shared" si="0"/>
        <v>2225000</v>
      </c>
      <c r="F11" s="262">
        <f t="shared" si="0"/>
        <v>1510000</v>
      </c>
      <c r="G11" s="262">
        <f t="shared" si="0"/>
        <v>2075000</v>
      </c>
      <c r="H11" s="262">
        <f t="shared" si="0"/>
        <v>1876964.26</v>
      </c>
      <c r="I11" s="262">
        <f t="shared" si="0"/>
        <v>0</v>
      </c>
      <c r="J11" s="262">
        <f t="shared" si="0"/>
        <v>135281.96000000002</v>
      </c>
      <c r="K11" s="262">
        <f t="shared" si="0"/>
        <v>135281.96000000002</v>
      </c>
      <c r="L11" s="262">
        <f t="shared" si="0"/>
        <v>2012246.22</v>
      </c>
      <c r="M11" s="262">
        <f t="shared" si="0"/>
        <v>22753.780000000086</v>
      </c>
      <c r="N11" s="262">
        <f t="shared" si="0"/>
        <v>1700000</v>
      </c>
      <c r="O11" s="262">
        <f t="shared" si="0"/>
        <v>0</v>
      </c>
      <c r="P11" s="262">
        <f t="shared" si="0"/>
        <v>62753.780000000086</v>
      </c>
      <c r="Q11" s="262">
        <f t="shared" si="0"/>
        <v>0</v>
      </c>
      <c r="R11" s="262">
        <f t="shared" si="0"/>
        <v>0</v>
      </c>
      <c r="S11" s="262">
        <f t="shared" si="0"/>
        <v>0</v>
      </c>
      <c r="T11" s="262">
        <f t="shared" si="0"/>
        <v>40000</v>
      </c>
      <c r="U11" s="262">
        <f t="shared" si="0"/>
        <v>1660000</v>
      </c>
      <c r="V11" s="262">
        <f t="shared" si="0"/>
        <v>0</v>
      </c>
      <c r="W11" s="262">
        <f t="shared" si="0"/>
        <v>1660000</v>
      </c>
      <c r="X11" s="262">
        <f t="shared" si="0"/>
        <v>0</v>
      </c>
      <c r="Y11" s="262">
        <f t="shared" si="0"/>
        <v>0</v>
      </c>
      <c r="Z11" s="262">
        <f t="shared" si="0"/>
        <v>0</v>
      </c>
      <c r="AA11" s="262"/>
      <c r="AB11" s="260"/>
      <c r="AC11" s="415"/>
      <c r="AD11" s="415"/>
      <c r="AE11" s="415"/>
      <c r="AG11" s="258"/>
      <c r="AH11" s="429"/>
    </row>
    <row r="12" spans="1:34" s="429" customFormat="1" hidden="1">
      <c r="B12" s="437"/>
      <c r="C12" s="437"/>
      <c r="D12" s="438"/>
      <c r="E12" s="438"/>
      <c r="F12" s="438"/>
      <c r="G12" s="438"/>
      <c r="H12" s="438"/>
      <c r="I12" s="438"/>
      <c r="J12" s="438"/>
      <c r="K12" s="438"/>
      <c r="L12" s="24">
        <f>H11+K11</f>
        <v>2012246.22</v>
      </c>
      <c r="M12" s="24">
        <f>P11+S11-T11</f>
        <v>22753.780000000086</v>
      </c>
      <c r="N12" s="51"/>
      <c r="O12" s="27"/>
      <c r="P12" s="24">
        <f>G11-L11</f>
        <v>62753.780000000028</v>
      </c>
      <c r="Q12" s="27"/>
      <c r="R12" s="27"/>
      <c r="S12" s="27"/>
      <c r="T12" s="27"/>
      <c r="U12" s="24">
        <f>N11-T11</f>
        <v>1660000</v>
      </c>
      <c r="V12" s="52"/>
      <c r="W12" s="52"/>
      <c r="X12" s="52"/>
      <c r="Y12" s="52"/>
      <c r="Z12" s="52"/>
      <c r="AA12" s="418"/>
      <c r="AC12" s="415"/>
      <c r="AD12" s="415"/>
      <c r="AE12" s="415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"/>
  <sheetViews>
    <sheetView showZeros="0" rightToLeft="1" zoomScaleNormal="100" workbookViewId="0">
      <pane xSplit="3" ySplit="4" topLeftCell="D5" activePane="bottomRight" state="frozen"/>
      <selection activeCell="C42" sqref="C42"/>
      <selection pane="topRight" activeCell="C42" sqref="C42"/>
      <selection pane="bottomLeft" activeCell="C42" sqref="C42"/>
      <selection pane="bottomRight" activeCell="C42" sqref="C42"/>
    </sheetView>
  </sheetViews>
  <sheetFormatPr defaultColWidth="9.1796875" defaultRowHeight="18"/>
  <cols>
    <col min="1" max="1" width="4.54296875" style="418" customWidth="1"/>
    <col min="2" max="2" width="5.453125" style="247" customWidth="1"/>
    <col min="3" max="3" width="29.26953125" style="247" customWidth="1"/>
    <col min="4" max="4" width="9.453125" style="248" customWidth="1"/>
    <col min="5" max="5" width="11" style="248" hidden="1" customWidth="1"/>
    <col min="6" max="6" width="9" style="248" hidden="1" customWidth="1"/>
    <col min="7" max="10" width="12.7265625" style="248" hidden="1" customWidth="1"/>
    <col min="11" max="11" width="11.26953125" style="248" hidden="1" customWidth="1"/>
    <col min="12" max="12" width="9.26953125" style="248" customWidth="1"/>
    <col min="13" max="13" width="7.26953125" style="248" customWidth="1"/>
    <col min="14" max="15" width="9.1796875" style="248" customWidth="1"/>
    <col min="16" max="17" width="11.1796875" style="248" hidden="1" customWidth="1"/>
    <col min="18" max="19" width="12" style="248" hidden="1" customWidth="1"/>
    <col min="20" max="20" width="6.81640625" style="248" customWidth="1"/>
    <col min="21" max="21" width="9.453125" style="247" customWidth="1"/>
    <col min="22" max="22" width="7.54296875" style="247" customWidth="1"/>
    <col min="23" max="23" width="10.1796875" style="247" customWidth="1"/>
    <col min="24" max="25" width="7.1796875" style="247" customWidth="1"/>
    <col min="26" max="26" width="10.453125" style="247" customWidth="1"/>
    <col min="27" max="27" width="26.7265625" style="420" hidden="1" customWidth="1"/>
    <col min="28" max="28" width="7.81640625" style="247" customWidth="1"/>
    <col min="29" max="29" width="9.26953125" style="415" customWidth="1"/>
    <col min="30" max="30" width="12.7265625" style="415" customWidth="1"/>
    <col min="31" max="31" width="9.54296875" style="415" customWidth="1"/>
    <col min="32" max="32" width="9.1796875" style="247" customWidth="1"/>
    <col min="33" max="33" width="9.1796875" style="247"/>
    <col min="34" max="34" width="27" style="429" customWidth="1"/>
    <col min="35" max="16384" width="9.1796875" style="247"/>
  </cols>
  <sheetData>
    <row r="1" spans="1:34" s="416" customFormat="1">
      <c r="A1" s="414"/>
      <c r="B1" s="414"/>
      <c r="C1" s="414"/>
      <c r="D1" s="414"/>
      <c r="E1" s="414"/>
      <c r="F1" s="414"/>
      <c r="G1" s="414"/>
      <c r="H1" s="414"/>
      <c r="I1" s="414"/>
      <c r="J1" s="414"/>
      <c r="K1" s="414"/>
      <c r="L1" s="414"/>
      <c r="M1" s="414"/>
      <c r="N1" s="414"/>
      <c r="O1" s="414"/>
      <c r="P1" s="414"/>
      <c r="Q1" s="414"/>
      <c r="R1" s="414"/>
      <c r="S1" s="414"/>
      <c r="T1" s="414"/>
      <c r="U1" s="414"/>
      <c r="V1" s="414"/>
      <c r="W1" s="414"/>
      <c r="X1" s="414"/>
      <c r="Y1" s="414"/>
      <c r="Z1" s="414"/>
      <c r="AA1" s="610"/>
      <c r="AC1" s="415"/>
      <c r="AD1" s="415"/>
      <c r="AE1" s="415"/>
      <c r="AH1" s="429"/>
    </row>
    <row r="2" spans="1:34">
      <c r="A2" s="414" t="s">
        <v>235</v>
      </c>
      <c r="B2" s="414"/>
      <c r="C2" s="414"/>
      <c r="D2" s="414"/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414"/>
      <c r="R2" s="414"/>
      <c r="S2" s="414"/>
      <c r="T2" s="414"/>
      <c r="U2" s="414"/>
      <c r="V2" s="414"/>
      <c r="W2" s="414"/>
      <c r="X2" s="414"/>
      <c r="Y2" s="414"/>
      <c r="Z2" s="414"/>
    </row>
    <row r="4" spans="1:34" s="457" customFormat="1" ht="70">
      <c r="A4" s="283" t="s">
        <v>0</v>
      </c>
      <c r="B4" s="283" t="s">
        <v>1</v>
      </c>
      <c r="C4" s="283" t="s">
        <v>2</v>
      </c>
      <c r="D4" s="283" t="s">
        <v>3</v>
      </c>
      <c r="E4" s="283" t="s">
        <v>4</v>
      </c>
      <c r="F4" s="283" t="s">
        <v>5</v>
      </c>
      <c r="G4" s="283" t="s">
        <v>6</v>
      </c>
      <c r="H4" s="283" t="s">
        <v>7</v>
      </c>
      <c r="I4" s="283" t="s">
        <v>9</v>
      </c>
      <c r="J4" s="283" t="s">
        <v>318</v>
      </c>
      <c r="K4" s="283" t="s">
        <v>10</v>
      </c>
      <c r="L4" s="283" t="s">
        <v>11</v>
      </c>
      <c r="M4" s="11" t="s">
        <v>627</v>
      </c>
      <c r="N4" s="283" t="s">
        <v>628</v>
      </c>
      <c r="O4" s="283" t="s">
        <v>629</v>
      </c>
      <c r="P4" s="283" t="s">
        <v>12</v>
      </c>
      <c r="Q4" s="283" t="s">
        <v>630</v>
      </c>
      <c r="R4" s="283" t="s">
        <v>631</v>
      </c>
      <c r="S4" s="283" t="s">
        <v>632</v>
      </c>
      <c r="T4" s="283" t="s">
        <v>633</v>
      </c>
      <c r="U4" s="283" t="s">
        <v>634</v>
      </c>
      <c r="V4" s="455" t="s">
        <v>13</v>
      </c>
      <c r="W4" s="283" t="s">
        <v>14</v>
      </c>
      <c r="X4" s="456" t="s">
        <v>15</v>
      </c>
      <c r="Y4" s="456" t="s">
        <v>523</v>
      </c>
      <c r="Z4" s="283" t="s">
        <v>140</v>
      </c>
      <c r="AA4" s="19" t="s">
        <v>635</v>
      </c>
      <c r="AB4" s="283" t="s">
        <v>16</v>
      </c>
      <c r="AC4" s="415"/>
      <c r="AD4" s="415"/>
      <c r="AE4" s="415"/>
      <c r="AH4" s="429"/>
    </row>
    <row r="5" spans="1:34" s="258" customFormat="1" ht="18.75" customHeight="1">
      <c r="A5" s="254"/>
      <c r="B5" s="254"/>
      <c r="C5" s="254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458"/>
      <c r="W5" s="255"/>
      <c r="X5" s="459"/>
      <c r="Y5" s="459"/>
      <c r="Z5" s="254"/>
      <c r="AA5" s="617"/>
      <c r="AB5" s="254"/>
      <c r="AC5" s="415"/>
      <c r="AD5" s="415"/>
      <c r="AE5" s="415"/>
      <c r="AH5" s="429"/>
    </row>
    <row r="6" spans="1:34" s="258" customFormat="1" ht="28">
      <c r="A6" s="254">
        <v>1</v>
      </c>
      <c r="B6" s="254">
        <v>1621</v>
      </c>
      <c r="C6" s="254" t="s">
        <v>82</v>
      </c>
      <c r="D6" s="255">
        <f>'תקציב אגף בטחון פיקוח סד"צ 2019'!D6</f>
        <v>2300000</v>
      </c>
      <c r="E6" s="255">
        <f>'תקציב אגף בטחון פיקוח סד"צ 2019'!E6</f>
        <v>1950000</v>
      </c>
      <c r="F6" s="255">
        <f>'תקציב אגף בטחון פיקוח סד"צ 2019'!F6</f>
        <v>350000</v>
      </c>
      <c r="G6" s="255">
        <f>'תקציב אגף בטחון פיקוח סד"צ 2019'!G6</f>
        <v>1800000</v>
      </c>
      <c r="H6" s="255">
        <f>'תקציב אגף בטחון פיקוח סד"צ 2019'!H6</f>
        <v>1716864.69</v>
      </c>
      <c r="I6" s="255">
        <f>'תקציב אגף בטחון פיקוח סד"צ 2019'!I6</f>
        <v>0</v>
      </c>
      <c r="J6" s="255">
        <f>'תקציב אגף בטחון פיקוח סד"צ 2019'!J6</f>
        <v>83114.960000000006</v>
      </c>
      <c r="K6" s="255">
        <f>'תקציב אגף בטחון פיקוח סד"צ 2019'!K6</f>
        <v>83114.960000000006</v>
      </c>
      <c r="L6" s="255">
        <f>'תקציב אגף בטחון פיקוח סד"צ 2019'!L6</f>
        <v>1799979.65</v>
      </c>
      <c r="M6" s="255">
        <f>'תקציב אגף בטחון פיקוח סד"צ 2019'!M6</f>
        <v>20.350000000093132</v>
      </c>
      <c r="N6" s="255">
        <f>'תקציב אגף בטחון פיקוח סד"צ 2019'!N6</f>
        <v>500000</v>
      </c>
      <c r="O6" s="255">
        <f>'תקציב אגף בטחון פיקוח סד"צ 2019'!O6</f>
        <v>0</v>
      </c>
      <c r="P6" s="255">
        <f>'תקציב אגף בטחון פיקוח סד"צ 2019'!P6</f>
        <v>20.350000000093132</v>
      </c>
      <c r="Q6" s="255">
        <f>'תקציב אגף בטחון פיקוח סד"צ 2019'!Q6</f>
        <v>0</v>
      </c>
      <c r="R6" s="255">
        <f>'תקציב אגף בטחון פיקוח סד"צ 2019'!R6</f>
        <v>0</v>
      </c>
      <c r="S6" s="255">
        <f>'תקציב אגף בטחון פיקוח סד"צ 2019'!S6</f>
        <v>0</v>
      </c>
      <c r="T6" s="255">
        <f>'תקציב אגף בטחון פיקוח סד"צ 2019'!T6</f>
        <v>0</v>
      </c>
      <c r="U6" s="255">
        <f>'תקציב אגף בטחון פיקוח סד"צ 2019'!U6</f>
        <v>500000</v>
      </c>
      <c r="V6" s="255">
        <f>'תקציב אגף בטחון פיקוח סד"צ 2019'!V6</f>
        <v>0</v>
      </c>
      <c r="W6" s="255">
        <f>'תקציב אגף בטחון פיקוח סד"צ 2019'!W6</f>
        <v>500000</v>
      </c>
      <c r="X6" s="255">
        <f>'תקציב אגף בטחון פיקוח סד"צ 2019'!X6</f>
        <v>0</v>
      </c>
      <c r="Y6" s="255">
        <f>'תקציב אגף בטחון פיקוח סד"צ 2019'!Y6</f>
        <v>0</v>
      </c>
      <c r="Z6" s="255">
        <f>'תקציב אגף בטחון פיקוח סד"צ 2019'!Z6</f>
        <v>0</v>
      </c>
      <c r="AA6" s="428" t="str">
        <f>'תקציב אגף בטחון פיקוח סד"צ 2019'!AA6</f>
        <v>סל עבודות איטום מקלטים  עפ"י תוכנית.</v>
      </c>
      <c r="AB6" s="254">
        <f>'תקציב אגף בטחון פיקוח סד"צ 2019'!AB6</f>
        <v>723000</v>
      </c>
      <c r="AC6" s="415"/>
      <c r="AD6" s="415"/>
      <c r="AE6" s="415"/>
      <c r="AG6" s="561"/>
      <c r="AH6" s="429"/>
    </row>
    <row r="7" spans="1:34" s="258" customFormat="1">
      <c r="A7" s="254">
        <f>A6+1</f>
        <v>2</v>
      </c>
      <c r="B7" s="254">
        <v>1858</v>
      </c>
      <c r="C7" s="254" t="s">
        <v>234</v>
      </c>
      <c r="D7" s="255">
        <f>'תקציב אגף בטחון פיקוח סד"צ 2019'!D7</f>
        <v>35000</v>
      </c>
      <c r="E7" s="255">
        <f>'תקציב אגף בטחון פיקוח סד"צ 2019'!E7</f>
        <v>75000</v>
      </c>
      <c r="F7" s="255">
        <f>'תקציב אגף בטחון פיקוח סד"צ 2019'!F7</f>
        <v>-40000</v>
      </c>
      <c r="G7" s="255">
        <f>'תקציב אגף בטחון פיקוח סד"צ 2019'!G7</f>
        <v>75000</v>
      </c>
      <c r="H7" s="255">
        <f>'תקציב אגף בטחון פיקוח סד"צ 2019'!H7</f>
        <v>29836</v>
      </c>
      <c r="I7" s="255">
        <f>'תקציב אגף בטחון פיקוח סד"צ 2019'!I7</f>
        <v>0</v>
      </c>
      <c r="J7" s="255">
        <f>'תקציב אגף בטחון פיקוח סד"צ 2019'!J7</f>
        <v>0</v>
      </c>
      <c r="K7" s="255">
        <f>'תקציב אגף בטחון פיקוח סד"צ 2019'!K7</f>
        <v>0</v>
      </c>
      <c r="L7" s="255">
        <f>'תקציב אגף בטחון פיקוח סד"צ 2019'!L7</f>
        <v>29836</v>
      </c>
      <c r="M7" s="255">
        <f>'תקציב אגף בטחון פיקוח סד"צ 2019'!M7</f>
        <v>5164</v>
      </c>
      <c r="N7" s="255">
        <f>'תקציב אגף בטחון פיקוח סד"צ 2019'!N7</f>
        <v>0</v>
      </c>
      <c r="O7" s="255">
        <f>'תקציב אגף בטחון פיקוח סד"צ 2019'!O7</f>
        <v>0</v>
      </c>
      <c r="P7" s="255">
        <f>'תקציב אגף בטחון פיקוח סד"צ 2019'!P7</f>
        <v>45164</v>
      </c>
      <c r="Q7" s="255">
        <f>'תקציב אגף בטחון פיקוח סד"צ 2019'!Q7</f>
        <v>0</v>
      </c>
      <c r="R7" s="255">
        <f>'תקציב אגף בטחון פיקוח סד"צ 2019'!R7</f>
        <v>0</v>
      </c>
      <c r="S7" s="255">
        <f>'תקציב אגף בטחון פיקוח סד"צ 2019'!S7</f>
        <v>0</v>
      </c>
      <c r="T7" s="255">
        <f>'תקציב אגף בטחון פיקוח סד"צ 2019'!T7</f>
        <v>40000</v>
      </c>
      <c r="U7" s="255">
        <f>'תקציב אגף בטחון פיקוח סד"צ 2019'!U7</f>
        <v>-40000</v>
      </c>
      <c r="V7" s="255">
        <f>'תקציב אגף בטחון פיקוח סד"צ 2019'!V7</f>
        <v>0</v>
      </c>
      <c r="W7" s="255">
        <f>'תקציב אגף בטחון פיקוח סד"צ 2019'!W7</f>
        <v>-40000</v>
      </c>
      <c r="X7" s="255">
        <f>'תקציב אגף בטחון פיקוח סד"צ 2019'!X7</f>
        <v>0</v>
      </c>
      <c r="Y7" s="255">
        <f>'תקציב אגף בטחון פיקוח סד"צ 2019'!Y7</f>
        <v>0</v>
      </c>
      <c r="Z7" s="255">
        <f>'תקציב אגף בטחון פיקוח סד"צ 2019'!Z7</f>
        <v>0</v>
      </c>
      <c r="AA7" s="428">
        <f>'תקציב אגף בטחון פיקוח סד"צ 2019'!AA7</f>
        <v>0</v>
      </c>
      <c r="AB7" s="254">
        <f>'תקציב אגף בטחון פיקוח סד"צ 2019'!AB7</f>
        <v>720000</v>
      </c>
      <c r="AC7" s="415"/>
      <c r="AD7" s="415"/>
      <c r="AE7" s="415"/>
      <c r="AG7" s="561"/>
      <c r="AH7" s="429"/>
    </row>
    <row r="8" spans="1:34" s="258" customFormat="1" ht="31">
      <c r="A8" s="254">
        <f>A7+1</f>
        <v>3</v>
      </c>
      <c r="B8" s="254">
        <v>2005</v>
      </c>
      <c r="C8" s="280" t="s">
        <v>329</v>
      </c>
      <c r="D8" s="255">
        <f>'תקציב אגף בטחון פיקוח סד"צ 2019'!D8</f>
        <v>300000</v>
      </c>
      <c r="E8" s="255">
        <f>'תקציב אגף בטחון פיקוח סד"צ 2019'!E8</f>
        <v>200000</v>
      </c>
      <c r="F8" s="255">
        <f>'תקציב אגף בטחון פיקוח סד"צ 2019'!F8</f>
        <v>100000</v>
      </c>
      <c r="G8" s="255">
        <f>'תקציב אגף בטחון פיקוח סד"צ 2019'!G8</f>
        <v>200000</v>
      </c>
      <c r="H8" s="255">
        <f>'תקציב אגף בטחון פיקוח סד"צ 2019'!H8</f>
        <v>130263.57</v>
      </c>
      <c r="I8" s="255">
        <f>'תקציב אגף בטחון פיקוח סד"צ 2019'!I8</f>
        <v>0</v>
      </c>
      <c r="J8" s="255">
        <f>'תקציב אגף בטחון פיקוח סד"צ 2019'!J8</f>
        <v>52167</v>
      </c>
      <c r="K8" s="255">
        <f>'תקציב אגף בטחון פיקוח סד"צ 2019'!K8</f>
        <v>52167</v>
      </c>
      <c r="L8" s="255">
        <f>'תקציב אגף בטחון פיקוח סד"צ 2019'!L8</f>
        <v>182430.57</v>
      </c>
      <c r="M8" s="255">
        <f>'תקציב אגף בטחון פיקוח סד"צ 2019'!M8</f>
        <v>17569.429999999993</v>
      </c>
      <c r="N8" s="255">
        <f>'תקציב אגף בטחון פיקוח סד"צ 2019'!N8</f>
        <v>100000</v>
      </c>
      <c r="O8" s="255">
        <f>'תקציב אגף בטחון פיקוח סד"צ 2019'!O8</f>
        <v>0</v>
      </c>
      <c r="P8" s="255">
        <f>'תקציב אגף בטחון פיקוח סד"צ 2019'!P8</f>
        <v>17569.429999999993</v>
      </c>
      <c r="Q8" s="255">
        <f>'תקציב אגף בטחון פיקוח סד"צ 2019'!Q8</f>
        <v>0</v>
      </c>
      <c r="R8" s="255">
        <f>'תקציב אגף בטחון פיקוח סד"צ 2019'!R8</f>
        <v>0</v>
      </c>
      <c r="S8" s="255">
        <f>'תקציב אגף בטחון פיקוח סד"צ 2019'!S8</f>
        <v>0</v>
      </c>
      <c r="T8" s="255">
        <f>'תקציב אגף בטחון פיקוח סד"צ 2019'!T8</f>
        <v>0</v>
      </c>
      <c r="U8" s="255">
        <f>'תקציב אגף בטחון פיקוח סד"צ 2019'!U8</f>
        <v>100000</v>
      </c>
      <c r="V8" s="255">
        <f>'תקציב אגף בטחון פיקוח סד"צ 2019'!V8</f>
        <v>0</v>
      </c>
      <c r="W8" s="255">
        <f>'תקציב אגף בטחון פיקוח סד"צ 2019'!W8</f>
        <v>100000</v>
      </c>
      <c r="X8" s="255">
        <f>'תקציב אגף בטחון פיקוח סד"צ 2019'!X8</f>
        <v>0</v>
      </c>
      <c r="Y8" s="255">
        <f>'תקציב אגף בטחון פיקוח סד"צ 2019'!Y8</f>
        <v>0</v>
      </c>
      <c r="Z8" s="255">
        <f>'תקציב אגף בטחון פיקוח סד"צ 2019'!Z8</f>
        <v>0</v>
      </c>
      <c r="AA8" s="428" t="str">
        <f>'תקציב אגף בטחון פיקוח סד"צ 2019'!AA8</f>
        <v>סל להקמת מערכות בטחוניות.</v>
      </c>
      <c r="AB8" s="254">
        <f>'תקציב אגף בטחון פיקוח סד"צ 2019'!AB8</f>
        <v>720000</v>
      </c>
      <c r="AC8" s="415"/>
      <c r="AD8" s="415"/>
      <c r="AE8" s="415"/>
      <c r="AG8" s="561"/>
      <c r="AH8" s="429"/>
    </row>
    <row r="9" spans="1:34" s="258" customFormat="1" ht="28">
      <c r="A9" s="254">
        <f>A8+1</f>
        <v>4</v>
      </c>
      <c r="B9" s="434">
        <v>2093</v>
      </c>
      <c r="C9" s="280" t="s">
        <v>775</v>
      </c>
      <c r="D9" s="255">
        <f>'תקציב אגף בטחון פיקוח סד"צ 2019'!D9</f>
        <v>100000</v>
      </c>
      <c r="E9" s="255">
        <f>'תקציב אגף בטחון פיקוח סד"צ 2019'!E9</f>
        <v>0</v>
      </c>
      <c r="F9" s="255">
        <f>'תקציב אגף בטחון פיקוח סד"צ 2019'!F9</f>
        <v>100000</v>
      </c>
      <c r="G9" s="255">
        <f>'תקציב אגף בטחון פיקוח סד"צ 2019'!G9</f>
        <v>0</v>
      </c>
      <c r="H9" s="255">
        <f>'תקציב אגף בטחון פיקוח סד"צ 2019'!H9</f>
        <v>0</v>
      </c>
      <c r="I9" s="255">
        <f>'תקציב אגף בטחון פיקוח סד"צ 2019'!I9</f>
        <v>0</v>
      </c>
      <c r="J9" s="255">
        <f>'תקציב אגף בטחון פיקוח סד"צ 2019'!J9</f>
        <v>0</v>
      </c>
      <c r="K9" s="255">
        <f>'תקציב אגף בטחון פיקוח סד"צ 2019'!K9</f>
        <v>0</v>
      </c>
      <c r="L9" s="255">
        <f>'תקציב אגף בטחון פיקוח סד"צ 2019'!L9</f>
        <v>0</v>
      </c>
      <c r="M9" s="255">
        <f>'תקציב אגף בטחון פיקוח סד"צ 2019'!M9</f>
        <v>0</v>
      </c>
      <c r="N9" s="255">
        <f>'תקציב אגף בטחון פיקוח סד"צ 2019'!N9</f>
        <v>100000</v>
      </c>
      <c r="O9" s="255">
        <f>'תקציב אגף בטחון פיקוח סד"צ 2019'!O9</f>
        <v>0</v>
      </c>
      <c r="P9" s="255">
        <f>'תקציב אגף בטחון פיקוח סד"צ 2019'!P9</f>
        <v>0</v>
      </c>
      <c r="Q9" s="255">
        <f>'תקציב אגף בטחון פיקוח סד"צ 2019'!Q9</f>
        <v>0</v>
      </c>
      <c r="R9" s="255">
        <f>'תקציב אגף בטחון פיקוח סד"צ 2019'!R9</f>
        <v>0</v>
      </c>
      <c r="S9" s="255">
        <f>'תקציב אגף בטחון פיקוח סד"צ 2019'!S9</f>
        <v>0</v>
      </c>
      <c r="T9" s="255">
        <f>'תקציב אגף בטחון פיקוח סד"צ 2019'!T9</f>
        <v>0</v>
      </c>
      <c r="U9" s="255">
        <f>'תקציב אגף בטחון פיקוח סד"צ 2019'!U9</f>
        <v>100000</v>
      </c>
      <c r="V9" s="255">
        <f>'תקציב אגף בטחון פיקוח סד"צ 2019'!V9</f>
        <v>0</v>
      </c>
      <c r="W9" s="255">
        <f>'תקציב אגף בטחון פיקוח סד"צ 2019'!W9</f>
        <v>100000</v>
      </c>
      <c r="X9" s="255">
        <f>'תקציב אגף בטחון פיקוח סד"צ 2019'!X9</f>
        <v>0</v>
      </c>
      <c r="Y9" s="255">
        <f>'תקציב אגף בטחון פיקוח סד"צ 2019'!Y9</f>
        <v>0</v>
      </c>
      <c r="Z9" s="255">
        <f>'תקציב אגף בטחון פיקוח סד"צ 2019'!Z9</f>
        <v>0</v>
      </c>
      <c r="AA9" s="428" t="str">
        <f>'תקציב אגף בטחון פיקוח סד"צ 2019'!AA9</f>
        <v>רכישת נשקים חדשים כולל תוספת נדרשת והחלפת ישנים.</v>
      </c>
      <c r="AB9" s="254">
        <f>'תקציב אגף בטחון פיקוח סד"צ 2019'!AB9</f>
        <v>720000</v>
      </c>
      <c r="AC9" s="415"/>
      <c r="AD9" s="415"/>
      <c r="AE9" s="415"/>
      <c r="AH9" s="429"/>
    </row>
    <row r="10" spans="1:34" s="258" customFormat="1" ht="84">
      <c r="A10" s="254">
        <f>A9+1</f>
        <v>5</v>
      </c>
      <c r="B10" s="434">
        <v>2094</v>
      </c>
      <c r="C10" s="280" t="s">
        <v>776</v>
      </c>
      <c r="D10" s="255">
        <f>'תקציב אגף בטחון פיקוח סד"צ 2019'!D10</f>
        <v>1000000</v>
      </c>
      <c r="E10" s="255">
        <f>'תקציב אגף בטחון פיקוח סד"צ 2019'!E10</f>
        <v>0</v>
      </c>
      <c r="F10" s="255">
        <f>'תקציב אגף בטחון פיקוח סד"צ 2019'!F10</f>
        <v>1000000</v>
      </c>
      <c r="G10" s="255">
        <f>'תקציב אגף בטחון פיקוח סד"צ 2019'!G10</f>
        <v>0</v>
      </c>
      <c r="H10" s="255">
        <f>'תקציב אגף בטחון פיקוח סד"צ 2019'!H10</f>
        <v>0</v>
      </c>
      <c r="I10" s="255">
        <f>'תקציב אגף בטחון פיקוח סד"צ 2019'!I10</f>
        <v>0</v>
      </c>
      <c r="J10" s="255">
        <f>'תקציב אגף בטחון פיקוח סד"צ 2019'!J10</f>
        <v>0</v>
      </c>
      <c r="K10" s="255">
        <f>'תקציב אגף בטחון פיקוח סד"צ 2019'!K10</f>
        <v>0</v>
      </c>
      <c r="L10" s="255">
        <f>'תקציב אגף בטחון פיקוח סד"צ 2019'!L10</f>
        <v>0</v>
      </c>
      <c r="M10" s="255">
        <f>'תקציב אגף בטחון פיקוח סד"צ 2019'!M10</f>
        <v>0</v>
      </c>
      <c r="N10" s="255">
        <f>'תקציב אגף בטחון פיקוח סד"צ 2019'!N10</f>
        <v>1000000</v>
      </c>
      <c r="O10" s="255">
        <f>'תקציב אגף בטחון פיקוח סד"צ 2019'!O10</f>
        <v>0</v>
      </c>
      <c r="P10" s="255">
        <f>'תקציב אגף בטחון פיקוח סד"צ 2019'!P10</f>
        <v>0</v>
      </c>
      <c r="Q10" s="255">
        <f>'תקציב אגף בטחון פיקוח סד"צ 2019'!Q10</f>
        <v>0</v>
      </c>
      <c r="R10" s="255">
        <f>'תקציב אגף בטחון פיקוח סד"צ 2019'!R10</f>
        <v>0</v>
      </c>
      <c r="S10" s="255">
        <f>'תקציב אגף בטחון פיקוח סד"צ 2019'!S10</f>
        <v>0</v>
      </c>
      <c r="T10" s="255">
        <f>'תקציב אגף בטחון פיקוח סד"צ 2019'!T10</f>
        <v>0</v>
      </c>
      <c r="U10" s="255">
        <f>'תקציב אגף בטחון פיקוח סד"צ 2019'!U10</f>
        <v>1000000</v>
      </c>
      <c r="V10" s="255">
        <f>'תקציב אגף בטחון פיקוח סד"צ 2019'!V10</f>
        <v>0</v>
      </c>
      <c r="W10" s="255">
        <f>'תקציב אגף בטחון פיקוח סד"צ 2019'!W10</f>
        <v>1000000</v>
      </c>
      <c r="X10" s="255">
        <f>'תקציב אגף בטחון פיקוח סד"צ 2019'!X10</f>
        <v>0</v>
      </c>
      <c r="Y10" s="255">
        <f>'תקציב אגף בטחון פיקוח סד"צ 2019'!Y10</f>
        <v>0</v>
      </c>
      <c r="Z10" s="255">
        <f>'תקציב אגף בטחון פיקוח סד"צ 2019'!Z10</f>
        <v>0</v>
      </c>
      <c r="AA10" s="428" t="str">
        <f>'תקציב אגף בטחון פיקוח סד"צ 2019'!AA10</f>
        <v>משרד נייד (רכב)  הכולל :
מרכז תקשורת רב ערוצית ,תורן תקשורת טלסקופי,עמדת מחשב,קיר תדרוך,עזרים שונים , בלון תאורה להארה של זירת ארוע ,מיזוג אויר,תאורה,מרכז אנרגיה.</v>
      </c>
      <c r="AB10" s="254">
        <f>'תקציב אגף בטחון פיקוח סד"צ 2019'!AB10</f>
        <v>720000</v>
      </c>
      <c r="AC10" s="415"/>
      <c r="AD10" s="415"/>
      <c r="AE10" s="415"/>
      <c r="AH10" s="429"/>
    </row>
    <row r="11" spans="1:34" s="259" customFormat="1" ht="18.75" customHeight="1">
      <c r="A11" s="260">
        <f>A10</f>
        <v>5</v>
      </c>
      <c r="B11" s="260"/>
      <c r="C11" s="260" t="s">
        <v>1213</v>
      </c>
      <c r="D11" s="262">
        <f t="shared" ref="D11:Z11" si="0">SUM(D6:D10)</f>
        <v>3735000</v>
      </c>
      <c r="E11" s="262">
        <f t="shared" si="0"/>
        <v>2225000</v>
      </c>
      <c r="F11" s="262">
        <f t="shared" si="0"/>
        <v>1510000</v>
      </c>
      <c r="G11" s="262">
        <f t="shared" si="0"/>
        <v>2075000</v>
      </c>
      <c r="H11" s="262">
        <f t="shared" si="0"/>
        <v>1876964.26</v>
      </c>
      <c r="I11" s="262">
        <f t="shared" si="0"/>
        <v>0</v>
      </c>
      <c r="J11" s="262">
        <f t="shared" si="0"/>
        <v>135281.96000000002</v>
      </c>
      <c r="K11" s="262">
        <f t="shared" si="0"/>
        <v>135281.96000000002</v>
      </c>
      <c r="L11" s="262">
        <f t="shared" si="0"/>
        <v>2012246.22</v>
      </c>
      <c r="M11" s="262">
        <f t="shared" si="0"/>
        <v>22753.780000000086</v>
      </c>
      <c r="N11" s="262">
        <f t="shared" si="0"/>
        <v>1700000</v>
      </c>
      <c r="O11" s="262">
        <f t="shared" si="0"/>
        <v>0</v>
      </c>
      <c r="P11" s="262">
        <f t="shared" si="0"/>
        <v>62753.780000000086</v>
      </c>
      <c r="Q11" s="262">
        <f t="shared" si="0"/>
        <v>0</v>
      </c>
      <c r="R11" s="262">
        <f t="shared" si="0"/>
        <v>0</v>
      </c>
      <c r="S11" s="262">
        <f t="shared" si="0"/>
        <v>0</v>
      </c>
      <c r="T11" s="262">
        <f t="shared" si="0"/>
        <v>40000</v>
      </c>
      <c r="U11" s="262">
        <f t="shared" si="0"/>
        <v>1660000</v>
      </c>
      <c r="V11" s="461">
        <f t="shared" si="0"/>
        <v>0</v>
      </c>
      <c r="W11" s="262">
        <f t="shared" si="0"/>
        <v>1660000</v>
      </c>
      <c r="X11" s="462">
        <f t="shared" si="0"/>
        <v>0</v>
      </c>
      <c r="Y11" s="462">
        <f t="shared" si="0"/>
        <v>0</v>
      </c>
      <c r="Z11" s="262">
        <f t="shared" si="0"/>
        <v>0</v>
      </c>
      <c r="AA11" s="618"/>
      <c r="AB11" s="260"/>
      <c r="AC11" s="415"/>
      <c r="AD11" s="415"/>
      <c r="AE11" s="415"/>
      <c r="AG11" s="258"/>
      <c r="AH11" s="429"/>
    </row>
    <row r="12" spans="1:34" s="429" customFormat="1">
      <c r="B12" s="437"/>
      <c r="C12" s="437"/>
      <c r="D12" s="438"/>
      <c r="E12" s="438"/>
      <c r="F12" s="438"/>
      <c r="G12" s="438"/>
      <c r="H12" s="438"/>
      <c r="I12" s="438"/>
      <c r="J12" s="438"/>
      <c r="K12" s="438"/>
      <c r="L12" s="24">
        <f>H11+K11</f>
        <v>2012246.22</v>
      </c>
      <c r="M12" s="24">
        <f>P11+S11-T11</f>
        <v>22753.780000000086</v>
      </c>
      <c r="N12" s="51"/>
      <c r="O12" s="27"/>
      <c r="P12" s="24">
        <f>G11-L11</f>
        <v>62753.780000000028</v>
      </c>
      <c r="Q12" s="27"/>
      <c r="R12" s="27"/>
      <c r="S12" s="27"/>
      <c r="T12" s="27"/>
      <c r="U12" s="24">
        <f>N11-T11</f>
        <v>1660000</v>
      </c>
      <c r="V12" s="52"/>
      <c r="W12" s="52"/>
      <c r="X12" s="52"/>
      <c r="Y12" s="52"/>
      <c r="Z12" s="52"/>
      <c r="AA12" s="420"/>
      <c r="AC12" s="415"/>
      <c r="AD12" s="415"/>
      <c r="AE12" s="415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" right="0" top="0.94488188976377963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3"/>
  <sheetViews>
    <sheetView rightToLeft="1" workbookViewId="0">
      <selection activeCell="T20" sqref="T20"/>
    </sheetView>
  </sheetViews>
  <sheetFormatPr defaultColWidth="9.1796875" defaultRowHeight="14"/>
  <cols>
    <col min="1" max="3" width="4.1796875" style="353" customWidth="1"/>
    <col min="4" max="4" width="34.81640625" style="353" customWidth="1"/>
    <col min="5" max="5" width="30.453125" style="353" customWidth="1"/>
    <col min="6" max="6" width="10.81640625" style="353" customWidth="1"/>
    <col min="7" max="7" width="5.54296875" style="353" customWidth="1"/>
    <col min="8" max="9" width="12.1796875" style="353" customWidth="1"/>
    <col min="10" max="10" width="7.81640625" style="353" customWidth="1"/>
    <col min="11" max="16384" width="9.1796875" style="353"/>
  </cols>
  <sheetData>
    <row r="3" spans="1:17" ht="20.5">
      <c r="A3" s="352"/>
      <c r="C3" s="354" t="s">
        <v>560</v>
      </c>
      <c r="D3" s="352"/>
      <c r="E3" s="352"/>
      <c r="F3" s="352"/>
      <c r="G3" s="352"/>
      <c r="H3" s="352"/>
      <c r="I3" s="352"/>
      <c r="J3" s="352"/>
      <c r="K3" s="352"/>
      <c r="L3" s="352"/>
    </row>
    <row r="4" spans="1:17" ht="21" thickBot="1">
      <c r="A4" s="352"/>
      <c r="C4" s="354"/>
      <c r="D4" s="352"/>
      <c r="E4" s="352"/>
      <c r="F4" s="352"/>
      <c r="G4" s="352"/>
      <c r="H4" s="352"/>
      <c r="I4" s="352"/>
      <c r="J4" s="352"/>
      <c r="K4" s="352"/>
      <c r="L4" s="352"/>
    </row>
    <row r="5" spans="1:17" ht="16" thickBot="1">
      <c r="A5" s="352"/>
      <c r="B5" s="355" t="s">
        <v>344</v>
      </c>
      <c r="C5" s="352" t="s">
        <v>1205</v>
      </c>
      <c r="D5" s="352"/>
      <c r="E5" s="352"/>
      <c r="F5" s="356">
        <f>'תקציב אגף חינוך 2019'!U29</f>
        <v>8412100.13398665</v>
      </c>
      <c r="I5" s="352"/>
      <c r="J5" s="352"/>
      <c r="K5" s="352"/>
      <c r="L5" s="352"/>
    </row>
    <row r="6" spans="1:17" ht="21" thickBot="1">
      <c r="A6" s="352"/>
      <c r="C6" s="354"/>
      <c r="D6" s="352"/>
      <c r="E6" s="352"/>
      <c r="F6" s="352"/>
      <c r="H6" s="352"/>
      <c r="I6" s="352"/>
      <c r="J6" s="352"/>
      <c r="K6" s="352"/>
      <c r="L6" s="352"/>
    </row>
    <row r="7" spans="1:17" ht="16" thickBot="1">
      <c r="B7" s="355" t="s">
        <v>344</v>
      </c>
      <c r="C7" s="352" t="s">
        <v>559</v>
      </c>
      <c r="D7" s="352"/>
      <c r="F7" s="356">
        <f>'תקציב אגף חינוך 2019'!A29</f>
        <v>23</v>
      </c>
      <c r="I7" s="352"/>
      <c r="J7" s="352"/>
      <c r="K7" s="352"/>
      <c r="L7" s="352"/>
      <c r="M7" s="352"/>
      <c r="N7" s="352"/>
      <c r="O7" s="352"/>
      <c r="P7" s="352"/>
      <c r="Q7" s="352"/>
    </row>
    <row r="8" spans="1:17" ht="15.5">
      <c r="B8" s="355"/>
      <c r="C8" s="352"/>
      <c r="D8" s="352"/>
      <c r="E8" s="352"/>
      <c r="F8" s="352"/>
      <c r="H8" s="352"/>
      <c r="I8" s="352"/>
      <c r="J8" s="352"/>
      <c r="K8" s="352"/>
      <c r="L8" s="352"/>
      <c r="M8" s="352"/>
      <c r="N8" s="352"/>
      <c r="O8" s="352"/>
      <c r="P8" s="352"/>
      <c r="Q8" s="352"/>
    </row>
    <row r="9" spans="1:17" ht="15.5">
      <c r="B9" s="355" t="s">
        <v>344</v>
      </c>
      <c r="C9" s="352" t="s">
        <v>547</v>
      </c>
      <c r="D9" s="352"/>
      <c r="E9" s="352"/>
      <c r="F9" s="352"/>
      <c r="G9" s="352"/>
      <c r="H9" s="352"/>
      <c r="I9" s="352"/>
      <c r="J9" s="352"/>
      <c r="K9" s="352"/>
      <c r="L9" s="352"/>
    </row>
    <row r="10" spans="1:17" ht="16" thickBot="1">
      <c r="B10" s="352"/>
      <c r="C10" s="352"/>
      <c r="D10" s="352"/>
      <c r="E10" s="352"/>
      <c r="F10" s="352"/>
      <c r="G10" s="352"/>
      <c r="H10" s="352"/>
      <c r="I10" s="352"/>
      <c r="J10" s="352"/>
      <c r="K10" s="352"/>
      <c r="L10" s="352"/>
      <c r="M10" s="352"/>
      <c r="N10" s="352"/>
      <c r="O10" s="352"/>
      <c r="P10" s="352"/>
      <c r="Q10" s="352"/>
    </row>
    <row r="11" spans="1:17" ht="15.5">
      <c r="D11" s="365" t="s">
        <v>548</v>
      </c>
      <c r="E11" s="366" t="s">
        <v>549</v>
      </c>
      <c r="F11" s="367" t="s">
        <v>551</v>
      </c>
      <c r="G11" s="352"/>
      <c r="H11" s="352"/>
      <c r="I11" s="352"/>
      <c r="J11" s="352"/>
      <c r="K11" s="352"/>
      <c r="L11" s="352"/>
      <c r="M11" s="352"/>
      <c r="N11" s="352"/>
      <c r="O11" s="352"/>
      <c r="P11" s="352"/>
      <c r="Q11" s="352"/>
    </row>
    <row r="12" spans="1:17" ht="15.5">
      <c r="C12" s="355"/>
      <c r="D12" s="359" t="s">
        <v>14</v>
      </c>
      <c r="E12" s="368">
        <f>'תקציב אגף חינוך 2019'!W29</f>
        <v>3534100.13398665</v>
      </c>
      <c r="F12" s="376">
        <f>E12/$E$14</f>
        <v>0.42012102539152424</v>
      </c>
      <c r="G12" s="352"/>
      <c r="H12" s="352"/>
      <c r="I12" s="352"/>
      <c r="J12" s="352"/>
      <c r="K12" s="352"/>
      <c r="L12" s="352"/>
      <c r="M12" s="352"/>
      <c r="N12" s="352"/>
      <c r="O12" s="352"/>
      <c r="P12" s="352"/>
      <c r="Q12" s="352"/>
    </row>
    <row r="13" spans="1:17" ht="15.5">
      <c r="C13" s="355"/>
      <c r="D13" s="359" t="s">
        <v>140</v>
      </c>
      <c r="E13" s="368">
        <f>'תקציב אגף חינוך 2019'!Z29</f>
        <v>4878000</v>
      </c>
      <c r="F13" s="376">
        <f>E13/$E$14</f>
        <v>0.57987897460847571</v>
      </c>
      <c r="G13" s="352"/>
      <c r="H13" s="352"/>
      <c r="I13" s="352"/>
      <c r="J13" s="352"/>
      <c r="K13" s="352"/>
      <c r="L13" s="352"/>
      <c r="M13" s="352"/>
      <c r="N13" s="352"/>
      <c r="O13" s="352"/>
      <c r="P13" s="352"/>
      <c r="Q13" s="352"/>
    </row>
    <row r="14" spans="1:17" ht="16" thickBot="1">
      <c r="C14" s="355"/>
      <c r="D14" s="362" t="s">
        <v>160</v>
      </c>
      <c r="E14" s="650">
        <f>SUM(E12:E13)</f>
        <v>8412100.13398665</v>
      </c>
      <c r="F14" s="653">
        <f>SUM(F12:F13)</f>
        <v>1</v>
      </c>
      <c r="G14" s="352"/>
      <c r="H14" s="352"/>
      <c r="I14" s="352"/>
      <c r="J14" s="352"/>
      <c r="K14" s="352"/>
      <c r="L14" s="352"/>
      <c r="M14" s="352"/>
      <c r="N14" s="352"/>
      <c r="O14" s="352"/>
      <c r="P14" s="352"/>
      <c r="Q14" s="352"/>
    </row>
    <row r="15" spans="1:17" ht="15.5">
      <c r="C15" s="355"/>
      <c r="D15" s="358"/>
      <c r="E15" s="394"/>
      <c r="F15" s="395"/>
      <c r="G15" s="352"/>
      <c r="H15" s="352"/>
      <c r="I15" s="352"/>
      <c r="J15" s="352"/>
      <c r="K15" s="352"/>
      <c r="L15" s="352"/>
      <c r="M15" s="352"/>
      <c r="N15" s="352"/>
      <c r="O15" s="352"/>
      <c r="P15" s="352"/>
      <c r="Q15" s="352"/>
    </row>
    <row r="16" spans="1:17" ht="15.5">
      <c r="B16" s="355"/>
      <c r="C16" s="352"/>
      <c r="D16" s="352"/>
      <c r="E16" s="352"/>
      <c r="F16" s="352"/>
      <c r="G16" s="352"/>
      <c r="H16" s="352"/>
      <c r="I16" s="352"/>
      <c r="J16" s="352"/>
      <c r="K16" s="352"/>
      <c r="L16" s="352"/>
      <c r="M16" s="352"/>
      <c r="N16" s="352"/>
      <c r="O16" s="352"/>
      <c r="P16" s="352"/>
      <c r="Q16" s="352"/>
    </row>
    <row r="17" spans="1:17" ht="15.5">
      <c r="B17" s="355"/>
      <c r="C17" s="352"/>
      <c r="D17" s="352"/>
      <c r="F17" s="352"/>
      <c r="H17" s="361"/>
      <c r="I17" s="352"/>
      <c r="J17" s="352"/>
      <c r="K17" s="352"/>
      <c r="L17" s="352"/>
      <c r="M17" s="352"/>
      <c r="N17" s="352"/>
      <c r="O17" s="352"/>
      <c r="P17" s="352"/>
      <c r="Q17" s="352"/>
    </row>
    <row r="18" spans="1:17" ht="15.5">
      <c r="B18" s="355" t="s">
        <v>344</v>
      </c>
      <c r="C18" s="352" t="s">
        <v>1454</v>
      </c>
      <c r="D18" s="352"/>
      <c r="F18" s="352"/>
      <c r="H18" s="361"/>
      <c r="I18" s="352"/>
      <c r="J18" s="352"/>
      <c r="K18" s="352"/>
      <c r="L18" s="352"/>
      <c r="M18" s="352"/>
      <c r="N18" s="352"/>
      <c r="O18" s="352"/>
      <c r="P18" s="352"/>
      <c r="Q18" s="352"/>
    </row>
    <row r="19" spans="1:17" ht="15.5">
      <c r="B19" s="355"/>
      <c r="C19" s="352" t="s">
        <v>1453</v>
      </c>
      <c r="D19" s="352"/>
      <c r="F19" s="352"/>
      <c r="H19" s="361"/>
      <c r="I19" s="352"/>
      <c r="J19" s="352"/>
      <c r="K19" s="352"/>
      <c r="L19" s="352"/>
      <c r="M19" s="352"/>
      <c r="N19" s="352"/>
      <c r="O19" s="352"/>
      <c r="P19" s="352"/>
      <c r="Q19" s="352"/>
    </row>
    <row r="20" spans="1:17" ht="15.5">
      <c r="B20" s="355"/>
      <c r="C20" s="352"/>
      <c r="D20" s="352"/>
      <c r="E20" s="352"/>
      <c r="F20" s="352"/>
      <c r="G20" s="352"/>
      <c r="H20" s="352"/>
      <c r="I20" s="352"/>
      <c r="J20" s="352"/>
      <c r="K20" s="352"/>
      <c r="L20" s="352"/>
      <c r="M20" s="352"/>
      <c r="N20" s="352"/>
      <c r="O20" s="352"/>
      <c r="P20" s="352"/>
      <c r="Q20" s="352"/>
    </row>
    <row r="21" spans="1:17" s="628" customFormat="1" ht="15.5">
      <c r="C21" s="630" t="s">
        <v>344</v>
      </c>
      <c r="D21" s="627" t="s">
        <v>1478</v>
      </c>
      <c r="E21" s="627"/>
      <c r="F21" s="627"/>
      <c r="G21" s="627"/>
      <c r="H21" s="627"/>
      <c r="I21" s="627"/>
      <c r="J21" s="627"/>
      <c r="K21" s="627"/>
      <c r="L21" s="627"/>
      <c r="M21" s="627"/>
      <c r="N21" s="627"/>
      <c r="O21" s="627"/>
      <c r="P21" s="627"/>
      <c r="Q21" s="627"/>
    </row>
    <row r="22" spans="1:17" s="628" customFormat="1" ht="15.5">
      <c r="A22" s="627"/>
      <c r="B22" s="627"/>
      <c r="C22" s="627"/>
      <c r="D22" s="627"/>
      <c r="E22" s="627"/>
      <c r="F22" s="627"/>
      <c r="G22" s="627"/>
      <c r="H22" s="627"/>
      <c r="I22" s="627"/>
      <c r="J22" s="627"/>
      <c r="K22" s="627"/>
      <c r="L22" s="627"/>
      <c r="M22" s="627"/>
      <c r="N22" s="627"/>
      <c r="O22" s="627"/>
      <c r="P22" s="627"/>
      <c r="Q22" s="627"/>
    </row>
    <row r="23" spans="1:17" s="628" customFormat="1" ht="15.5">
      <c r="A23" s="627"/>
      <c r="B23" s="627"/>
      <c r="C23" s="627"/>
      <c r="D23" s="627" t="s">
        <v>1273</v>
      </c>
      <c r="E23" s="627"/>
      <c r="F23" s="627"/>
      <c r="G23" s="627"/>
      <c r="H23" s="627"/>
      <c r="I23" s="627"/>
      <c r="J23" s="627"/>
      <c r="K23" s="627"/>
      <c r="L23" s="627"/>
      <c r="M23" s="627"/>
      <c r="N23" s="627"/>
      <c r="O23" s="627"/>
      <c r="P23" s="627"/>
      <c r="Q23" s="627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3"/>
  <sheetViews>
    <sheetView showZeros="0" rightToLeft="1" zoomScaleNormal="100" workbookViewId="0">
      <pane xSplit="3" ySplit="4" topLeftCell="D5" activePane="bottomRight" state="frozen"/>
      <selection activeCell="T20" sqref="T20"/>
      <selection pane="topRight" activeCell="T20" sqref="T20"/>
      <selection pane="bottomLeft" activeCell="T20" sqref="T20"/>
      <selection pane="bottomRight" activeCell="T20" sqref="T20"/>
    </sheetView>
  </sheetViews>
  <sheetFormatPr defaultColWidth="9.1796875" defaultRowHeight="14"/>
  <cols>
    <col min="1" max="1" width="5.26953125" style="40" customWidth="1"/>
    <col min="2" max="2" width="4.81640625" style="15" customWidth="1"/>
    <col min="3" max="3" width="28.26953125" style="21" customWidth="1"/>
    <col min="4" max="4" width="10.26953125" style="17" customWidth="1"/>
    <col min="5" max="5" width="10.453125" style="17" customWidth="1"/>
    <col min="6" max="6" width="9.26953125" style="17" customWidth="1"/>
    <col min="7" max="10" width="12.7265625" style="17" hidden="1" customWidth="1"/>
    <col min="11" max="11" width="11.26953125" style="17" hidden="1" customWidth="1"/>
    <col min="12" max="12" width="8.81640625" style="17" customWidth="1"/>
    <col min="13" max="13" width="9.81640625" style="17" customWidth="1"/>
    <col min="14" max="14" width="10.7265625" style="17" customWidth="1"/>
    <col min="15" max="15" width="8.54296875" style="17" customWidth="1"/>
    <col min="16" max="17" width="11.1796875" style="17" hidden="1" customWidth="1"/>
    <col min="18" max="19" width="12" style="17" hidden="1" customWidth="1"/>
    <col min="20" max="20" width="8" style="17" customWidth="1"/>
    <col min="21" max="21" width="10.26953125" style="15" customWidth="1"/>
    <col min="22" max="22" width="8.453125" style="15" hidden="1" customWidth="1"/>
    <col min="23" max="23" width="9.1796875" style="15" customWidth="1"/>
    <col min="24" max="25" width="4.1796875" style="15" hidden="1" customWidth="1"/>
    <col min="26" max="26" width="9.453125" style="15" customWidth="1"/>
    <col min="27" max="27" width="25.7265625" style="40" customWidth="1"/>
    <col min="28" max="28" width="7.81640625" style="15" hidden="1" customWidth="1"/>
    <col min="29" max="29" width="24.54296875" style="471" customWidth="1"/>
    <col min="30" max="30" width="10.1796875" style="471" customWidth="1"/>
    <col min="31" max="31" width="9.453125" style="471" customWidth="1"/>
    <col min="32" max="32" width="13.453125" style="471" customWidth="1"/>
    <col min="33" max="33" width="19.7265625" style="40" customWidth="1"/>
    <col min="34" max="35" width="9.1796875" style="15" customWidth="1"/>
    <col min="36" max="16384" width="9.1796875" style="15"/>
  </cols>
  <sheetData>
    <row r="1" spans="1:35" s="469" customFormat="1" ht="18">
      <c r="A1" s="464"/>
      <c r="B1" s="464"/>
      <c r="C1" s="465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  <c r="O1" s="464"/>
      <c r="P1" s="464"/>
      <c r="Q1" s="464"/>
      <c r="R1" s="464"/>
      <c r="S1" s="464"/>
      <c r="T1" s="464"/>
      <c r="U1" s="464"/>
      <c r="V1" s="464"/>
      <c r="W1" s="464"/>
      <c r="X1" s="466"/>
      <c r="Y1" s="466"/>
      <c r="Z1" s="467"/>
      <c r="AA1" s="468"/>
      <c r="AB1" s="468"/>
      <c r="AC1" s="471"/>
      <c r="AD1" s="471"/>
      <c r="AE1" s="471"/>
      <c r="AF1" s="471"/>
      <c r="AG1" s="467"/>
      <c r="AH1" s="468"/>
      <c r="AI1" s="467"/>
    </row>
    <row r="2" spans="1:35" s="469" customFormat="1" ht="18">
      <c r="A2" s="464" t="s">
        <v>560</v>
      </c>
      <c r="B2" s="464"/>
      <c r="C2" s="465"/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4"/>
      <c r="O2" s="464"/>
      <c r="P2" s="464"/>
      <c r="Q2" s="464"/>
      <c r="R2" s="464"/>
      <c r="S2" s="464"/>
      <c r="T2" s="464"/>
      <c r="U2" s="464"/>
      <c r="V2" s="464"/>
      <c r="W2" s="464"/>
      <c r="X2" s="470"/>
      <c r="Y2" s="470"/>
      <c r="Z2" s="470"/>
      <c r="AA2" s="471"/>
      <c r="AB2" s="471"/>
      <c r="AC2" s="471"/>
      <c r="AD2" s="471"/>
      <c r="AE2" s="471"/>
      <c r="AF2" s="471"/>
      <c r="AG2" s="470"/>
      <c r="AH2" s="471"/>
      <c r="AI2" s="470"/>
    </row>
    <row r="4" spans="1:35" s="34" customFormat="1" ht="86.25" customHeight="1">
      <c r="A4" s="283" t="s">
        <v>0</v>
      </c>
      <c r="B4" s="19" t="s">
        <v>1</v>
      </c>
      <c r="C4" s="19" t="s">
        <v>2</v>
      </c>
      <c r="D4" s="19" t="s">
        <v>3</v>
      </c>
      <c r="E4" s="19" t="s">
        <v>4</v>
      </c>
      <c r="F4" s="19" t="s">
        <v>5</v>
      </c>
      <c r="G4" s="19" t="s">
        <v>6</v>
      </c>
      <c r="H4" s="19" t="s">
        <v>7</v>
      </c>
      <c r="I4" s="19" t="s">
        <v>9</v>
      </c>
      <c r="J4" s="19" t="s">
        <v>318</v>
      </c>
      <c r="K4" s="19" t="s">
        <v>10</v>
      </c>
      <c r="L4" s="19" t="s">
        <v>11</v>
      </c>
      <c r="M4" s="11" t="s">
        <v>627</v>
      </c>
      <c r="N4" s="19" t="s">
        <v>628</v>
      </c>
      <c r="O4" s="19" t="s">
        <v>629</v>
      </c>
      <c r="P4" s="19" t="s">
        <v>12</v>
      </c>
      <c r="Q4" s="19" t="s">
        <v>630</v>
      </c>
      <c r="R4" s="19" t="s">
        <v>631</v>
      </c>
      <c r="S4" s="19" t="s">
        <v>632</v>
      </c>
      <c r="T4" s="19" t="s">
        <v>633</v>
      </c>
      <c r="U4" s="19" t="s">
        <v>634</v>
      </c>
      <c r="V4" s="19" t="s">
        <v>13</v>
      </c>
      <c r="W4" s="19" t="s">
        <v>14</v>
      </c>
      <c r="X4" s="19" t="s">
        <v>15</v>
      </c>
      <c r="Y4" s="19" t="s">
        <v>523</v>
      </c>
      <c r="Z4" s="19" t="s">
        <v>140</v>
      </c>
      <c r="AA4" s="421" t="s">
        <v>635</v>
      </c>
      <c r="AB4" s="19" t="s">
        <v>16</v>
      </c>
      <c r="AC4" s="471"/>
      <c r="AD4" s="471"/>
      <c r="AE4" s="471"/>
      <c r="AF4" s="471"/>
      <c r="AG4" s="470"/>
    </row>
    <row r="5" spans="1:35" s="56" customFormat="1" ht="18.75" customHeight="1">
      <c r="A5" s="48"/>
      <c r="B5" s="48"/>
      <c r="C5" s="48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472"/>
      <c r="AB5" s="48"/>
      <c r="AC5" s="471"/>
      <c r="AD5" s="471"/>
      <c r="AE5" s="471"/>
      <c r="AF5" s="471"/>
      <c r="AG5" s="470"/>
    </row>
    <row r="6" spans="1:35" s="5" customFormat="1" ht="30" customHeight="1">
      <c r="A6" s="3">
        <f t="shared" ref="A6:A28" si="0">1+A5</f>
        <v>1</v>
      </c>
      <c r="B6" s="3">
        <v>1710</v>
      </c>
      <c r="C6" s="3" t="s">
        <v>89</v>
      </c>
      <c r="D6" s="4">
        <f>1700000-65137-500000</f>
        <v>1134863</v>
      </c>
      <c r="E6" s="4">
        <v>1700000</v>
      </c>
      <c r="F6" s="4">
        <f t="shared" ref="F6:F24" si="1">D6-E6</f>
        <v>-565137</v>
      </c>
      <c r="G6" s="4">
        <v>1634863</v>
      </c>
      <c r="H6" s="4">
        <v>938551.23</v>
      </c>
      <c r="I6" s="4"/>
      <c r="J6" s="4"/>
      <c r="K6" s="4">
        <f t="shared" ref="K6:K24" si="2">I6+J6</f>
        <v>0</v>
      </c>
      <c r="L6" s="4">
        <f t="shared" ref="L6:L24" si="3">H6+K6</f>
        <v>938551.23</v>
      </c>
      <c r="M6" s="4">
        <f>P6+S6-500000</f>
        <v>196311.77000000002</v>
      </c>
      <c r="N6" s="4"/>
      <c r="O6" s="4">
        <f t="shared" ref="O6:O24" si="4">D6-L6-M6-N6</f>
        <v>0</v>
      </c>
      <c r="P6" s="4">
        <f t="shared" ref="P6:P24" si="5">G6-L6</f>
        <v>696311.77</v>
      </c>
      <c r="Q6" s="4"/>
      <c r="R6" s="4"/>
      <c r="S6" s="4">
        <f t="shared" ref="S6:S24" si="6">SUM(Q6:R6)</f>
        <v>0</v>
      </c>
      <c r="T6" s="4">
        <f t="shared" ref="T6:T24" si="7">P6-M6+S6</f>
        <v>500000</v>
      </c>
      <c r="U6" s="4">
        <f t="shared" ref="U6:U24" si="8">N6-T6</f>
        <v>-500000</v>
      </c>
      <c r="V6" s="4"/>
      <c r="W6" s="4">
        <f t="shared" ref="W6:W24" si="9">U6-V6-Y6-Z6</f>
        <v>-500000</v>
      </c>
      <c r="X6" s="4"/>
      <c r="Y6" s="4"/>
      <c r="Z6" s="325"/>
      <c r="AA6" s="408"/>
      <c r="AB6" s="3">
        <v>810000</v>
      </c>
      <c r="AC6" s="471"/>
      <c r="AD6" s="471"/>
      <c r="AE6" s="471"/>
      <c r="AF6" s="471"/>
      <c r="AG6" s="470"/>
    </row>
    <row r="7" spans="1:35" s="5" customFormat="1" ht="30" customHeight="1">
      <c r="A7" s="3">
        <f t="shared" si="0"/>
        <v>2</v>
      </c>
      <c r="B7" s="3">
        <v>1740</v>
      </c>
      <c r="C7" s="3" t="s">
        <v>90</v>
      </c>
      <c r="D7" s="4">
        <v>280000</v>
      </c>
      <c r="E7" s="4">
        <v>280000</v>
      </c>
      <c r="F7" s="4">
        <f t="shared" si="1"/>
        <v>0</v>
      </c>
      <c r="G7" s="4">
        <v>280000</v>
      </c>
      <c r="H7" s="4">
        <v>150312</v>
      </c>
      <c r="I7" s="4"/>
      <c r="J7" s="4">
        <v>113020.48</v>
      </c>
      <c r="K7" s="4">
        <f t="shared" si="2"/>
        <v>113020.48</v>
      </c>
      <c r="L7" s="4">
        <f t="shared" si="3"/>
        <v>263332.47999999998</v>
      </c>
      <c r="M7" s="4">
        <f t="shared" ref="M7:M24" si="10">P7+S7</f>
        <v>16667.520000000019</v>
      </c>
      <c r="N7" s="4"/>
      <c r="O7" s="4">
        <f t="shared" si="4"/>
        <v>0</v>
      </c>
      <c r="P7" s="4">
        <f t="shared" si="5"/>
        <v>16667.520000000019</v>
      </c>
      <c r="Q7" s="4"/>
      <c r="R7" s="4"/>
      <c r="S7" s="4">
        <f t="shared" si="6"/>
        <v>0</v>
      </c>
      <c r="T7" s="4">
        <f t="shared" si="7"/>
        <v>0</v>
      </c>
      <c r="U7" s="4">
        <f t="shared" si="8"/>
        <v>0</v>
      </c>
      <c r="V7" s="4"/>
      <c r="W7" s="4">
        <f t="shared" si="9"/>
        <v>0</v>
      </c>
      <c r="X7" s="4"/>
      <c r="Y7" s="4"/>
      <c r="Z7" s="325"/>
      <c r="AA7" s="450"/>
      <c r="AB7" s="3">
        <v>810000</v>
      </c>
      <c r="AC7" s="471"/>
      <c r="AD7" s="471"/>
      <c r="AE7" s="471"/>
      <c r="AF7" s="471"/>
      <c r="AG7" s="470"/>
    </row>
    <row r="8" spans="1:35" s="5" customFormat="1" ht="30" customHeight="1">
      <c r="A8" s="3">
        <f t="shared" si="0"/>
        <v>3</v>
      </c>
      <c r="B8" s="3">
        <v>1775</v>
      </c>
      <c r="C8" s="3" t="s">
        <v>91</v>
      </c>
      <c r="D8" s="4">
        <v>465000</v>
      </c>
      <c r="E8" s="4">
        <v>465000</v>
      </c>
      <c r="F8" s="4">
        <f t="shared" si="1"/>
        <v>0</v>
      </c>
      <c r="G8" s="4">
        <v>465000</v>
      </c>
      <c r="H8" s="4">
        <v>461980.11</v>
      </c>
      <c r="I8" s="4"/>
      <c r="J8" s="4"/>
      <c r="K8" s="4">
        <f t="shared" si="2"/>
        <v>0</v>
      </c>
      <c r="L8" s="4">
        <f t="shared" si="3"/>
        <v>461980.11</v>
      </c>
      <c r="M8" s="4">
        <f t="shared" si="10"/>
        <v>3019.890000000014</v>
      </c>
      <c r="N8" s="4"/>
      <c r="O8" s="4">
        <f t="shared" si="4"/>
        <v>0</v>
      </c>
      <c r="P8" s="4">
        <f t="shared" si="5"/>
        <v>3019.890000000014</v>
      </c>
      <c r="Q8" s="4"/>
      <c r="R8" s="4"/>
      <c r="S8" s="4">
        <f t="shared" si="6"/>
        <v>0</v>
      </c>
      <c r="T8" s="4">
        <f t="shared" si="7"/>
        <v>0</v>
      </c>
      <c r="U8" s="4">
        <f t="shared" si="8"/>
        <v>0</v>
      </c>
      <c r="V8" s="4"/>
      <c r="W8" s="4">
        <f t="shared" si="9"/>
        <v>0</v>
      </c>
      <c r="X8" s="4"/>
      <c r="Y8" s="4"/>
      <c r="Z8" s="325"/>
      <c r="AA8" s="408"/>
      <c r="AB8" s="3">
        <v>760000</v>
      </c>
      <c r="AC8" s="471"/>
      <c r="AD8" s="471"/>
      <c r="AE8" s="471"/>
      <c r="AF8" s="471"/>
      <c r="AG8" s="470"/>
    </row>
    <row r="9" spans="1:35" s="5" customFormat="1" ht="28">
      <c r="A9" s="3">
        <f t="shared" si="0"/>
        <v>4</v>
      </c>
      <c r="B9" s="3">
        <v>1776</v>
      </c>
      <c r="C9" s="3" t="s">
        <v>92</v>
      </c>
      <c r="D9" s="4">
        <f>665000+315000+30000-95000</f>
        <v>915000</v>
      </c>
      <c r="E9" s="4">
        <v>665000</v>
      </c>
      <c r="F9" s="4">
        <f t="shared" si="1"/>
        <v>250000</v>
      </c>
      <c r="G9" s="4">
        <v>665000</v>
      </c>
      <c r="H9" s="4">
        <v>299107</v>
      </c>
      <c r="I9" s="4"/>
      <c r="J9" s="4">
        <v>223110.35</v>
      </c>
      <c r="K9" s="4">
        <f t="shared" si="2"/>
        <v>223110.35</v>
      </c>
      <c r="L9" s="4">
        <f t="shared" si="3"/>
        <v>522217.35</v>
      </c>
      <c r="M9" s="4">
        <f t="shared" si="10"/>
        <v>142782.65000000002</v>
      </c>
      <c r="N9" s="4">
        <f>'[1]אומדן - סיכום'!E24-95000</f>
        <v>250000</v>
      </c>
      <c r="O9" s="4">
        <f t="shared" si="4"/>
        <v>0</v>
      </c>
      <c r="P9" s="4">
        <f t="shared" si="5"/>
        <v>142782.65000000002</v>
      </c>
      <c r="Q9" s="4"/>
      <c r="R9" s="4"/>
      <c r="S9" s="4">
        <f t="shared" si="6"/>
        <v>0</v>
      </c>
      <c r="T9" s="4">
        <f t="shared" si="7"/>
        <v>0</v>
      </c>
      <c r="U9" s="4">
        <f t="shared" si="8"/>
        <v>250000</v>
      </c>
      <c r="V9" s="4"/>
      <c r="W9" s="4">
        <f t="shared" si="9"/>
        <v>250000</v>
      </c>
      <c r="X9" s="4"/>
      <c r="Y9" s="4"/>
      <c r="Z9" s="325"/>
      <c r="AA9" s="42" t="s">
        <v>777</v>
      </c>
      <c r="AB9" s="3">
        <v>810000</v>
      </c>
      <c r="AC9" s="471"/>
      <c r="AD9" s="471"/>
      <c r="AE9" s="471"/>
      <c r="AF9" s="471"/>
      <c r="AG9" s="470"/>
    </row>
    <row r="10" spans="1:35" s="5" customFormat="1" ht="30" customHeight="1">
      <c r="A10" s="3">
        <f t="shared" si="0"/>
        <v>5</v>
      </c>
      <c r="B10" s="57">
        <v>1810</v>
      </c>
      <c r="C10" s="3" t="s">
        <v>266</v>
      </c>
      <c r="D10" s="4">
        <v>950000</v>
      </c>
      <c r="E10" s="4">
        <v>950000</v>
      </c>
      <c r="F10" s="4">
        <f t="shared" si="1"/>
        <v>0</v>
      </c>
      <c r="G10" s="4">
        <v>950000</v>
      </c>
      <c r="H10" s="4">
        <v>938543.42</v>
      </c>
      <c r="I10" s="4"/>
      <c r="J10" s="4"/>
      <c r="K10" s="4">
        <f t="shared" si="2"/>
        <v>0</v>
      </c>
      <c r="L10" s="4">
        <f t="shared" si="3"/>
        <v>938543.42</v>
      </c>
      <c r="M10" s="4">
        <f t="shared" si="10"/>
        <v>11456.579999999958</v>
      </c>
      <c r="N10" s="4"/>
      <c r="O10" s="4">
        <f t="shared" si="4"/>
        <v>0</v>
      </c>
      <c r="P10" s="4">
        <f t="shared" si="5"/>
        <v>11456.579999999958</v>
      </c>
      <c r="Q10" s="4"/>
      <c r="R10" s="4"/>
      <c r="S10" s="4">
        <f t="shared" si="6"/>
        <v>0</v>
      </c>
      <c r="T10" s="4">
        <f t="shared" si="7"/>
        <v>0</v>
      </c>
      <c r="U10" s="4">
        <f t="shared" si="8"/>
        <v>0</v>
      </c>
      <c r="V10" s="4"/>
      <c r="W10" s="4">
        <f t="shared" si="9"/>
        <v>0</v>
      </c>
      <c r="X10" s="4"/>
      <c r="Y10" s="4"/>
      <c r="Z10" s="325"/>
      <c r="AA10" s="408"/>
      <c r="AB10" s="3">
        <v>810000</v>
      </c>
      <c r="AC10" s="471"/>
      <c r="AD10" s="471"/>
      <c r="AE10" s="471"/>
      <c r="AF10" s="471"/>
      <c r="AG10" s="470"/>
    </row>
    <row r="11" spans="1:35" s="5" customFormat="1" ht="30" customHeight="1">
      <c r="A11" s="3">
        <f t="shared" si="0"/>
        <v>6</v>
      </c>
      <c r="B11" s="3">
        <v>1817</v>
      </c>
      <c r="C11" s="3" t="s">
        <v>189</v>
      </c>
      <c r="D11" s="4">
        <f>640000+230000-230000</f>
        <v>640000</v>
      </c>
      <c r="E11" s="4">
        <v>640000</v>
      </c>
      <c r="F11" s="4">
        <f t="shared" si="1"/>
        <v>0</v>
      </c>
      <c r="G11" s="4">
        <v>640000</v>
      </c>
      <c r="H11" s="4">
        <v>562553.87</v>
      </c>
      <c r="I11" s="4"/>
      <c r="J11" s="4">
        <v>32511.63</v>
      </c>
      <c r="K11" s="4">
        <f t="shared" si="2"/>
        <v>32511.63</v>
      </c>
      <c r="L11" s="4">
        <f t="shared" si="3"/>
        <v>595065.5</v>
      </c>
      <c r="M11" s="4">
        <f t="shared" si="10"/>
        <v>44934.5</v>
      </c>
      <c r="N11" s="4">
        <f>230000-230000</f>
        <v>0</v>
      </c>
      <c r="O11" s="4">
        <f t="shared" si="4"/>
        <v>0</v>
      </c>
      <c r="P11" s="4">
        <f t="shared" si="5"/>
        <v>44934.5</v>
      </c>
      <c r="Q11" s="4"/>
      <c r="R11" s="4"/>
      <c r="S11" s="4">
        <f t="shared" si="6"/>
        <v>0</v>
      </c>
      <c r="T11" s="4">
        <f t="shared" si="7"/>
        <v>0</v>
      </c>
      <c r="U11" s="4">
        <f t="shared" si="8"/>
        <v>0</v>
      </c>
      <c r="V11" s="4"/>
      <c r="W11" s="4">
        <f t="shared" si="9"/>
        <v>0</v>
      </c>
      <c r="X11" s="4"/>
      <c r="Y11" s="4"/>
      <c r="Z11" s="325"/>
      <c r="AA11" s="3"/>
      <c r="AB11" s="3">
        <v>810000</v>
      </c>
      <c r="AC11" s="471"/>
      <c r="AD11" s="471"/>
      <c r="AE11" s="471"/>
      <c r="AF11" s="471"/>
      <c r="AG11" s="470"/>
    </row>
    <row r="12" spans="1:35" s="5" customFormat="1" ht="30" customHeight="1">
      <c r="A12" s="3">
        <f t="shared" si="0"/>
        <v>7</v>
      </c>
      <c r="B12" s="57">
        <v>1828</v>
      </c>
      <c r="C12" s="3" t="s">
        <v>295</v>
      </c>
      <c r="D12" s="4">
        <f>330000-90000</f>
        <v>240000</v>
      </c>
      <c r="E12" s="4">
        <v>330000</v>
      </c>
      <c r="F12" s="4">
        <f t="shared" si="1"/>
        <v>-90000</v>
      </c>
      <c r="G12" s="4">
        <v>240000</v>
      </c>
      <c r="H12" s="4">
        <v>188718.3</v>
      </c>
      <c r="I12" s="4"/>
      <c r="J12" s="4"/>
      <c r="K12" s="4">
        <f t="shared" si="2"/>
        <v>0</v>
      </c>
      <c r="L12" s="4">
        <f t="shared" si="3"/>
        <v>188718.3</v>
      </c>
      <c r="M12" s="4">
        <f t="shared" si="10"/>
        <v>51281.700000000012</v>
      </c>
      <c r="N12" s="4"/>
      <c r="O12" s="4">
        <f t="shared" si="4"/>
        <v>0</v>
      </c>
      <c r="P12" s="4">
        <f t="shared" si="5"/>
        <v>51281.700000000012</v>
      </c>
      <c r="Q12" s="4"/>
      <c r="R12" s="4"/>
      <c r="S12" s="4">
        <f t="shared" si="6"/>
        <v>0</v>
      </c>
      <c r="T12" s="4">
        <f t="shared" si="7"/>
        <v>0</v>
      </c>
      <c r="U12" s="4">
        <f t="shared" si="8"/>
        <v>0</v>
      </c>
      <c r="V12" s="4"/>
      <c r="W12" s="4">
        <f t="shared" si="9"/>
        <v>0</v>
      </c>
      <c r="X12" s="4"/>
      <c r="Y12" s="4"/>
      <c r="Z12" s="325"/>
      <c r="AA12" s="408"/>
      <c r="AB12" s="3">
        <v>810000</v>
      </c>
      <c r="AC12" s="471"/>
      <c r="AD12" s="471"/>
      <c r="AE12" s="471"/>
      <c r="AF12" s="471"/>
      <c r="AG12" s="470"/>
    </row>
    <row r="13" spans="1:35" s="5" customFormat="1" ht="42">
      <c r="A13" s="3">
        <f t="shared" si="0"/>
        <v>8</v>
      </c>
      <c r="B13" s="408">
        <v>1930</v>
      </c>
      <c r="C13" s="3" t="s">
        <v>233</v>
      </c>
      <c r="D13" s="4">
        <f>650000+'[1]אומדן - סיכום'!E31+'[1]אומדן - סיכום'!E35-420000</f>
        <v>900000</v>
      </c>
      <c r="E13" s="4">
        <v>650000</v>
      </c>
      <c r="F13" s="4">
        <f t="shared" si="1"/>
        <v>250000</v>
      </c>
      <c r="G13" s="4">
        <v>650000</v>
      </c>
      <c r="H13" s="4">
        <v>369207.64</v>
      </c>
      <c r="I13" s="4"/>
      <c r="J13" s="4">
        <v>256996.05</v>
      </c>
      <c r="K13" s="4">
        <f t="shared" si="2"/>
        <v>256996.05</v>
      </c>
      <c r="L13" s="4">
        <f t="shared" si="3"/>
        <v>626203.68999999994</v>
      </c>
      <c r="M13" s="4">
        <f t="shared" si="10"/>
        <v>23796.310000000056</v>
      </c>
      <c r="N13" s="4">
        <f>'[1]אומדן - סיכום'!E31+'[1]אומדן - סיכום'!E35-420000</f>
        <v>250000</v>
      </c>
      <c r="O13" s="4">
        <f t="shared" si="4"/>
        <v>0</v>
      </c>
      <c r="P13" s="4">
        <f t="shared" si="5"/>
        <v>23796.310000000056</v>
      </c>
      <c r="Q13" s="4"/>
      <c r="R13" s="4"/>
      <c r="S13" s="4">
        <f t="shared" si="6"/>
        <v>0</v>
      </c>
      <c r="T13" s="4">
        <f t="shared" si="7"/>
        <v>0</v>
      </c>
      <c r="U13" s="4">
        <f t="shared" si="8"/>
        <v>250000</v>
      </c>
      <c r="V13" s="4"/>
      <c r="W13" s="4">
        <f t="shared" si="9"/>
        <v>250000</v>
      </c>
      <c r="X13" s="4"/>
      <c r="Y13" s="4"/>
      <c r="Z13" s="325"/>
      <c r="AA13" s="3" t="s">
        <v>1050</v>
      </c>
      <c r="AB13" s="3">
        <v>810000</v>
      </c>
      <c r="AC13" s="471"/>
      <c r="AD13" s="471"/>
      <c r="AE13" s="471"/>
      <c r="AF13" s="471"/>
      <c r="AG13" s="470"/>
    </row>
    <row r="14" spans="1:35" s="5" customFormat="1" ht="56">
      <c r="A14" s="3">
        <f t="shared" si="0"/>
        <v>9</v>
      </c>
      <c r="B14" s="3">
        <v>1975</v>
      </c>
      <c r="C14" s="3" t="s">
        <v>1520</v>
      </c>
      <c r="D14" s="4">
        <v>975000</v>
      </c>
      <c r="E14" s="4">
        <v>975000</v>
      </c>
      <c r="F14" s="4">
        <f t="shared" si="1"/>
        <v>0</v>
      </c>
      <c r="G14" s="4">
        <v>0</v>
      </c>
      <c r="H14" s="4">
        <v>0</v>
      </c>
      <c r="I14" s="4"/>
      <c r="J14" s="4"/>
      <c r="K14" s="4">
        <f t="shared" si="2"/>
        <v>0</v>
      </c>
      <c r="L14" s="4">
        <f t="shared" si="3"/>
        <v>0</v>
      </c>
      <c r="M14" s="4">
        <f t="shared" si="10"/>
        <v>0</v>
      </c>
      <c r="N14" s="4">
        <v>975000</v>
      </c>
      <c r="O14" s="4">
        <f t="shared" si="4"/>
        <v>0</v>
      </c>
      <c r="P14" s="4">
        <f t="shared" si="5"/>
        <v>0</v>
      </c>
      <c r="Q14" s="4"/>
      <c r="R14" s="4"/>
      <c r="S14" s="4">
        <f t="shared" si="6"/>
        <v>0</v>
      </c>
      <c r="T14" s="4">
        <f t="shared" si="7"/>
        <v>0</v>
      </c>
      <c r="U14" s="4">
        <f t="shared" si="8"/>
        <v>975000</v>
      </c>
      <c r="V14" s="4"/>
      <c r="W14" s="4">
        <f t="shared" si="9"/>
        <v>975000</v>
      </c>
      <c r="X14" s="4"/>
      <c r="Y14" s="4"/>
      <c r="Z14" s="325"/>
      <c r="AA14" s="3" t="s">
        <v>1342</v>
      </c>
      <c r="AB14" s="3">
        <v>810000</v>
      </c>
      <c r="AC14" s="471"/>
      <c r="AD14" s="471"/>
      <c r="AE14" s="471"/>
      <c r="AF14" s="471"/>
      <c r="AG14" s="470"/>
    </row>
    <row r="15" spans="1:35" s="5" customFormat="1" ht="30" customHeight="1">
      <c r="A15" s="3">
        <f t="shared" si="0"/>
        <v>10</v>
      </c>
      <c r="B15" s="3">
        <v>1976</v>
      </c>
      <c r="C15" s="3" t="s">
        <v>268</v>
      </c>
      <c r="D15" s="4">
        <f>E15+'[1]אומדן - סיכום'!E73-300000</f>
        <v>644100</v>
      </c>
      <c r="E15" s="4">
        <v>644100</v>
      </c>
      <c r="F15" s="4">
        <f t="shared" si="1"/>
        <v>0</v>
      </c>
      <c r="G15" s="4">
        <v>644100</v>
      </c>
      <c r="H15" s="4">
        <v>339244.14</v>
      </c>
      <c r="I15" s="4"/>
      <c r="J15" s="4"/>
      <c r="K15" s="4">
        <f t="shared" si="2"/>
        <v>0</v>
      </c>
      <c r="L15" s="4">
        <f t="shared" si="3"/>
        <v>339244.14</v>
      </c>
      <c r="M15" s="4">
        <f t="shared" si="10"/>
        <v>304855.86</v>
      </c>
      <c r="N15" s="4">
        <f>'[1]אומדן - סיכום'!E73-300000</f>
        <v>0</v>
      </c>
      <c r="O15" s="4">
        <f t="shared" si="4"/>
        <v>0</v>
      </c>
      <c r="P15" s="4">
        <f t="shared" si="5"/>
        <v>304855.86</v>
      </c>
      <c r="Q15" s="4"/>
      <c r="R15" s="4"/>
      <c r="S15" s="4">
        <f t="shared" si="6"/>
        <v>0</v>
      </c>
      <c r="T15" s="4">
        <f t="shared" si="7"/>
        <v>0</v>
      </c>
      <c r="U15" s="4">
        <f t="shared" si="8"/>
        <v>0</v>
      </c>
      <c r="V15" s="4"/>
      <c r="W15" s="4">
        <f t="shared" si="9"/>
        <v>0</v>
      </c>
      <c r="X15" s="4"/>
      <c r="Y15" s="4"/>
      <c r="Z15" s="325"/>
      <c r="AA15" s="42" t="s">
        <v>784</v>
      </c>
      <c r="AB15" s="3">
        <v>810000</v>
      </c>
      <c r="AC15" s="471"/>
      <c r="AD15" s="471"/>
      <c r="AE15" s="471"/>
      <c r="AF15" s="471"/>
      <c r="AG15" s="470"/>
    </row>
    <row r="16" spans="1:35" s="5" customFormat="1" ht="30" customHeight="1">
      <c r="A16" s="3">
        <f t="shared" si="0"/>
        <v>11</v>
      </c>
      <c r="B16" s="3">
        <v>1977</v>
      </c>
      <c r="C16" s="3" t="s">
        <v>269</v>
      </c>
      <c r="D16" s="4">
        <v>44100</v>
      </c>
      <c r="E16" s="4">
        <v>44100</v>
      </c>
      <c r="F16" s="4">
        <f t="shared" si="1"/>
        <v>0</v>
      </c>
      <c r="G16" s="4">
        <v>44100</v>
      </c>
      <c r="H16" s="4">
        <v>0</v>
      </c>
      <c r="I16" s="4"/>
      <c r="J16" s="4">
        <v>43348.26</v>
      </c>
      <c r="K16" s="4">
        <f t="shared" si="2"/>
        <v>43348.26</v>
      </c>
      <c r="L16" s="4">
        <f t="shared" si="3"/>
        <v>43348.26</v>
      </c>
      <c r="M16" s="4">
        <f t="shared" si="10"/>
        <v>751.73999999999796</v>
      </c>
      <c r="N16" s="4"/>
      <c r="O16" s="4">
        <f t="shared" si="4"/>
        <v>0</v>
      </c>
      <c r="P16" s="4">
        <f t="shared" si="5"/>
        <v>751.73999999999796</v>
      </c>
      <c r="Q16" s="4"/>
      <c r="R16" s="4"/>
      <c r="S16" s="4">
        <f t="shared" si="6"/>
        <v>0</v>
      </c>
      <c r="T16" s="4">
        <f t="shared" si="7"/>
        <v>0</v>
      </c>
      <c r="U16" s="4">
        <f t="shared" si="8"/>
        <v>0</v>
      </c>
      <c r="V16" s="4"/>
      <c r="W16" s="4">
        <f t="shared" si="9"/>
        <v>0</v>
      </c>
      <c r="X16" s="4"/>
      <c r="Y16" s="4"/>
      <c r="Z16" s="325"/>
      <c r="AA16" s="408"/>
      <c r="AB16" s="3">
        <v>810000</v>
      </c>
      <c r="AC16" s="471"/>
      <c r="AD16" s="471"/>
      <c r="AE16" s="471"/>
      <c r="AF16" s="471"/>
      <c r="AG16" s="470"/>
    </row>
    <row r="17" spans="1:34" s="5" customFormat="1" ht="30" customHeight="1">
      <c r="A17" s="3">
        <f t="shared" si="0"/>
        <v>12</v>
      </c>
      <c r="B17" s="57">
        <v>1978</v>
      </c>
      <c r="C17" s="3" t="s">
        <v>270</v>
      </c>
      <c r="D17" s="4">
        <v>73500</v>
      </c>
      <c r="E17" s="4">
        <v>73500</v>
      </c>
      <c r="F17" s="4">
        <f t="shared" si="1"/>
        <v>0</v>
      </c>
      <c r="G17" s="4">
        <v>73500</v>
      </c>
      <c r="H17" s="4">
        <v>17901</v>
      </c>
      <c r="I17" s="4"/>
      <c r="J17" s="4">
        <v>54505.62</v>
      </c>
      <c r="K17" s="4">
        <f t="shared" si="2"/>
        <v>54505.62</v>
      </c>
      <c r="L17" s="4">
        <f t="shared" si="3"/>
        <v>72406.62</v>
      </c>
      <c r="M17" s="4">
        <f t="shared" si="10"/>
        <v>1093.3800000000047</v>
      </c>
      <c r="N17" s="4"/>
      <c r="O17" s="4">
        <f t="shared" si="4"/>
        <v>0</v>
      </c>
      <c r="P17" s="4">
        <f t="shared" si="5"/>
        <v>1093.3800000000047</v>
      </c>
      <c r="Q17" s="4"/>
      <c r="R17" s="4"/>
      <c r="S17" s="4">
        <f t="shared" si="6"/>
        <v>0</v>
      </c>
      <c r="T17" s="4">
        <f t="shared" si="7"/>
        <v>0</v>
      </c>
      <c r="U17" s="4">
        <f t="shared" si="8"/>
        <v>0</v>
      </c>
      <c r="V17" s="4"/>
      <c r="W17" s="4">
        <f t="shared" si="9"/>
        <v>0</v>
      </c>
      <c r="X17" s="4"/>
      <c r="Y17" s="4"/>
      <c r="Z17" s="325"/>
      <c r="AA17" s="408"/>
      <c r="AB17" s="3">
        <v>810000</v>
      </c>
      <c r="AC17" s="471"/>
      <c r="AD17" s="471"/>
      <c r="AE17" s="471"/>
      <c r="AF17" s="471"/>
      <c r="AG17" s="470"/>
    </row>
    <row r="18" spans="1:34" s="5" customFormat="1" ht="30" customHeight="1">
      <c r="A18" s="3">
        <f t="shared" si="0"/>
        <v>13</v>
      </c>
      <c r="B18" s="57">
        <v>1987</v>
      </c>
      <c r="C18" s="3" t="s">
        <v>330</v>
      </c>
      <c r="D18" s="4">
        <v>120000</v>
      </c>
      <c r="E18" s="4">
        <v>120000</v>
      </c>
      <c r="F18" s="4">
        <f t="shared" si="1"/>
        <v>0</v>
      </c>
      <c r="G18" s="4">
        <v>120000</v>
      </c>
      <c r="H18" s="4">
        <v>0</v>
      </c>
      <c r="I18" s="4"/>
      <c r="J18" s="4"/>
      <c r="K18" s="4">
        <f t="shared" si="2"/>
        <v>0</v>
      </c>
      <c r="L18" s="4">
        <f t="shared" si="3"/>
        <v>0</v>
      </c>
      <c r="M18" s="4">
        <f t="shared" si="10"/>
        <v>120000</v>
      </c>
      <c r="N18" s="4"/>
      <c r="O18" s="4">
        <f t="shared" si="4"/>
        <v>0</v>
      </c>
      <c r="P18" s="4">
        <f t="shared" si="5"/>
        <v>120000</v>
      </c>
      <c r="Q18" s="4"/>
      <c r="R18" s="4"/>
      <c r="S18" s="4">
        <f t="shared" si="6"/>
        <v>0</v>
      </c>
      <c r="T18" s="4">
        <f t="shared" si="7"/>
        <v>0</v>
      </c>
      <c r="U18" s="4">
        <f t="shared" si="8"/>
        <v>0</v>
      </c>
      <c r="V18" s="4"/>
      <c r="W18" s="4">
        <f t="shared" si="9"/>
        <v>0</v>
      </c>
      <c r="X18" s="4"/>
      <c r="Y18" s="4"/>
      <c r="Z18" s="325"/>
      <c r="AA18" s="408"/>
      <c r="AB18" s="3">
        <v>810000</v>
      </c>
      <c r="AC18" s="471"/>
      <c r="AD18" s="471"/>
      <c r="AE18" s="471"/>
      <c r="AF18" s="471"/>
      <c r="AG18" s="470"/>
    </row>
    <row r="19" spans="1:34" s="5" customFormat="1" ht="30" customHeight="1">
      <c r="A19" s="3">
        <f t="shared" si="0"/>
        <v>14</v>
      </c>
      <c r="B19" s="57">
        <v>1990</v>
      </c>
      <c r="C19" s="3" t="s">
        <v>331</v>
      </c>
      <c r="D19" s="4">
        <v>58800</v>
      </c>
      <c r="E19" s="4">
        <v>58800</v>
      </c>
      <c r="F19" s="4">
        <f t="shared" si="1"/>
        <v>0</v>
      </c>
      <c r="G19" s="4">
        <v>58800</v>
      </c>
      <c r="H19" s="4">
        <v>32751.59</v>
      </c>
      <c r="I19" s="4"/>
      <c r="J19" s="4">
        <v>1717.56</v>
      </c>
      <c r="K19" s="4">
        <f t="shared" si="2"/>
        <v>1717.56</v>
      </c>
      <c r="L19" s="4">
        <f t="shared" si="3"/>
        <v>34469.15</v>
      </c>
      <c r="M19" s="4">
        <f t="shared" si="10"/>
        <v>24330.85</v>
      </c>
      <c r="N19" s="4"/>
      <c r="O19" s="4">
        <f t="shared" si="4"/>
        <v>0</v>
      </c>
      <c r="P19" s="4">
        <f t="shared" si="5"/>
        <v>24330.85</v>
      </c>
      <c r="Q19" s="4"/>
      <c r="R19" s="4"/>
      <c r="S19" s="4">
        <f t="shared" si="6"/>
        <v>0</v>
      </c>
      <c r="T19" s="4">
        <f t="shared" si="7"/>
        <v>0</v>
      </c>
      <c r="U19" s="4">
        <f t="shared" si="8"/>
        <v>0</v>
      </c>
      <c r="V19" s="4"/>
      <c r="W19" s="4">
        <f t="shared" si="9"/>
        <v>0</v>
      </c>
      <c r="X19" s="4"/>
      <c r="Y19" s="4"/>
      <c r="Z19" s="325"/>
      <c r="AA19" s="408"/>
      <c r="AB19" s="3">
        <v>810000</v>
      </c>
      <c r="AC19" s="471"/>
      <c r="AD19" s="471"/>
      <c r="AE19" s="471"/>
      <c r="AF19" s="471"/>
      <c r="AG19" s="470"/>
    </row>
    <row r="20" spans="1:34" s="5" customFormat="1" ht="30" customHeight="1">
      <c r="A20" s="3">
        <f t="shared" si="0"/>
        <v>15</v>
      </c>
      <c r="B20" s="408">
        <v>2003</v>
      </c>
      <c r="C20" s="3" t="s">
        <v>332</v>
      </c>
      <c r="D20" s="4">
        <f>250000-100000</f>
        <v>150000</v>
      </c>
      <c r="E20" s="4">
        <v>150000</v>
      </c>
      <c r="F20" s="4">
        <f t="shared" si="1"/>
        <v>0</v>
      </c>
      <c r="G20" s="4">
        <v>150000</v>
      </c>
      <c r="H20" s="4">
        <v>148935.9</v>
      </c>
      <c r="I20" s="4"/>
      <c r="J20" s="4"/>
      <c r="K20" s="4">
        <f t="shared" si="2"/>
        <v>0</v>
      </c>
      <c r="L20" s="4">
        <f t="shared" si="3"/>
        <v>148935.9</v>
      </c>
      <c r="M20" s="4">
        <f t="shared" si="10"/>
        <v>1064.1000000000058</v>
      </c>
      <c r="N20" s="4">
        <f>'[1]אומדן - סיכום'!E94-100000</f>
        <v>0</v>
      </c>
      <c r="O20" s="4">
        <f t="shared" si="4"/>
        <v>0</v>
      </c>
      <c r="P20" s="4">
        <f t="shared" si="5"/>
        <v>1064.1000000000058</v>
      </c>
      <c r="Q20" s="4"/>
      <c r="R20" s="4"/>
      <c r="S20" s="4">
        <f t="shared" si="6"/>
        <v>0</v>
      </c>
      <c r="T20" s="4">
        <f t="shared" si="7"/>
        <v>0</v>
      </c>
      <c r="U20" s="4">
        <f t="shared" si="8"/>
        <v>0</v>
      </c>
      <c r="V20" s="4"/>
      <c r="W20" s="4">
        <f t="shared" si="9"/>
        <v>0</v>
      </c>
      <c r="X20" s="4"/>
      <c r="Y20" s="4"/>
      <c r="Z20" s="325"/>
      <c r="AA20" s="3"/>
      <c r="AB20" s="3">
        <v>810000</v>
      </c>
      <c r="AC20" s="471"/>
      <c r="AD20" s="471"/>
      <c r="AE20" s="471"/>
      <c r="AF20" s="471"/>
      <c r="AG20" s="470"/>
    </row>
    <row r="21" spans="1:34" s="5" customFormat="1" ht="30" customHeight="1">
      <c r="A21" s="3">
        <f t="shared" si="0"/>
        <v>16</v>
      </c>
      <c r="B21" s="408">
        <v>2033</v>
      </c>
      <c r="C21" s="3" t="s">
        <v>778</v>
      </c>
      <c r="D21" s="4">
        <f>'[1]אומדן - סיכום'!E39+'[1]אומדן - סיכום'!E40+'[1]אומדן - סיכום'!E41-50000</f>
        <v>1000000.13398665</v>
      </c>
      <c r="E21" s="4">
        <v>950000</v>
      </c>
      <c r="F21" s="4">
        <f t="shared" si="1"/>
        <v>50000.133986650035</v>
      </c>
      <c r="G21" s="4">
        <v>500000</v>
      </c>
      <c r="H21" s="4">
        <v>0</v>
      </c>
      <c r="I21" s="4"/>
      <c r="J21" s="4"/>
      <c r="K21" s="4">
        <f t="shared" si="2"/>
        <v>0</v>
      </c>
      <c r="L21" s="4">
        <f t="shared" si="3"/>
        <v>0</v>
      </c>
      <c r="M21" s="4">
        <f t="shared" si="10"/>
        <v>500000</v>
      </c>
      <c r="N21" s="4">
        <f>'[1]אומדן - סיכום'!E41+'[1]אומדן - סיכום'!E40+'[1]אומדן - סיכום'!E39-'תקציב אגף חינוך 2019'!E24-50000</f>
        <v>500000.13398665003</v>
      </c>
      <c r="O21" s="4">
        <f t="shared" si="4"/>
        <v>0</v>
      </c>
      <c r="P21" s="4">
        <f t="shared" si="5"/>
        <v>500000</v>
      </c>
      <c r="Q21" s="4"/>
      <c r="R21" s="4"/>
      <c r="S21" s="4">
        <f t="shared" si="6"/>
        <v>0</v>
      </c>
      <c r="T21" s="4">
        <f t="shared" si="7"/>
        <v>0</v>
      </c>
      <c r="U21" s="4">
        <f t="shared" si="8"/>
        <v>500000.13398665003</v>
      </c>
      <c r="V21" s="4"/>
      <c r="W21" s="4">
        <f t="shared" si="9"/>
        <v>500000.13398665003</v>
      </c>
      <c r="X21" s="4"/>
      <c r="Y21" s="4"/>
      <c r="Z21" s="325"/>
      <c r="AA21" s="3" t="s">
        <v>779</v>
      </c>
      <c r="AB21" s="3">
        <v>810000</v>
      </c>
      <c r="AC21" s="471"/>
      <c r="AD21" s="471"/>
      <c r="AE21" s="471"/>
      <c r="AF21" s="471"/>
      <c r="AG21" s="470"/>
    </row>
    <row r="22" spans="1:34" s="5" customFormat="1" ht="30" customHeight="1">
      <c r="A22" s="3">
        <f t="shared" si="0"/>
        <v>17</v>
      </c>
      <c r="B22" s="408">
        <v>2034</v>
      </c>
      <c r="C22" s="3" t="s">
        <v>780</v>
      </c>
      <c r="D22" s="4">
        <f>'[1]אומדן - סיכום'!C56-335000</f>
        <v>2000000</v>
      </c>
      <c r="E22" s="4">
        <v>1700000</v>
      </c>
      <c r="F22" s="4">
        <f t="shared" si="1"/>
        <v>300000</v>
      </c>
      <c r="G22" s="4">
        <v>1302900</v>
      </c>
      <c r="H22" s="4">
        <v>167186.23999999999</v>
      </c>
      <c r="I22" s="4"/>
      <c r="J22" s="4">
        <v>947862.31</v>
      </c>
      <c r="K22" s="4">
        <f t="shared" si="2"/>
        <v>947862.31</v>
      </c>
      <c r="L22" s="4">
        <f t="shared" si="3"/>
        <v>1115048.55</v>
      </c>
      <c r="M22" s="4">
        <f t="shared" si="10"/>
        <v>187851.44999999995</v>
      </c>
      <c r="N22" s="4">
        <f>D22-G22</f>
        <v>697100</v>
      </c>
      <c r="O22" s="4">
        <f t="shared" si="4"/>
        <v>0</v>
      </c>
      <c r="P22" s="4">
        <f t="shared" si="5"/>
        <v>187851.44999999995</v>
      </c>
      <c r="Q22" s="4"/>
      <c r="R22" s="4"/>
      <c r="S22" s="4">
        <f t="shared" si="6"/>
        <v>0</v>
      </c>
      <c r="T22" s="4">
        <f t="shared" si="7"/>
        <v>0</v>
      </c>
      <c r="U22" s="4">
        <f t="shared" si="8"/>
        <v>697100</v>
      </c>
      <c r="V22" s="4"/>
      <c r="W22" s="4">
        <f t="shared" si="9"/>
        <v>697100</v>
      </c>
      <c r="X22" s="4"/>
      <c r="Y22" s="4"/>
      <c r="Z22" s="325"/>
      <c r="AA22" s="3" t="s">
        <v>1343</v>
      </c>
      <c r="AB22" s="3">
        <v>810000</v>
      </c>
      <c r="AC22" s="471"/>
      <c r="AD22" s="471"/>
      <c r="AE22" s="471"/>
      <c r="AF22" s="471"/>
      <c r="AG22" s="470"/>
    </row>
    <row r="23" spans="1:34" s="5" customFormat="1" ht="30" customHeight="1">
      <c r="A23" s="3">
        <f>1+A22</f>
        <v>18</v>
      </c>
      <c r="B23" s="57">
        <v>2069</v>
      </c>
      <c r="C23" s="3" t="s">
        <v>781</v>
      </c>
      <c r="D23" s="4">
        <v>190000</v>
      </c>
      <c r="E23" s="4">
        <v>190000</v>
      </c>
      <c r="F23" s="4">
        <f t="shared" si="1"/>
        <v>0</v>
      </c>
      <c r="G23" s="4">
        <v>190000</v>
      </c>
      <c r="H23" s="4">
        <v>0</v>
      </c>
      <c r="I23" s="4"/>
      <c r="J23" s="4">
        <v>91340</v>
      </c>
      <c r="K23" s="4">
        <f t="shared" si="2"/>
        <v>91340</v>
      </c>
      <c r="L23" s="4">
        <f t="shared" si="3"/>
        <v>91340</v>
      </c>
      <c r="M23" s="4">
        <f t="shared" si="10"/>
        <v>98660</v>
      </c>
      <c r="N23" s="4"/>
      <c r="O23" s="4">
        <f t="shared" si="4"/>
        <v>0</v>
      </c>
      <c r="P23" s="4">
        <f t="shared" si="5"/>
        <v>98660</v>
      </c>
      <c r="Q23" s="4"/>
      <c r="R23" s="4"/>
      <c r="S23" s="4">
        <f t="shared" si="6"/>
        <v>0</v>
      </c>
      <c r="T23" s="4">
        <f t="shared" si="7"/>
        <v>0</v>
      </c>
      <c r="U23" s="4">
        <f t="shared" si="8"/>
        <v>0</v>
      </c>
      <c r="V23" s="4"/>
      <c r="W23" s="4">
        <f t="shared" si="9"/>
        <v>0</v>
      </c>
      <c r="X23" s="4"/>
      <c r="Y23" s="4"/>
      <c r="Z23" s="325"/>
      <c r="AA23" s="408"/>
      <c r="AB23" s="3">
        <v>810000</v>
      </c>
      <c r="AC23" s="471"/>
      <c r="AD23" s="471"/>
      <c r="AE23" s="471"/>
      <c r="AF23" s="471"/>
      <c r="AG23" s="470"/>
    </row>
    <row r="24" spans="1:34" s="5" customFormat="1" ht="30" customHeight="1">
      <c r="A24" s="3">
        <f t="shared" si="0"/>
        <v>19</v>
      </c>
      <c r="B24" s="408">
        <v>2070</v>
      </c>
      <c r="C24" s="3" t="s">
        <v>782</v>
      </c>
      <c r="D24" s="4">
        <v>500000</v>
      </c>
      <c r="E24" s="4">
        <v>500000</v>
      </c>
      <c r="F24" s="4">
        <f t="shared" si="1"/>
        <v>0</v>
      </c>
      <c r="G24" s="4">
        <v>130000</v>
      </c>
      <c r="H24" s="4">
        <v>0</v>
      </c>
      <c r="I24" s="4"/>
      <c r="J24" s="4">
        <v>86998.39</v>
      </c>
      <c r="K24" s="4">
        <f t="shared" si="2"/>
        <v>86998.39</v>
      </c>
      <c r="L24" s="4">
        <f t="shared" si="3"/>
        <v>86998.39</v>
      </c>
      <c r="M24" s="4">
        <f t="shared" si="10"/>
        <v>43001.61</v>
      </c>
      <c r="N24" s="4">
        <f>'[1]אומדן - סיכום'!E78+'[1]אומדן - סיכום'!E77</f>
        <v>190000</v>
      </c>
      <c r="O24" s="4">
        <f t="shared" si="4"/>
        <v>180000</v>
      </c>
      <c r="P24" s="4">
        <f t="shared" si="5"/>
        <v>43001.61</v>
      </c>
      <c r="Q24" s="4"/>
      <c r="R24" s="4"/>
      <c r="S24" s="4">
        <f t="shared" si="6"/>
        <v>0</v>
      </c>
      <c r="T24" s="4">
        <f t="shared" si="7"/>
        <v>0</v>
      </c>
      <c r="U24" s="4">
        <f t="shared" si="8"/>
        <v>190000</v>
      </c>
      <c r="V24" s="4"/>
      <c r="W24" s="4">
        <f t="shared" si="9"/>
        <v>112000</v>
      </c>
      <c r="X24" s="4"/>
      <c r="Y24" s="4"/>
      <c r="Z24" s="473">
        <f>'[1]אומדן - סיכום'!E77</f>
        <v>78000</v>
      </c>
      <c r="AA24" s="3" t="s">
        <v>1521</v>
      </c>
      <c r="AB24" s="3">
        <v>810000</v>
      </c>
      <c r="AC24" s="471"/>
      <c r="AD24" s="471"/>
      <c r="AE24" s="471"/>
      <c r="AF24" s="471"/>
      <c r="AG24" s="470"/>
      <c r="AH24" s="6"/>
    </row>
    <row r="25" spans="1:34" s="5" customFormat="1" ht="30" customHeight="1">
      <c r="A25" s="3">
        <f t="shared" si="0"/>
        <v>20</v>
      </c>
      <c r="B25" s="57">
        <v>2071</v>
      </c>
      <c r="C25" s="3" t="s">
        <v>783</v>
      </c>
      <c r="D25" s="4">
        <v>300000</v>
      </c>
      <c r="E25" s="4">
        <v>300000</v>
      </c>
      <c r="F25" s="4">
        <f>D25-E25</f>
        <v>0</v>
      </c>
      <c r="G25" s="4">
        <v>300000</v>
      </c>
      <c r="H25" s="4">
        <v>0</v>
      </c>
      <c r="I25" s="4"/>
      <c r="J25" s="4"/>
      <c r="K25" s="4">
        <f>I25+J25</f>
        <v>0</v>
      </c>
      <c r="L25" s="4">
        <f>H25+K25</f>
        <v>0</v>
      </c>
      <c r="M25" s="4">
        <f>P25+S25</f>
        <v>300000</v>
      </c>
      <c r="N25" s="4"/>
      <c r="O25" s="4">
        <f>D25-L25-M25-N25</f>
        <v>0</v>
      </c>
      <c r="P25" s="4">
        <f>G25-L25</f>
        <v>300000</v>
      </c>
      <c r="Q25" s="4"/>
      <c r="R25" s="4"/>
      <c r="S25" s="4">
        <f>SUM(Q25:R25)</f>
        <v>0</v>
      </c>
      <c r="T25" s="4">
        <f>P25-M25+S25</f>
        <v>0</v>
      </c>
      <c r="U25" s="4">
        <f>N25-T25</f>
        <v>0</v>
      </c>
      <c r="V25" s="4"/>
      <c r="W25" s="4">
        <f>U25-V25-Y25-Z25</f>
        <v>0</v>
      </c>
      <c r="X25" s="4"/>
      <c r="Y25" s="4"/>
      <c r="Z25" s="325"/>
      <c r="AA25" s="408"/>
      <c r="AB25" s="3">
        <v>810000</v>
      </c>
      <c r="AC25" s="471"/>
      <c r="AD25" s="471"/>
      <c r="AE25" s="471"/>
      <c r="AF25" s="471"/>
      <c r="AG25" s="470"/>
      <c r="AH25" s="6"/>
    </row>
    <row r="26" spans="1:34" s="5" customFormat="1" ht="30" customHeight="1">
      <c r="A26" s="3">
        <f t="shared" si="0"/>
        <v>21</v>
      </c>
      <c r="B26" s="42">
        <v>2090</v>
      </c>
      <c r="C26" s="3" t="s">
        <v>785</v>
      </c>
      <c r="D26" s="4">
        <v>350000</v>
      </c>
      <c r="E26" s="4"/>
      <c r="F26" s="4">
        <f>D26-E26</f>
        <v>350000</v>
      </c>
      <c r="G26" s="4"/>
      <c r="H26" s="4"/>
      <c r="I26" s="4"/>
      <c r="J26" s="4"/>
      <c r="K26" s="4">
        <f>I26+J26</f>
        <v>0</v>
      </c>
      <c r="L26" s="4">
        <f>H26+K26</f>
        <v>0</v>
      </c>
      <c r="M26" s="4">
        <f>P26+S26</f>
        <v>0</v>
      </c>
      <c r="N26" s="4">
        <v>350000</v>
      </c>
      <c r="O26" s="4">
        <f>D26-L26-M26-N26</f>
        <v>0</v>
      </c>
      <c r="P26" s="4">
        <f>G26-L26</f>
        <v>0</v>
      </c>
      <c r="Q26" s="4"/>
      <c r="R26" s="4"/>
      <c r="S26" s="4">
        <f>SUM(Q26:R26)</f>
        <v>0</v>
      </c>
      <c r="T26" s="4">
        <f>P26-M26+S26</f>
        <v>0</v>
      </c>
      <c r="U26" s="4">
        <f>N26-T26</f>
        <v>350000</v>
      </c>
      <c r="V26" s="4"/>
      <c r="W26" s="4">
        <f>U26-V26-Y26-Z26</f>
        <v>350000</v>
      </c>
      <c r="X26" s="4"/>
      <c r="Y26" s="4"/>
      <c r="Z26" s="325"/>
      <c r="AA26" s="3" t="s">
        <v>1344</v>
      </c>
      <c r="AB26" s="3">
        <v>810000</v>
      </c>
      <c r="AC26" s="471"/>
      <c r="AD26" s="471"/>
      <c r="AE26" s="471"/>
      <c r="AF26" s="471"/>
      <c r="AG26" s="470"/>
    </row>
    <row r="27" spans="1:34" s="5" customFormat="1" ht="30" customHeight="1">
      <c r="A27" s="3">
        <f t="shared" si="0"/>
        <v>22</v>
      </c>
      <c r="B27" s="42">
        <v>2091</v>
      </c>
      <c r="C27" s="3" t="s">
        <v>786</v>
      </c>
      <c r="D27" s="4">
        <v>1500000</v>
      </c>
      <c r="E27" s="4"/>
      <c r="F27" s="4">
        <f>D27-E27</f>
        <v>1500000</v>
      </c>
      <c r="G27" s="4"/>
      <c r="H27" s="4">
        <v>0</v>
      </c>
      <c r="I27" s="4"/>
      <c r="J27" s="4"/>
      <c r="K27" s="4">
        <f>I27+J27</f>
        <v>0</v>
      </c>
      <c r="L27" s="4">
        <f>H27+K27</f>
        <v>0</v>
      </c>
      <c r="M27" s="4">
        <f>P27+S27</f>
        <v>0</v>
      </c>
      <c r="N27" s="4">
        <v>900000</v>
      </c>
      <c r="O27" s="4">
        <f>D27-L27-M27-N27</f>
        <v>600000</v>
      </c>
      <c r="P27" s="4">
        <f>G27-L27</f>
        <v>0</v>
      </c>
      <c r="Q27" s="4"/>
      <c r="R27" s="4"/>
      <c r="S27" s="4">
        <f>SUM(Q27:R27)</f>
        <v>0</v>
      </c>
      <c r="T27" s="4">
        <f>P27-M27+S27</f>
        <v>0</v>
      </c>
      <c r="U27" s="4">
        <f>N27-T27</f>
        <v>900000</v>
      </c>
      <c r="V27" s="4"/>
      <c r="W27" s="4">
        <f>U27-V27-Y27-Z27</f>
        <v>900000</v>
      </c>
      <c r="X27" s="4"/>
      <c r="Y27" s="4"/>
      <c r="Z27" s="325"/>
      <c r="AA27" s="3" t="s">
        <v>1455</v>
      </c>
      <c r="AB27" s="3">
        <v>810000</v>
      </c>
      <c r="AC27" s="471"/>
      <c r="AD27" s="471"/>
      <c r="AE27" s="471"/>
      <c r="AF27" s="471"/>
      <c r="AG27" s="470"/>
    </row>
    <row r="28" spans="1:34" s="5" customFormat="1" ht="42">
      <c r="A28" s="3">
        <f t="shared" si="0"/>
        <v>23</v>
      </c>
      <c r="B28" s="42">
        <v>2092</v>
      </c>
      <c r="C28" s="3" t="s">
        <v>1345</v>
      </c>
      <c r="D28" s="4">
        <v>4800000</v>
      </c>
      <c r="E28" s="4"/>
      <c r="F28" s="4">
        <f>D28-E28</f>
        <v>4800000</v>
      </c>
      <c r="G28" s="4"/>
      <c r="H28" s="4"/>
      <c r="I28" s="4"/>
      <c r="J28" s="4"/>
      <c r="K28" s="4">
        <f>I28+J28</f>
        <v>0</v>
      </c>
      <c r="L28" s="4">
        <f>H28+K28</f>
        <v>0</v>
      </c>
      <c r="M28" s="4">
        <f>P28+S28</f>
        <v>0</v>
      </c>
      <c r="N28" s="4">
        <v>4800000</v>
      </c>
      <c r="O28" s="4">
        <f>D28-L28-M28-N28</f>
        <v>0</v>
      </c>
      <c r="P28" s="4">
        <f>G28-L28</f>
        <v>0</v>
      </c>
      <c r="Q28" s="4"/>
      <c r="R28" s="4"/>
      <c r="S28" s="4">
        <f>SUM(Q28:R28)</f>
        <v>0</v>
      </c>
      <c r="T28" s="4">
        <f>P28-M28+S28</f>
        <v>0</v>
      </c>
      <c r="U28" s="4">
        <f>N28-T28</f>
        <v>4800000</v>
      </c>
      <c r="V28" s="4"/>
      <c r="W28" s="4">
        <f>U28-V28-Y28-Z28</f>
        <v>0</v>
      </c>
      <c r="X28" s="4"/>
      <c r="Y28" s="4"/>
      <c r="Z28" s="4">
        <v>4800000</v>
      </c>
      <c r="AA28" s="3" t="s">
        <v>1346</v>
      </c>
      <c r="AB28" s="3">
        <v>810000</v>
      </c>
      <c r="AC28" s="471"/>
      <c r="AD28" s="471"/>
      <c r="AE28" s="471"/>
      <c r="AF28" s="471"/>
      <c r="AG28" s="470"/>
    </row>
    <row r="29" spans="1:34" s="6" customFormat="1" ht="30" customHeight="1">
      <c r="A29" s="9">
        <f>A28</f>
        <v>23</v>
      </c>
      <c r="B29" s="474"/>
      <c r="C29" s="9" t="s">
        <v>907</v>
      </c>
      <c r="D29" s="10">
        <f t="shared" ref="D29:Z29" si="11">SUM(D6:D28)</f>
        <v>18230363.133986652</v>
      </c>
      <c r="E29" s="10">
        <f t="shared" si="11"/>
        <v>11385500</v>
      </c>
      <c r="F29" s="10">
        <f t="shared" si="11"/>
        <v>6844863.13398665</v>
      </c>
      <c r="G29" s="10">
        <f t="shared" si="11"/>
        <v>9038263</v>
      </c>
      <c r="H29" s="10">
        <f t="shared" si="11"/>
        <v>4614992.4400000004</v>
      </c>
      <c r="I29" s="10">
        <f t="shared" si="11"/>
        <v>0</v>
      </c>
      <c r="J29" s="10">
        <f t="shared" si="11"/>
        <v>1851410.6500000001</v>
      </c>
      <c r="K29" s="10">
        <f t="shared" si="11"/>
        <v>1851410.6500000001</v>
      </c>
      <c r="L29" s="10">
        <f t="shared" si="11"/>
        <v>6466403.0899999999</v>
      </c>
      <c r="M29" s="10">
        <f t="shared" si="11"/>
        <v>2071859.9100000001</v>
      </c>
      <c r="N29" s="10">
        <f t="shared" si="11"/>
        <v>8912100.13398665</v>
      </c>
      <c r="O29" s="10">
        <f t="shared" si="11"/>
        <v>780000</v>
      </c>
      <c r="P29" s="10">
        <f t="shared" si="11"/>
        <v>2571859.9100000006</v>
      </c>
      <c r="Q29" s="10">
        <f t="shared" si="11"/>
        <v>0</v>
      </c>
      <c r="R29" s="10">
        <f t="shared" si="11"/>
        <v>0</v>
      </c>
      <c r="S29" s="10">
        <f t="shared" si="11"/>
        <v>0</v>
      </c>
      <c r="T29" s="10">
        <f t="shared" si="11"/>
        <v>500000</v>
      </c>
      <c r="U29" s="10">
        <f t="shared" si="11"/>
        <v>8412100.13398665</v>
      </c>
      <c r="V29" s="10">
        <f t="shared" si="11"/>
        <v>0</v>
      </c>
      <c r="W29" s="10">
        <f t="shared" si="11"/>
        <v>3534100.13398665</v>
      </c>
      <c r="X29" s="10">
        <f t="shared" si="11"/>
        <v>0</v>
      </c>
      <c r="Y29" s="10">
        <f t="shared" si="11"/>
        <v>0</v>
      </c>
      <c r="Z29" s="10">
        <f t="shared" si="11"/>
        <v>4878000</v>
      </c>
      <c r="AA29" s="450"/>
      <c r="AB29" s="9"/>
      <c r="AC29" s="471"/>
      <c r="AD29" s="471"/>
      <c r="AE29" s="471"/>
      <c r="AF29" s="471"/>
      <c r="AG29" s="470"/>
    </row>
    <row r="30" spans="1:34" s="5" customFormat="1" ht="18.75" hidden="1" customHeight="1">
      <c r="A30" s="31"/>
      <c r="B30" s="15"/>
      <c r="C30" s="21"/>
      <c r="D30" s="17"/>
      <c r="E30" s="17"/>
      <c r="F30" s="17"/>
      <c r="G30" s="17"/>
      <c r="H30" s="17"/>
      <c r="I30" s="17"/>
      <c r="J30" s="17"/>
      <c r="K30" s="17"/>
      <c r="L30" s="24">
        <f>H29+K29</f>
        <v>6466403.0900000008</v>
      </c>
      <c r="M30" s="24">
        <f>P29+S29-T29</f>
        <v>2071859.9100000006</v>
      </c>
      <c r="N30" s="51"/>
      <c r="O30" s="27"/>
      <c r="P30" s="24">
        <f>G29-L29</f>
        <v>2571859.91</v>
      </c>
      <c r="Q30" s="27"/>
      <c r="R30" s="27"/>
      <c r="S30" s="27"/>
      <c r="T30" s="27"/>
      <c r="U30" s="24">
        <f>N29-T29</f>
        <v>8412100.13398665</v>
      </c>
      <c r="V30" s="15"/>
      <c r="W30" s="15"/>
      <c r="X30" s="15"/>
      <c r="Y30" s="15"/>
      <c r="Z30" s="15"/>
      <c r="AA30" s="40"/>
      <c r="AB30" s="15"/>
      <c r="AC30" s="471"/>
      <c r="AD30" s="471"/>
      <c r="AE30" s="471"/>
      <c r="AF30" s="471"/>
      <c r="AG30" s="470"/>
    </row>
    <row r="33" spans="21:21">
      <c r="U33" s="17"/>
    </row>
  </sheetData>
  <sheetProtection formatCells="0" formatColumns="0" formatRows="0" insertColumns="0" insertRows="0" insertHyperlinks="0" deleteColumns="0" deleteRows="0" sort="0" autoFilter="0" pivotTables="0"/>
  <sortState ref="A6:AI25">
    <sortCondition ref="B6:B25"/>
  </sortState>
  <conditionalFormatting sqref="AG4:AG24 A1:W2 AE1:XFD2 Y1:AB2 AD1:AF24 AG29:AG30 AC29:AF1048576">
    <cfRule type="cellIs" dxfId="280" priority="13" operator="equal">
      <formula>0</formula>
    </cfRule>
  </conditionalFormatting>
  <conditionalFormatting sqref="AA4">
    <cfRule type="cellIs" dxfId="279" priority="12" operator="equal">
      <formula>0</formula>
    </cfRule>
  </conditionalFormatting>
  <conditionalFormatting sqref="X1:X2">
    <cfRule type="cellIs" dxfId="278" priority="7" operator="equal">
      <formula>0</formula>
    </cfRule>
  </conditionalFormatting>
  <conditionalFormatting sqref="AC1:AC24">
    <cfRule type="cellIs" dxfId="277" priority="6" operator="equal">
      <formula>0</formula>
    </cfRule>
  </conditionalFormatting>
  <conditionalFormatting sqref="AD25:AG25">
    <cfRule type="cellIs" dxfId="276" priority="5" operator="equal">
      <formula>0</formula>
    </cfRule>
  </conditionalFormatting>
  <conditionalFormatting sqref="AC25">
    <cfRule type="cellIs" dxfId="275" priority="4" operator="equal">
      <formula>0</formula>
    </cfRule>
  </conditionalFormatting>
  <conditionalFormatting sqref="AG27:AG28 AD26:AF28">
    <cfRule type="cellIs" dxfId="274" priority="3" operator="equal">
      <formula>0</formula>
    </cfRule>
  </conditionalFormatting>
  <conditionalFormatting sqref="AG26">
    <cfRule type="cellIs" dxfId="273" priority="2" operator="equal">
      <formula>0</formula>
    </cfRule>
  </conditionalFormatting>
  <conditionalFormatting sqref="AC26:AC28">
    <cfRule type="cellIs" dxfId="272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showZeros="0" rightToLeft="1" zoomScaleNormal="100" workbookViewId="0">
      <pane xSplit="3" ySplit="4" topLeftCell="D25" activePane="bottomRight" state="frozen"/>
      <selection activeCell="C42" sqref="C42"/>
      <selection pane="topRight" activeCell="C42" sqref="C42"/>
      <selection pane="bottomLeft" activeCell="C42" sqref="C42"/>
      <selection pane="bottomRight" activeCell="C42" sqref="C42"/>
    </sheetView>
  </sheetViews>
  <sheetFormatPr defaultColWidth="9.1796875" defaultRowHeight="14"/>
  <cols>
    <col min="1" max="1" width="5.26953125" style="40" customWidth="1"/>
    <col min="2" max="2" width="6.7265625" style="15" customWidth="1"/>
    <col min="3" max="3" width="28.26953125" style="21" customWidth="1"/>
    <col min="4" max="4" width="10.26953125" style="17" customWidth="1"/>
    <col min="5" max="5" width="10.453125" style="17" customWidth="1"/>
    <col min="6" max="6" width="9.26953125" style="17" customWidth="1"/>
    <col min="7" max="10" width="12.7265625" style="17" hidden="1" customWidth="1"/>
    <col min="11" max="11" width="11.26953125" style="17" hidden="1" customWidth="1"/>
    <col min="12" max="12" width="8.81640625" style="17" customWidth="1"/>
    <col min="13" max="13" width="9.81640625" style="17" customWidth="1"/>
    <col min="14" max="14" width="10.7265625" style="17" customWidth="1"/>
    <col min="15" max="15" width="9.7265625" style="17" customWidth="1"/>
    <col min="16" max="17" width="11.1796875" style="17" hidden="1" customWidth="1"/>
    <col min="18" max="19" width="12" style="17" hidden="1" customWidth="1"/>
    <col min="20" max="20" width="8" style="17" customWidth="1"/>
    <col min="21" max="21" width="10.26953125" style="15" customWidth="1"/>
    <col min="22" max="22" width="8.453125" style="15" hidden="1" customWidth="1"/>
    <col min="23" max="23" width="9.1796875" style="15" customWidth="1"/>
    <col min="24" max="25" width="7.453125" style="15" hidden="1" customWidth="1"/>
    <col min="26" max="26" width="9.453125" style="15" customWidth="1"/>
    <col min="27" max="27" width="25.7265625" style="611" hidden="1" customWidth="1"/>
    <col min="28" max="28" width="7.81640625" style="15" customWidth="1"/>
    <col min="29" max="29" width="24.54296875" style="471" customWidth="1"/>
    <col min="30" max="30" width="10.1796875" style="471" customWidth="1"/>
    <col min="31" max="31" width="9.453125" style="471" customWidth="1"/>
    <col min="32" max="32" width="13.453125" style="471" customWidth="1"/>
    <col min="33" max="33" width="19.7265625" style="40" customWidth="1"/>
    <col min="34" max="35" width="9.1796875" style="15" customWidth="1"/>
    <col min="36" max="16384" width="9.1796875" style="15"/>
  </cols>
  <sheetData>
    <row r="1" spans="1:35" s="469" customFormat="1" ht="18">
      <c r="A1" s="464"/>
      <c r="B1" s="464"/>
      <c r="C1" s="465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  <c r="O1" s="464"/>
      <c r="P1" s="464"/>
      <c r="Q1" s="464"/>
      <c r="R1" s="464"/>
      <c r="S1" s="464"/>
      <c r="T1" s="464"/>
      <c r="U1" s="464"/>
      <c r="V1" s="464"/>
      <c r="W1" s="464"/>
      <c r="X1" s="466"/>
      <c r="Y1" s="466"/>
      <c r="Z1" s="467"/>
      <c r="AA1" s="615"/>
      <c r="AB1" s="468"/>
      <c r="AC1" s="471"/>
      <c r="AD1" s="471"/>
      <c r="AE1" s="471"/>
      <c r="AF1" s="471"/>
      <c r="AG1" s="467"/>
      <c r="AH1" s="468"/>
      <c r="AI1" s="467"/>
    </row>
    <row r="2" spans="1:35" s="469" customFormat="1" ht="18">
      <c r="A2" s="464" t="s">
        <v>560</v>
      </c>
      <c r="B2" s="464"/>
      <c r="C2" s="465"/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4"/>
      <c r="O2" s="464"/>
      <c r="P2" s="464"/>
      <c r="Q2" s="464"/>
      <c r="R2" s="464"/>
      <c r="S2" s="464"/>
      <c r="T2" s="464"/>
      <c r="U2" s="464"/>
      <c r="V2" s="464"/>
      <c r="W2" s="464"/>
      <c r="X2" s="470"/>
      <c r="Y2" s="470"/>
      <c r="Z2" s="470"/>
      <c r="AA2" s="616"/>
      <c r="AB2" s="471"/>
      <c r="AC2" s="471"/>
      <c r="AD2" s="471"/>
      <c r="AE2" s="471"/>
      <c r="AF2" s="471"/>
      <c r="AG2" s="470"/>
      <c r="AH2" s="471"/>
      <c r="AI2" s="470"/>
    </row>
    <row r="4" spans="1:35" s="34" customFormat="1" ht="86.25" customHeight="1">
      <c r="A4" s="283" t="s">
        <v>0</v>
      </c>
      <c r="B4" s="19" t="s">
        <v>1</v>
      </c>
      <c r="C4" s="19" t="s">
        <v>2</v>
      </c>
      <c r="D4" s="19" t="s">
        <v>3</v>
      </c>
      <c r="E4" s="19" t="s">
        <v>4</v>
      </c>
      <c r="F4" s="19" t="s">
        <v>5</v>
      </c>
      <c r="G4" s="19" t="s">
        <v>6</v>
      </c>
      <c r="H4" s="19" t="s">
        <v>7</v>
      </c>
      <c r="I4" s="19" t="s">
        <v>9</v>
      </c>
      <c r="J4" s="19" t="s">
        <v>318</v>
      </c>
      <c r="K4" s="19" t="s">
        <v>10</v>
      </c>
      <c r="L4" s="19" t="s">
        <v>11</v>
      </c>
      <c r="M4" s="11" t="s">
        <v>627</v>
      </c>
      <c r="N4" s="19" t="s">
        <v>628</v>
      </c>
      <c r="O4" s="19" t="s">
        <v>629</v>
      </c>
      <c r="P4" s="19" t="s">
        <v>12</v>
      </c>
      <c r="Q4" s="19" t="s">
        <v>630</v>
      </c>
      <c r="R4" s="19" t="s">
        <v>631</v>
      </c>
      <c r="S4" s="19" t="s">
        <v>632</v>
      </c>
      <c r="T4" s="19" t="s">
        <v>633</v>
      </c>
      <c r="U4" s="19" t="s">
        <v>634</v>
      </c>
      <c r="V4" s="19" t="s">
        <v>13</v>
      </c>
      <c r="W4" s="19" t="s">
        <v>14</v>
      </c>
      <c r="X4" s="19" t="s">
        <v>15</v>
      </c>
      <c r="Y4" s="19" t="s">
        <v>523</v>
      </c>
      <c r="Z4" s="19" t="s">
        <v>140</v>
      </c>
      <c r="AA4" s="421" t="s">
        <v>635</v>
      </c>
      <c r="AB4" s="19" t="s">
        <v>16</v>
      </c>
      <c r="AC4" s="471"/>
      <c r="AD4" s="471"/>
      <c r="AE4" s="471"/>
      <c r="AF4" s="471"/>
      <c r="AG4" s="470"/>
    </row>
    <row r="5" spans="1:35" s="56" customFormat="1" ht="18.75" customHeight="1">
      <c r="A5" s="48"/>
      <c r="B5" s="48"/>
      <c r="C5" s="48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91"/>
      <c r="AB5" s="48"/>
      <c r="AC5" s="471"/>
      <c r="AD5" s="471"/>
      <c r="AE5" s="471"/>
      <c r="AF5" s="471"/>
      <c r="AG5" s="470"/>
    </row>
    <row r="6" spans="1:35" s="5" customFormat="1">
      <c r="A6" s="3">
        <f>1+A5</f>
        <v>1</v>
      </c>
      <c r="B6" s="3">
        <v>1775</v>
      </c>
      <c r="C6" s="3" t="s">
        <v>91</v>
      </c>
      <c r="D6" s="4">
        <f>'תקציב אגף חינוך 2019'!D8</f>
        <v>465000</v>
      </c>
      <c r="E6" s="4">
        <f>'תקציב אגף חינוך 2019'!E8</f>
        <v>465000</v>
      </c>
      <c r="F6" s="4">
        <f>'תקציב אגף חינוך 2019'!F8</f>
        <v>0</v>
      </c>
      <c r="G6" s="4">
        <f>'תקציב אגף חינוך 2019'!G8</f>
        <v>465000</v>
      </c>
      <c r="H6" s="4">
        <f>'תקציב אגף חינוך 2019'!H8</f>
        <v>461980.11</v>
      </c>
      <c r="I6" s="4">
        <f>'תקציב אגף חינוך 2019'!I8</f>
        <v>0</v>
      </c>
      <c r="J6" s="4">
        <f>'תקציב אגף חינוך 2019'!J8</f>
        <v>0</v>
      </c>
      <c r="K6" s="4">
        <f>'תקציב אגף חינוך 2019'!K8</f>
        <v>0</v>
      </c>
      <c r="L6" s="4">
        <f>'תקציב אגף חינוך 2019'!L8</f>
        <v>461980.11</v>
      </c>
      <c r="M6" s="4">
        <f>'תקציב אגף חינוך 2019'!M8</f>
        <v>3019.890000000014</v>
      </c>
      <c r="N6" s="4">
        <f>'תקציב אגף חינוך 2019'!N8</f>
        <v>0</v>
      </c>
      <c r="O6" s="4">
        <f>'תקציב אגף חינוך 2019'!O8</f>
        <v>0</v>
      </c>
      <c r="P6" s="4">
        <f>'תקציב אגף חינוך 2019'!P8</f>
        <v>3019.890000000014</v>
      </c>
      <c r="Q6" s="4">
        <f>'תקציב אגף חינוך 2019'!Q8</f>
        <v>0</v>
      </c>
      <c r="R6" s="4">
        <f>'תקציב אגף חינוך 2019'!R8</f>
        <v>0</v>
      </c>
      <c r="S6" s="4">
        <f>'תקציב אגף חינוך 2019'!S8</f>
        <v>0</v>
      </c>
      <c r="T6" s="4">
        <f>'תקציב אגף חינוך 2019'!T8</f>
        <v>0</v>
      </c>
      <c r="U6" s="4">
        <f>'תקציב אגף חינוך 2019'!U8</f>
        <v>0</v>
      </c>
      <c r="V6" s="4">
        <f>'תקציב אגף חינוך 2019'!V8</f>
        <v>0</v>
      </c>
      <c r="W6" s="4">
        <f>'תקציב אגף חינוך 2019'!W8</f>
        <v>0</v>
      </c>
      <c r="X6" s="4">
        <f>'תקציב אגף חינוך 2019'!X8</f>
        <v>0</v>
      </c>
      <c r="Y6" s="4">
        <f>'תקציב אגף חינוך 2019'!Y8</f>
        <v>0</v>
      </c>
      <c r="Z6" s="4">
        <f>'תקציב אגף חינוך 2019'!Z8</f>
        <v>0</v>
      </c>
      <c r="AA6" s="124">
        <f>'תקציב אגף חינוך 2019'!AA8</f>
        <v>0</v>
      </c>
      <c r="AB6" s="3">
        <f>'תקציב אגף חינוך 2019'!AB8</f>
        <v>760000</v>
      </c>
      <c r="AC6" s="471"/>
      <c r="AD6" s="471"/>
      <c r="AE6" s="471"/>
      <c r="AF6" s="471"/>
      <c r="AG6" s="470"/>
    </row>
    <row r="7" spans="1:35" s="101" customFormat="1">
      <c r="A7" s="44"/>
      <c r="B7" s="44"/>
      <c r="C7" s="44" t="s">
        <v>1203</v>
      </c>
      <c r="D7" s="125">
        <f>SUM(D6)</f>
        <v>465000</v>
      </c>
      <c r="E7" s="125">
        <f t="shared" ref="E7:Z7" si="0">SUM(E6)</f>
        <v>465000</v>
      </c>
      <c r="F7" s="125">
        <f t="shared" si="0"/>
        <v>0</v>
      </c>
      <c r="G7" s="125">
        <f t="shared" si="0"/>
        <v>465000</v>
      </c>
      <c r="H7" s="125">
        <f t="shared" si="0"/>
        <v>461980.11</v>
      </c>
      <c r="I7" s="125">
        <f t="shared" si="0"/>
        <v>0</v>
      </c>
      <c r="J7" s="125">
        <f t="shared" si="0"/>
        <v>0</v>
      </c>
      <c r="K7" s="125">
        <f t="shared" si="0"/>
        <v>0</v>
      </c>
      <c r="L7" s="125">
        <f t="shared" si="0"/>
        <v>461980.11</v>
      </c>
      <c r="M7" s="125">
        <f t="shared" si="0"/>
        <v>3019.890000000014</v>
      </c>
      <c r="N7" s="125">
        <f t="shared" si="0"/>
        <v>0</v>
      </c>
      <c r="O7" s="125">
        <f t="shared" si="0"/>
        <v>0</v>
      </c>
      <c r="P7" s="125">
        <f t="shared" si="0"/>
        <v>3019.890000000014</v>
      </c>
      <c r="Q7" s="125">
        <f t="shared" si="0"/>
        <v>0</v>
      </c>
      <c r="R7" s="125">
        <f t="shared" si="0"/>
        <v>0</v>
      </c>
      <c r="S7" s="125">
        <f t="shared" si="0"/>
        <v>0</v>
      </c>
      <c r="T7" s="125">
        <f t="shared" si="0"/>
        <v>0</v>
      </c>
      <c r="U7" s="125">
        <f t="shared" si="0"/>
        <v>0</v>
      </c>
      <c r="V7" s="125">
        <f t="shared" si="0"/>
        <v>0</v>
      </c>
      <c r="W7" s="125">
        <f t="shared" si="0"/>
        <v>0</v>
      </c>
      <c r="X7" s="125">
        <f t="shared" si="0"/>
        <v>0</v>
      </c>
      <c r="Y7" s="125">
        <f t="shared" si="0"/>
        <v>0</v>
      </c>
      <c r="Z7" s="125">
        <f t="shared" si="0"/>
        <v>0</v>
      </c>
      <c r="AA7" s="620"/>
      <c r="AB7" s="44"/>
      <c r="AC7" s="651"/>
      <c r="AD7" s="651"/>
      <c r="AE7" s="651"/>
      <c r="AF7" s="651"/>
      <c r="AG7" s="652"/>
    </row>
    <row r="8" spans="1:35" s="5" customFormat="1" ht="28">
      <c r="A8" s="3">
        <f>1+A6</f>
        <v>2</v>
      </c>
      <c r="B8" s="3">
        <v>1976</v>
      </c>
      <c r="C8" s="3" t="s">
        <v>268</v>
      </c>
      <c r="D8" s="4">
        <f>'תקציב אגף חינוך 2019'!D15</f>
        <v>644100</v>
      </c>
      <c r="E8" s="4">
        <f>'תקציב אגף חינוך 2019'!E15</f>
        <v>644100</v>
      </c>
      <c r="F8" s="4">
        <f>'תקציב אגף חינוך 2019'!F15</f>
        <v>0</v>
      </c>
      <c r="G8" s="4">
        <f>'תקציב אגף חינוך 2019'!G15</f>
        <v>644100</v>
      </c>
      <c r="H8" s="4">
        <f>'תקציב אגף חינוך 2019'!H15</f>
        <v>339244.14</v>
      </c>
      <c r="I8" s="4">
        <f>'תקציב אגף חינוך 2019'!I15</f>
        <v>0</v>
      </c>
      <c r="J8" s="4">
        <f>'תקציב אגף חינוך 2019'!J15</f>
        <v>0</v>
      </c>
      <c r="K8" s="4">
        <f>'תקציב אגף חינוך 2019'!K15</f>
        <v>0</v>
      </c>
      <c r="L8" s="4">
        <f>'תקציב אגף חינוך 2019'!L15</f>
        <v>339244.14</v>
      </c>
      <c r="M8" s="4">
        <f>'תקציב אגף חינוך 2019'!M15</f>
        <v>304855.86</v>
      </c>
      <c r="N8" s="4">
        <f>'תקציב אגף חינוך 2019'!N15</f>
        <v>0</v>
      </c>
      <c r="O8" s="4">
        <f>'תקציב אגף חינוך 2019'!O15</f>
        <v>0</v>
      </c>
      <c r="P8" s="4">
        <f>'תקציב אגף חינוך 2019'!P15</f>
        <v>304855.86</v>
      </c>
      <c r="Q8" s="4">
        <f>'תקציב אגף חינוך 2019'!Q15</f>
        <v>0</v>
      </c>
      <c r="R8" s="4">
        <f>'תקציב אגף חינוך 2019'!R15</f>
        <v>0</v>
      </c>
      <c r="S8" s="4">
        <f>'תקציב אגף חינוך 2019'!S15</f>
        <v>0</v>
      </c>
      <c r="T8" s="4">
        <f>'תקציב אגף חינוך 2019'!T15</f>
        <v>0</v>
      </c>
      <c r="U8" s="4">
        <f>'תקציב אגף חינוך 2019'!U15</f>
        <v>0</v>
      </c>
      <c r="V8" s="4">
        <f>'תקציב אגף חינוך 2019'!V15</f>
        <v>0</v>
      </c>
      <c r="W8" s="4">
        <f>'תקציב אגף חינוך 2019'!W15</f>
        <v>0</v>
      </c>
      <c r="X8" s="4">
        <f>'תקציב אגף חינוך 2019'!X15</f>
        <v>0</v>
      </c>
      <c r="Y8" s="4">
        <f>'תקציב אגף חינוך 2019'!Y15</f>
        <v>0</v>
      </c>
      <c r="Z8" s="4">
        <f>'תקציב אגף חינוך 2019'!Z15</f>
        <v>0</v>
      </c>
      <c r="AA8" s="124" t="str">
        <f>'תקציב אגף חינוך 2019'!AA15</f>
        <v>המשך הצטיידות אופק אחרי השיפוץ.</v>
      </c>
      <c r="AB8" s="3">
        <f>'תקציב אגף חינוך 2019'!AB15</f>
        <v>810000</v>
      </c>
      <c r="AC8" s="471"/>
      <c r="AD8" s="471"/>
      <c r="AE8" s="471"/>
      <c r="AF8" s="471"/>
      <c r="AG8" s="470"/>
    </row>
    <row r="9" spans="1:35" s="5" customFormat="1">
      <c r="A9" s="3">
        <f t="shared" ref="A9:A29" si="1">1+A8</f>
        <v>3</v>
      </c>
      <c r="B9" s="3">
        <v>1710</v>
      </c>
      <c r="C9" s="3" t="s">
        <v>89</v>
      </c>
      <c r="D9" s="4">
        <f>'תקציב אגף חינוך 2019'!D6</f>
        <v>1134863</v>
      </c>
      <c r="E9" s="4">
        <f>'תקציב אגף חינוך 2019'!E6</f>
        <v>1700000</v>
      </c>
      <c r="F9" s="4">
        <f>'תקציב אגף חינוך 2019'!F6</f>
        <v>-565137</v>
      </c>
      <c r="G9" s="4">
        <f>'תקציב אגף חינוך 2019'!G6</f>
        <v>1634863</v>
      </c>
      <c r="H9" s="4">
        <f>'תקציב אגף חינוך 2019'!H6</f>
        <v>938551.23</v>
      </c>
      <c r="I9" s="4">
        <f>'תקציב אגף חינוך 2019'!I6</f>
        <v>0</v>
      </c>
      <c r="J9" s="4">
        <f>'תקציב אגף חינוך 2019'!J6</f>
        <v>0</v>
      </c>
      <c r="K9" s="4">
        <f>'תקציב אגף חינוך 2019'!K6</f>
        <v>0</v>
      </c>
      <c r="L9" s="4">
        <f>'תקציב אגף חינוך 2019'!L6</f>
        <v>938551.23</v>
      </c>
      <c r="M9" s="4">
        <f>'תקציב אגף חינוך 2019'!M6</f>
        <v>196311.77000000002</v>
      </c>
      <c r="N9" s="4">
        <f>'תקציב אגף חינוך 2019'!N6</f>
        <v>0</v>
      </c>
      <c r="O9" s="4">
        <f>'תקציב אגף חינוך 2019'!O6</f>
        <v>0</v>
      </c>
      <c r="P9" s="4">
        <f>'תקציב אגף חינוך 2019'!P6</f>
        <v>696311.77</v>
      </c>
      <c r="Q9" s="4">
        <f>'תקציב אגף חינוך 2019'!Q6</f>
        <v>0</v>
      </c>
      <c r="R9" s="4">
        <f>'תקציב אגף חינוך 2019'!R6</f>
        <v>0</v>
      </c>
      <c r="S9" s="4">
        <f>'תקציב אגף חינוך 2019'!S6</f>
        <v>0</v>
      </c>
      <c r="T9" s="4">
        <f>'תקציב אגף חינוך 2019'!T6</f>
        <v>500000</v>
      </c>
      <c r="U9" s="4">
        <f>'תקציב אגף חינוך 2019'!U6</f>
        <v>-500000</v>
      </c>
      <c r="V9" s="4">
        <f>'תקציב אגף חינוך 2019'!V6</f>
        <v>0</v>
      </c>
      <c r="W9" s="4">
        <f>'תקציב אגף חינוך 2019'!W6</f>
        <v>-500000</v>
      </c>
      <c r="X9" s="4">
        <f>'תקציב אגף חינוך 2019'!X6</f>
        <v>0</v>
      </c>
      <c r="Y9" s="4">
        <f>'תקציב אגף חינוך 2019'!Y6</f>
        <v>0</v>
      </c>
      <c r="Z9" s="4">
        <f>'תקציב אגף חינוך 2019'!Z6</f>
        <v>0</v>
      </c>
      <c r="AA9" s="124">
        <f>'תקציב אגף חינוך 2019'!AA6</f>
        <v>0</v>
      </c>
      <c r="AB9" s="3">
        <f>'תקציב אגף חינוך 2019'!AB6</f>
        <v>810000</v>
      </c>
      <c r="AC9" s="471"/>
      <c r="AD9" s="471"/>
      <c r="AE9" s="471"/>
      <c r="AF9" s="471"/>
      <c r="AG9" s="470"/>
    </row>
    <row r="10" spans="1:35" s="5" customFormat="1">
      <c r="A10" s="3">
        <f t="shared" si="1"/>
        <v>4</v>
      </c>
      <c r="B10" s="3">
        <v>1740</v>
      </c>
      <c r="C10" s="3" t="s">
        <v>90</v>
      </c>
      <c r="D10" s="4">
        <f>'תקציב אגף חינוך 2019'!D7</f>
        <v>280000</v>
      </c>
      <c r="E10" s="4">
        <f>'תקציב אגף חינוך 2019'!E7</f>
        <v>280000</v>
      </c>
      <c r="F10" s="4">
        <f>'תקציב אגף חינוך 2019'!F7</f>
        <v>0</v>
      </c>
      <c r="G10" s="4">
        <f>'תקציב אגף חינוך 2019'!G7</f>
        <v>280000</v>
      </c>
      <c r="H10" s="4">
        <f>'תקציב אגף חינוך 2019'!H7</f>
        <v>150312</v>
      </c>
      <c r="I10" s="4">
        <f>'תקציב אגף חינוך 2019'!I7</f>
        <v>0</v>
      </c>
      <c r="J10" s="4">
        <f>'תקציב אגף חינוך 2019'!J7</f>
        <v>113020.48</v>
      </c>
      <c r="K10" s="4">
        <f>'תקציב אגף חינוך 2019'!K7</f>
        <v>113020.48</v>
      </c>
      <c r="L10" s="4">
        <f>'תקציב אגף חינוך 2019'!L7</f>
        <v>263332.47999999998</v>
      </c>
      <c r="M10" s="4">
        <f>'תקציב אגף חינוך 2019'!M7</f>
        <v>16667.520000000019</v>
      </c>
      <c r="N10" s="4">
        <f>'תקציב אגף חינוך 2019'!N7</f>
        <v>0</v>
      </c>
      <c r="O10" s="4">
        <f>'תקציב אגף חינוך 2019'!O7</f>
        <v>0</v>
      </c>
      <c r="P10" s="4">
        <f>'תקציב אגף חינוך 2019'!P7</f>
        <v>16667.520000000019</v>
      </c>
      <c r="Q10" s="4">
        <f>'תקציב אגף חינוך 2019'!Q7</f>
        <v>0</v>
      </c>
      <c r="R10" s="4">
        <f>'תקציב אגף חינוך 2019'!R7</f>
        <v>0</v>
      </c>
      <c r="S10" s="4">
        <f>'תקציב אגף חינוך 2019'!S7</f>
        <v>0</v>
      </c>
      <c r="T10" s="4">
        <f>'תקציב אגף חינוך 2019'!T7</f>
        <v>0</v>
      </c>
      <c r="U10" s="4">
        <f>'תקציב אגף חינוך 2019'!U7</f>
        <v>0</v>
      </c>
      <c r="V10" s="4">
        <f>'תקציב אגף חינוך 2019'!V7</f>
        <v>0</v>
      </c>
      <c r="W10" s="4">
        <f>'תקציב אגף חינוך 2019'!W7</f>
        <v>0</v>
      </c>
      <c r="X10" s="4">
        <f>'תקציב אגף חינוך 2019'!X7</f>
        <v>0</v>
      </c>
      <c r="Y10" s="4">
        <f>'תקציב אגף חינוך 2019'!Y7</f>
        <v>0</v>
      </c>
      <c r="Z10" s="4">
        <f>'תקציב אגף חינוך 2019'!Z7</f>
        <v>0</v>
      </c>
      <c r="AA10" s="124">
        <f>'תקציב אגף חינוך 2019'!AA7</f>
        <v>0</v>
      </c>
      <c r="AB10" s="3">
        <f>'תקציב אגף חינוך 2019'!AB7</f>
        <v>810000</v>
      </c>
      <c r="AC10" s="471"/>
      <c r="AD10" s="471"/>
      <c r="AE10" s="471"/>
      <c r="AF10" s="471"/>
      <c r="AG10" s="470"/>
    </row>
    <row r="11" spans="1:35" s="5" customFormat="1" ht="28">
      <c r="A11" s="3">
        <f t="shared" si="1"/>
        <v>5</v>
      </c>
      <c r="B11" s="3">
        <v>1776</v>
      </c>
      <c r="C11" s="3" t="s">
        <v>92</v>
      </c>
      <c r="D11" s="4">
        <f>'תקציב אגף חינוך 2019'!D9</f>
        <v>915000</v>
      </c>
      <c r="E11" s="4">
        <f>'תקציב אגף חינוך 2019'!E9</f>
        <v>665000</v>
      </c>
      <c r="F11" s="4">
        <f>'תקציב אגף חינוך 2019'!F9</f>
        <v>250000</v>
      </c>
      <c r="G11" s="4">
        <f>'תקציב אגף חינוך 2019'!G9</f>
        <v>665000</v>
      </c>
      <c r="H11" s="4">
        <f>'תקציב אגף חינוך 2019'!H9</f>
        <v>299107</v>
      </c>
      <c r="I11" s="4">
        <f>'תקציב אגף חינוך 2019'!I9</f>
        <v>0</v>
      </c>
      <c r="J11" s="4">
        <f>'תקציב אגף חינוך 2019'!J9</f>
        <v>223110.35</v>
      </c>
      <c r="K11" s="4">
        <f>'תקציב אגף חינוך 2019'!K9</f>
        <v>223110.35</v>
      </c>
      <c r="L11" s="4">
        <f>'תקציב אגף חינוך 2019'!L9</f>
        <v>522217.35</v>
      </c>
      <c r="M11" s="4">
        <f>'תקציב אגף חינוך 2019'!M9</f>
        <v>142782.65000000002</v>
      </c>
      <c r="N11" s="4">
        <f>'תקציב אגף חינוך 2019'!N9</f>
        <v>250000</v>
      </c>
      <c r="O11" s="4">
        <f>'תקציב אגף חינוך 2019'!O9</f>
        <v>0</v>
      </c>
      <c r="P11" s="4">
        <f>'תקציב אגף חינוך 2019'!P9</f>
        <v>142782.65000000002</v>
      </c>
      <c r="Q11" s="4">
        <f>'תקציב אגף חינוך 2019'!Q9</f>
        <v>0</v>
      </c>
      <c r="R11" s="4">
        <f>'תקציב אגף חינוך 2019'!R9</f>
        <v>0</v>
      </c>
      <c r="S11" s="4">
        <f>'תקציב אגף חינוך 2019'!S9</f>
        <v>0</v>
      </c>
      <c r="T11" s="4">
        <f>'תקציב אגף חינוך 2019'!T9</f>
        <v>0</v>
      </c>
      <c r="U11" s="4">
        <f>'תקציב אגף חינוך 2019'!U9</f>
        <v>250000</v>
      </c>
      <c r="V11" s="4">
        <f>'תקציב אגף חינוך 2019'!V9</f>
        <v>0</v>
      </c>
      <c r="W11" s="4">
        <f>'תקציב אגף חינוך 2019'!W9</f>
        <v>250000</v>
      </c>
      <c r="X11" s="4">
        <f>'תקציב אגף חינוך 2019'!X9</f>
        <v>0</v>
      </c>
      <c r="Y11" s="4">
        <f>'תקציב אגף חינוך 2019'!Y9</f>
        <v>0</v>
      </c>
      <c r="Z11" s="4">
        <f>'תקציב אגף חינוך 2019'!Z9</f>
        <v>0</v>
      </c>
      <c r="AA11" s="124" t="str">
        <f>'תקציב אגף חינוך 2019'!AA9</f>
        <v>הצטיידות כיתות חדשות בעקבות גידול עפ"י צפי במס' תלמידים.</v>
      </c>
      <c r="AB11" s="3">
        <f>'תקציב אגף חינוך 2019'!AB9</f>
        <v>810000</v>
      </c>
      <c r="AC11" s="471"/>
      <c r="AD11" s="471"/>
      <c r="AE11" s="471"/>
      <c r="AF11" s="471"/>
      <c r="AG11" s="470"/>
    </row>
    <row r="12" spans="1:35" s="5" customFormat="1">
      <c r="A12" s="3">
        <f t="shared" si="1"/>
        <v>6</v>
      </c>
      <c r="B12" s="57">
        <v>1810</v>
      </c>
      <c r="C12" s="3" t="s">
        <v>266</v>
      </c>
      <c r="D12" s="4">
        <f>'תקציב אגף חינוך 2019'!D10</f>
        <v>950000</v>
      </c>
      <c r="E12" s="4">
        <f>'תקציב אגף חינוך 2019'!E10</f>
        <v>950000</v>
      </c>
      <c r="F12" s="4">
        <f>'תקציב אגף חינוך 2019'!F10</f>
        <v>0</v>
      </c>
      <c r="G12" s="4">
        <f>'תקציב אגף חינוך 2019'!G10</f>
        <v>950000</v>
      </c>
      <c r="H12" s="4">
        <f>'תקציב אגף חינוך 2019'!H10</f>
        <v>938543.42</v>
      </c>
      <c r="I12" s="4">
        <f>'תקציב אגף חינוך 2019'!I10</f>
        <v>0</v>
      </c>
      <c r="J12" s="4">
        <f>'תקציב אגף חינוך 2019'!J10</f>
        <v>0</v>
      </c>
      <c r="K12" s="4">
        <f>'תקציב אגף חינוך 2019'!K10</f>
        <v>0</v>
      </c>
      <c r="L12" s="4">
        <f>'תקציב אגף חינוך 2019'!L10</f>
        <v>938543.42</v>
      </c>
      <c r="M12" s="4">
        <f>'תקציב אגף חינוך 2019'!M10</f>
        <v>11456.579999999958</v>
      </c>
      <c r="N12" s="4">
        <f>'תקציב אגף חינוך 2019'!N10</f>
        <v>0</v>
      </c>
      <c r="O12" s="4">
        <f>'תקציב אגף חינוך 2019'!O10</f>
        <v>0</v>
      </c>
      <c r="P12" s="4">
        <f>'תקציב אגף חינוך 2019'!P10</f>
        <v>11456.579999999958</v>
      </c>
      <c r="Q12" s="4">
        <f>'תקציב אגף חינוך 2019'!Q10</f>
        <v>0</v>
      </c>
      <c r="R12" s="4">
        <f>'תקציב אגף חינוך 2019'!R10</f>
        <v>0</v>
      </c>
      <c r="S12" s="4">
        <f>'תקציב אגף חינוך 2019'!S10</f>
        <v>0</v>
      </c>
      <c r="T12" s="4">
        <f>'תקציב אגף חינוך 2019'!T10</f>
        <v>0</v>
      </c>
      <c r="U12" s="4">
        <f>'תקציב אגף חינוך 2019'!U10</f>
        <v>0</v>
      </c>
      <c r="V12" s="4">
        <f>'תקציב אגף חינוך 2019'!V10</f>
        <v>0</v>
      </c>
      <c r="W12" s="4">
        <f>'תקציב אגף חינוך 2019'!W10</f>
        <v>0</v>
      </c>
      <c r="X12" s="4">
        <f>'תקציב אגף חינוך 2019'!X10</f>
        <v>0</v>
      </c>
      <c r="Y12" s="4">
        <f>'תקציב אגף חינוך 2019'!Y10</f>
        <v>0</v>
      </c>
      <c r="Z12" s="4">
        <f>'תקציב אגף חינוך 2019'!Z10</f>
        <v>0</v>
      </c>
      <c r="AA12" s="124">
        <f>'תקציב אגף חינוך 2019'!AA10</f>
        <v>0</v>
      </c>
      <c r="AB12" s="3">
        <f>'תקציב אגף חינוך 2019'!AB10</f>
        <v>810000</v>
      </c>
      <c r="AC12" s="471"/>
      <c r="AD12" s="471"/>
      <c r="AE12" s="471"/>
      <c r="AF12" s="471"/>
      <c r="AG12" s="470"/>
    </row>
    <row r="13" spans="1:35" s="5" customFormat="1">
      <c r="A13" s="3">
        <f t="shared" si="1"/>
        <v>7</v>
      </c>
      <c r="B13" s="3">
        <v>1817</v>
      </c>
      <c r="C13" s="3" t="s">
        <v>189</v>
      </c>
      <c r="D13" s="4">
        <f>'תקציב אגף חינוך 2019'!D11</f>
        <v>640000</v>
      </c>
      <c r="E13" s="4">
        <f>'תקציב אגף חינוך 2019'!E11</f>
        <v>640000</v>
      </c>
      <c r="F13" s="4">
        <f>'תקציב אגף חינוך 2019'!F11</f>
        <v>0</v>
      </c>
      <c r="G13" s="4">
        <f>'תקציב אגף חינוך 2019'!G11</f>
        <v>640000</v>
      </c>
      <c r="H13" s="4">
        <f>'תקציב אגף חינוך 2019'!H11</f>
        <v>562553.87</v>
      </c>
      <c r="I13" s="4">
        <f>'תקציב אגף חינוך 2019'!I11</f>
        <v>0</v>
      </c>
      <c r="J13" s="4">
        <f>'תקציב אגף חינוך 2019'!J11</f>
        <v>32511.63</v>
      </c>
      <c r="K13" s="4">
        <f>'תקציב אגף חינוך 2019'!K11</f>
        <v>32511.63</v>
      </c>
      <c r="L13" s="4">
        <f>'תקציב אגף חינוך 2019'!L11</f>
        <v>595065.5</v>
      </c>
      <c r="M13" s="4">
        <f>'תקציב אגף חינוך 2019'!M11</f>
        <v>44934.5</v>
      </c>
      <c r="N13" s="4">
        <f>'תקציב אגף חינוך 2019'!N11</f>
        <v>0</v>
      </c>
      <c r="O13" s="4">
        <f>'תקציב אגף חינוך 2019'!O11</f>
        <v>0</v>
      </c>
      <c r="P13" s="4">
        <f>'תקציב אגף חינוך 2019'!P11</f>
        <v>44934.5</v>
      </c>
      <c r="Q13" s="4">
        <f>'תקציב אגף חינוך 2019'!Q11</f>
        <v>0</v>
      </c>
      <c r="R13" s="4">
        <f>'תקציב אגף חינוך 2019'!R11</f>
        <v>0</v>
      </c>
      <c r="S13" s="4">
        <f>'תקציב אגף חינוך 2019'!S11</f>
        <v>0</v>
      </c>
      <c r="T13" s="4">
        <f>'תקציב אגף חינוך 2019'!T11</f>
        <v>0</v>
      </c>
      <c r="U13" s="4">
        <f>'תקציב אגף חינוך 2019'!U11</f>
        <v>0</v>
      </c>
      <c r="V13" s="4">
        <f>'תקציב אגף חינוך 2019'!V11</f>
        <v>0</v>
      </c>
      <c r="W13" s="4">
        <f>'תקציב אגף חינוך 2019'!W11</f>
        <v>0</v>
      </c>
      <c r="X13" s="4">
        <f>'תקציב אגף חינוך 2019'!X11</f>
        <v>0</v>
      </c>
      <c r="Y13" s="4">
        <f>'תקציב אגף חינוך 2019'!Y11</f>
        <v>0</v>
      </c>
      <c r="Z13" s="4">
        <f>'תקציב אגף חינוך 2019'!Z11</f>
        <v>0</v>
      </c>
      <c r="AA13" s="124">
        <f>'תקציב אגף חינוך 2019'!AA11</f>
        <v>0</v>
      </c>
      <c r="AB13" s="3">
        <f>'תקציב אגף חינוך 2019'!AB11</f>
        <v>810000</v>
      </c>
      <c r="AC13" s="471"/>
      <c r="AD13" s="471"/>
      <c r="AE13" s="471"/>
      <c r="AF13" s="471"/>
      <c r="AG13" s="470"/>
    </row>
    <row r="14" spans="1:35" s="5" customFormat="1" ht="28">
      <c r="A14" s="3">
        <f t="shared" si="1"/>
        <v>8</v>
      </c>
      <c r="B14" s="57">
        <v>1828</v>
      </c>
      <c r="C14" s="3" t="s">
        <v>295</v>
      </c>
      <c r="D14" s="4">
        <f>'תקציב אגף חינוך 2019'!D12</f>
        <v>240000</v>
      </c>
      <c r="E14" s="4">
        <f>'תקציב אגף חינוך 2019'!E12</f>
        <v>330000</v>
      </c>
      <c r="F14" s="4">
        <f>'תקציב אגף חינוך 2019'!F12</f>
        <v>-90000</v>
      </c>
      <c r="G14" s="4">
        <f>'תקציב אגף חינוך 2019'!G12</f>
        <v>240000</v>
      </c>
      <c r="H14" s="4">
        <f>'תקציב אגף חינוך 2019'!H12</f>
        <v>188718.3</v>
      </c>
      <c r="I14" s="4">
        <f>'תקציב אגף חינוך 2019'!I12</f>
        <v>0</v>
      </c>
      <c r="J14" s="4">
        <f>'תקציב אגף חינוך 2019'!J12</f>
        <v>0</v>
      </c>
      <c r="K14" s="4">
        <f>'תקציב אגף חינוך 2019'!K12</f>
        <v>0</v>
      </c>
      <c r="L14" s="4">
        <f>'תקציב אגף חינוך 2019'!L12</f>
        <v>188718.3</v>
      </c>
      <c r="M14" s="4">
        <f>'תקציב אגף חינוך 2019'!M12</f>
        <v>51281.700000000012</v>
      </c>
      <c r="N14" s="4">
        <f>'תקציב אגף חינוך 2019'!N12</f>
        <v>0</v>
      </c>
      <c r="O14" s="4">
        <f>'תקציב אגף חינוך 2019'!O12</f>
        <v>0</v>
      </c>
      <c r="P14" s="4">
        <f>'תקציב אגף חינוך 2019'!P12</f>
        <v>51281.700000000012</v>
      </c>
      <c r="Q14" s="4">
        <f>'תקציב אגף חינוך 2019'!Q12</f>
        <v>0</v>
      </c>
      <c r="R14" s="4">
        <f>'תקציב אגף חינוך 2019'!R12</f>
        <v>0</v>
      </c>
      <c r="S14" s="4">
        <f>'תקציב אגף חינוך 2019'!S12</f>
        <v>0</v>
      </c>
      <c r="T14" s="4">
        <f>'תקציב אגף חינוך 2019'!T12</f>
        <v>0</v>
      </c>
      <c r="U14" s="4">
        <f>'תקציב אגף חינוך 2019'!U12</f>
        <v>0</v>
      </c>
      <c r="V14" s="4">
        <f>'תקציב אגף חינוך 2019'!V12</f>
        <v>0</v>
      </c>
      <c r="W14" s="4">
        <f>'תקציב אגף חינוך 2019'!W12</f>
        <v>0</v>
      </c>
      <c r="X14" s="4">
        <f>'תקציב אגף חינוך 2019'!X12</f>
        <v>0</v>
      </c>
      <c r="Y14" s="4">
        <f>'תקציב אגף חינוך 2019'!Y12</f>
        <v>0</v>
      </c>
      <c r="Z14" s="4">
        <f>'תקציב אגף חינוך 2019'!Z12</f>
        <v>0</v>
      </c>
      <c r="AA14" s="124">
        <f>'תקציב אגף חינוך 2019'!AA12</f>
        <v>0</v>
      </c>
      <c r="AB14" s="3">
        <f>'תקציב אגף חינוך 2019'!AB12</f>
        <v>810000</v>
      </c>
      <c r="AC14" s="471"/>
      <c r="AD14" s="471"/>
      <c r="AE14" s="471"/>
      <c r="AF14" s="471"/>
      <c r="AG14" s="470"/>
    </row>
    <row r="15" spans="1:35" s="5" customFormat="1" ht="42">
      <c r="A15" s="3">
        <f t="shared" si="1"/>
        <v>9</v>
      </c>
      <c r="B15" s="408">
        <v>1930</v>
      </c>
      <c r="C15" s="3" t="s">
        <v>233</v>
      </c>
      <c r="D15" s="4">
        <f>'תקציב אגף חינוך 2019'!D13</f>
        <v>900000</v>
      </c>
      <c r="E15" s="4">
        <f>'תקציב אגף חינוך 2019'!E13</f>
        <v>650000</v>
      </c>
      <c r="F15" s="4">
        <f>'תקציב אגף חינוך 2019'!F13</f>
        <v>250000</v>
      </c>
      <c r="G15" s="4">
        <f>'תקציב אגף חינוך 2019'!G13</f>
        <v>650000</v>
      </c>
      <c r="H15" s="4">
        <f>'תקציב אגף חינוך 2019'!H13</f>
        <v>369207.64</v>
      </c>
      <c r="I15" s="4">
        <f>'תקציב אגף חינוך 2019'!I13</f>
        <v>0</v>
      </c>
      <c r="J15" s="4">
        <f>'תקציב אגף חינוך 2019'!J13</f>
        <v>256996.05</v>
      </c>
      <c r="K15" s="4">
        <f>'תקציב אגף חינוך 2019'!K13</f>
        <v>256996.05</v>
      </c>
      <c r="L15" s="4">
        <f>'תקציב אגף חינוך 2019'!L13</f>
        <v>626203.68999999994</v>
      </c>
      <c r="M15" s="4">
        <f>'תקציב אגף חינוך 2019'!M13</f>
        <v>23796.310000000056</v>
      </c>
      <c r="N15" s="4">
        <f>'תקציב אגף חינוך 2019'!N13</f>
        <v>250000</v>
      </c>
      <c r="O15" s="4">
        <f>'תקציב אגף חינוך 2019'!O13</f>
        <v>0</v>
      </c>
      <c r="P15" s="4">
        <f>'תקציב אגף חינוך 2019'!P13</f>
        <v>23796.310000000056</v>
      </c>
      <c r="Q15" s="4">
        <f>'תקציב אגף חינוך 2019'!Q13</f>
        <v>0</v>
      </c>
      <c r="R15" s="4">
        <f>'תקציב אגף חינוך 2019'!R13</f>
        <v>0</v>
      </c>
      <c r="S15" s="4">
        <f>'תקציב אגף חינוך 2019'!S13</f>
        <v>0</v>
      </c>
      <c r="T15" s="4">
        <f>'תקציב אגף חינוך 2019'!T13</f>
        <v>0</v>
      </c>
      <c r="U15" s="4">
        <f>'תקציב אגף חינוך 2019'!U13</f>
        <v>250000</v>
      </c>
      <c r="V15" s="4">
        <f>'תקציב אגף חינוך 2019'!V13</f>
        <v>0</v>
      </c>
      <c r="W15" s="4">
        <f>'תקציב אגף חינוך 2019'!W13</f>
        <v>250000</v>
      </c>
      <c r="X15" s="4">
        <f>'תקציב אגף חינוך 2019'!X13</f>
        <v>0</v>
      </c>
      <c r="Y15" s="4">
        <f>'תקציב אגף חינוך 2019'!Y13</f>
        <v>0</v>
      </c>
      <c r="Z15" s="4">
        <f>'תקציב אגף חינוך 2019'!Z13</f>
        <v>0</v>
      </c>
      <c r="AA15" s="124" t="str">
        <f>'תקציב אגף חינוך 2019'!AA13</f>
        <v>הצטיידות  גנים חדשים כולל  ח"מ שנבנו לאחרונה או יבנו לקראת תש"פ.</v>
      </c>
      <c r="AB15" s="3">
        <f>'תקציב אגף חינוך 2019'!AB13</f>
        <v>810000</v>
      </c>
      <c r="AC15" s="471"/>
      <c r="AD15" s="471"/>
      <c r="AE15" s="471"/>
      <c r="AF15" s="471"/>
      <c r="AG15" s="470"/>
    </row>
    <row r="16" spans="1:35" s="5" customFormat="1" ht="56">
      <c r="A16" s="3">
        <f t="shared" si="1"/>
        <v>10</v>
      </c>
      <c r="B16" s="3">
        <v>1975</v>
      </c>
      <c r="C16" s="3" t="s">
        <v>267</v>
      </c>
      <c r="D16" s="4">
        <f>'תקציב אגף חינוך 2019'!D14</f>
        <v>975000</v>
      </c>
      <c r="E16" s="4">
        <f>'תקציב אגף חינוך 2019'!E14</f>
        <v>975000</v>
      </c>
      <c r="F16" s="4">
        <f>'תקציב אגף חינוך 2019'!F14</f>
        <v>0</v>
      </c>
      <c r="G16" s="4">
        <f>'תקציב אגף חינוך 2019'!G14</f>
        <v>0</v>
      </c>
      <c r="H16" s="4">
        <f>'תקציב אגף חינוך 2019'!H14</f>
        <v>0</v>
      </c>
      <c r="I16" s="4">
        <f>'תקציב אגף חינוך 2019'!I14</f>
        <v>0</v>
      </c>
      <c r="J16" s="4">
        <f>'תקציב אגף חינוך 2019'!J14</f>
        <v>0</v>
      </c>
      <c r="K16" s="4">
        <f>'תקציב אגף חינוך 2019'!K14</f>
        <v>0</v>
      </c>
      <c r="L16" s="4">
        <f>'תקציב אגף חינוך 2019'!L14</f>
        <v>0</v>
      </c>
      <c r="M16" s="4">
        <f>'תקציב אגף חינוך 2019'!M14</f>
        <v>0</v>
      </c>
      <c r="N16" s="4">
        <f>'תקציב אגף חינוך 2019'!N14</f>
        <v>975000</v>
      </c>
      <c r="O16" s="4">
        <f>'תקציב אגף חינוך 2019'!O14</f>
        <v>0</v>
      </c>
      <c r="P16" s="4">
        <f>'תקציב אגף חינוך 2019'!P14</f>
        <v>0</v>
      </c>
      <c r="Q16" s="4">
        <f>'תקציב אגף חינוך 2019'!Q14</f>
        <v>0</v>
      </c>
      <c r="R16" s="4">
        <f>'תקציב אגף חינוך 2019'!R14</f>
        <v>0</v>
      </c>
      <c r="S16" s="4">
        <f>'תקציב אגף חינוך 2019'!S14</f>
        <v>0</v>
      </c>
      <c r="T16" s="4">
        <f>'תקציב אגף חינוך 2019'!T14</f>
        <v>0</v>
      </c>
      <c r="U16" s="4">
        <f>'תקציב אגף חינוך 2019'!U14</f>
        <v>975000</v>
      </c>
      <c r="V16" s="4">
        <f>'תקציב אגף חינוך 2019'!V14</f>
        <v>0</v>
      </c>
      <c r="W16" s="4">
        <f>'תקציב אגף חינוך 2019'!W14</f>
        <v>975000</v>
      </c>
      <c r="X16" s="4">
        <f>'תקציב אגף חינוך 2019'!X14</f>
        <v>0</v>
      </c>
      <c r="Y16" s="4">
        <f>'תקציב אגף חינוך 2019'!Y14</f>
        <v>0</v>
      </c>
      <c r="Z16" s="4">
        <f>'תקציב אגף חינוך 2019'!Z14</f>
        <v>0</v>
      </c>
      <c r="AA16" s="124" t="str">
        <f>'תקציב אגף חינוך 2019'!AA14</f>
        <v>פרויקט שיגור לווין 3  בשיתוף פעולה עם המועצה האזורית שער הנגב  הנמצא בשלבים הסופיים לפני שיגור.</v>
      </c>
      <c r="AB16" s="3">
        <f>'תקציב אגף חינוך 2019'!AB14</f>
        <v>810000</v>
      </c>
      <c r="AC16" s="471"/>
      <c r="AD16" s="471"/>
      <c r="AE16" s="471"/>
      <c r="AF16" s="471"/>
      <c r="AG16" s="470"/>
    </row>
    <row r="17" spans="1:34" s="5" customFormat="1">
      <c r="A17" s="3">
        <f t="shared" si="1"/>
        <v>11</v>
      </c>
      <c r="B17" s="3">
        <v>1977</v>
      </c>
      <c r="C17" s="3" t="s">
        <v>269</v>
      </c>
      <c r="D17" s="4">
        <f>'תקציב אגף חינוך 2019'!D16</f>
        <v>44100</v>
      </c>
      <c r="E17" s="4">
        <f>'תקציב אגף חינוך 2019'!E16</f>
        <v>44100</v>
      </c>
      <c r="F17" s="4">
        <f>'תקציב אגף חינוך 2019'!F16</f>
        <v>0</v>
      </c>
      <c r="G17" s="4">
        <f>'תקציב אגף חינוך 2019'!G16</f>
        <v>44100</v>
      </c>
      <c r="H17" s="4">
        <f>'תקציב אגף חינוך 2019'!H16</f>
        <v>0</v>
      </c>
      <c r="I17" s="4">
        <f>'תקציב אגף חינוך 2019'!I16</f>
        <v>0</v>
      </c>
      <c r="J17" s="4">
        <f>'תקציב אגף חינוך 2019'!J16</f>
        <v>43348.26</v>
      </c>
      <c r="K17" s="4">
        <f>'תקציב אגף חינוך 2019'!K16</f>
        <v>43348.26</v>
      </c>
      <c r="L17" s="4">
        <f>'תקציב אגף חינוך 2019'!L16</f>
        <v>43348.26</v>
      </c>
      <c r="M17" s="4">
        <f>'תקציב אגף חינוך 2019'!M16</f>
        <v>751.73999999999796</v>
      </c>
      <c r="N17" s="4">
        <f>'תקציב אגף חינוך 2019'!N16</f>
        <v>0</v>
      </c>
      <c r="O17" s="4">
        <f>'תקציב אגף חינוך 2019'!O16</f>
        <v>0</v>
      </c>
      <c r="P17" s="4">
        <f>'תקציב אגף חינוך 2019'!P16</f>
        <v>751.73999999999796</v>
      </c>
      <c r="Q17" s="4">
        <f>'תקציב אגף חינוך 2019'!Q16</f>
        <v>0</v>
      </c>
      <c r="R17" s="4">
        <f>'תקציב אגף חינוך 2019'!R16</f>
        <v>0</v>
      </c>
      <c r="S17" s="4">
        <f>'תקציב אגף חינוך 2019'!S16</f>
        <v>0</v>
      </c>
      <c r="T17" s="4">
        <f>'תקציב אגף חינוך 2019'!T16</f>
        <v>0</v>
      </c>
      <c r="U17" s="4">
        <f>'תקציב אגף חינוך 2019'!U16</f>
        <v>0</v>
      </c>
      <c r="V17" s="4">
        <f>'תקציב אגף חינוך 2019'!V16</f>
        <v>0</v>
      </c>
      <c r="W17" s="4">
        <f>'תקציב אגף חינוך 2019'!W16</f>
        <v>0</v>
      </c>
      <c r="X17" s="4">
        <f>'תקציב אגף חינוך 2019'!X16</f>
        <v>0</v>
      </c>
      <c r="Y17" s="4">
        <f>'תקציב אגף חינוך 2019'!Y16</f>
        <v>0</v>
      </c>
      <c r="Z17" s="4">
        <f>'תקציב אגף חינוך 2019'!Z16</f>
        <v>0</v>
      </c>
      <c r="AA17" s="124">
        <f>'תקציב אגף חינוך 2019'!AA16</f>
        <v>0</v>
      </c>
      <c r="AB17" s="3">
        <f>'תקציב אגף חינוך 2019'!AB16</f>
        <v>810000</v>
      </c>
      <c r="AC17" s="471"/>
      <c r="AD17" s="471"/>
      <c r="AE17" s="471"/>
      <c r="AF17" s="471"/>
      <c r="AG17" s="470"/>
    </row>
    <row r="18" spans="1:34" s="5" customFormat="1">
      <c r="A18" s="3">
        <f t="shared" si="1"/>
        <v>12</v>
      </c>
      <c r="B18" s="57">
        <v>1978</v>
      </c>
      <c r="C18" s="3" t="s">
        <v>270</v>
      </c>
      <c r="D18" s="4">
        <f>'תקציב אגף חינוך 2019'!D17</f>
        <v>73500</v>
      </c>
      <c r="E18" s="4">
        <f>'תקציב אגף חינוך 2019'!E17</f>
        <v>73500</v>
      </c>
      <c r="F18" s="4">
        <f>'תקציב אגף חינוך 2019'!F17</f>
        <v>0</v>
      </c>
      <c r="G18" s="4">
        <f>'תקציב אגף חינוך 2019'!G17</f>
        <v>73500</v>
      </c>
      <c r="H18" s="4">
        <f>'תקציב אגף חינוך 2019'!H17</f>
        <v>17901</v>
      </c>
      <c r="I18" s="4">
        <f>'תקציב אגף חינוך 2019'!I17</f>
        <v>0</v>
      </c>
      <c r="J18" s="4">
        <f>'תקציב אגף חינוך 2019'!J17</f>
        <v>54505.62</v>
      </c>
      <c r="K18" s="4">
        <f>'תקציב אגף חינוך 2019'!K17</f>
        <v>54505.62</v>
      </c>
      <c r="L18" s="4">
        <f>'תקציב אגף חינוך 2019'!L17</f>
        <v>72406.62</v>
      </c>
      <c r="M18" s="4">
        <f>'תקציב אגף חינוך 2019'!M17</f>
        <v>1093.3800000000047</v>
      </c>
      <c r="N18" s="4">
        <f>'תקציב אגף חינוך 2019'!N17</f>
        <v>0</v>
      </c>
      <c r="O18" s="4">
        <f>'תקציב אגף חינוך 2019'!O17</f>
        <v>0</v>
      </c>
      <c r="P18" s="4">
        <f>'תקציב אגף חינוך 2019'!P17</f>
        <v>1093.3800000000047</v>
      </c>
      <c r="Q18" s="4">
        <f>'תקציב אגף חינוך 2019'!Q17</f>
        <v>0</v>
      </c>
      <c r="R18" s="4">
        <f>'תקציב אגף חינוך 2019'!R17</f>
        <v>0</v>
      </c>
      <c r="S18" s="4">
        <f>'תקציב אגף חינוך 2019'!S17</f>
        <v>0</v>
      </c>
      <c r="T18" s="4">
        <f>'תקציב אגף חינוך 2019'!T17</f>
        <v>0</v>
      </c>
      <c r="U18" s="4">
        <f>'תקציב אגף חינוך 2019'!U17</f>
        <v>0</v>
      </c>
      <c r="V18" s="4">
        <f>'תקציב אגף חינוך 2019'!V17</f>
        <v>0</v>
      </c>
      <c r="W18" s="4">
        <f>'תקציב אגף חינוך 2019'!W17</f>
        <v>0</v>
      </c>
      <c r="X18" s="4">
        <f>'תקציב אגף חינוך 2019'!X17</f>
        <v>0</v>
      </c>
      <c r="Y18" s="4">
        <f>'תקציב אגף חינוך 2019'!Y17</f>
        <v>0</v>
      </c>
      <c r="Z18" s="4">
        <f>'תקציב אגף חינוך 2019'!Z17</f>
        <v>0</v>
      </c>
      <c r="AA18" s="124">
        <f>'תקציב אגף חינוך 2019'!AA17</f>
        <v>0</v>
      </c>
      <c r="AB18" s="3">
        <f>'תקציב אגף חינוך 2019'!AB17</f>
        <v>810000</v>
      </c>
      <c r="AC18" s="471"/>
      <c r="AD18" s="471"/>
      <c r="AE18" s="471"/>
      <c r="AF18" s="471"/>
      <c r="AG18" s="470"/>
    </row>
    <row r="19" spans="1:34" s="5" customFormat="1">
      <c r="A19" s="3">
        <f t="shared" si="1"/>
        <v>13</v>
      </c>
      <c r="B19" s="57">
        <v>1987</v>
      </c>
      <c r="C19" s="3" t="s">
        <v>330</v>
      </c>
      <c r="D19" s="4">
        <f>'תקציב אגף חינוך 2019'!D18</f>
        <v>120000</v>
      </c>
      <c r="E19" s="4">
        <f>'תקציב אגף חינוך 2019'!E18</f>
        <v>120000</v>
      </c>
      <c r="F19" s="4">
        <f>'תקציב אגף חינוך 2019'!F18</f>
        <v>0</v>
      </c>
      <c r="G19" s="4">
        <f>'תקציב אגף חינוך 2019'!G18</f>
        <v>120000</v>
      </c>
      <c r="H19" s="4">
        <f>'תקציב אגף חינוך 2019'!H18</f>
        <v>0</v>
      </c>
      <c r="I19" s="4">
        <f>'תקציב אגף חינוך 2019'!I18</f>
        <v>0</v>
      </c>
      <c r="J19" s="4">
        <f>'תקציב אגף חינוך 2019'!J18</f>
        <v>0</v>
      </c>
      <c r="K19" s="4">
        <f>'תקציב אגף חינוך 2019'!K18</f>
        <v>0</v>
      </c>
      <c r="L19" s="4">
        <f>'תקציב אגף חינוך 2019'!L18</f>
        <v>0</v>
      </c>
      <c r="M19" s="4">
        <f>'תקציב אגף חינוך 2019'!M18</f>
        <v>120000</v>
      </c>
      <c r="N19" s="4">
        <f>'תקציב אגף חינוך 2019'!N18</f>
        <v>0</v>
      </c>
      <c r="O19" s="4">
        <f>'תקציב אגף חינוך 2019'!O18</f>
        <v>0</v>
      </c>
      <c r="P19" s="4">
        <f>'תקציב אגף חינוך 2019'!P18</f>
        <v>120000</v>
      </c>
      <c r="Q19" s="4">
        <f>'תקציב אגף חינוך 2019'!Q18</f>
        <v>0</v>
      </c>
      <c r="R19" s="4">
        <f>'תקציב אגף חינוך 2019'!R18</f>
        <v>0</v>
      </c>
      <c r="S19" s="4">
        <f>'תקציב אגף חינוך 2019'!S18</f>
        <v>0</v>
      </c>
      <c r="T19" s="4">
        <f>'תקציב אגף חינוך 2019'!T18</f>
        <v>0</v>
      </c>
      <c r="U19" s="4">
        <f>'תקציב אגף חינוך 2019'!U18</f>
        <v>0</v>
      </c>
      <c r="V19" s="4">
        <f>'תקציב אגף חינוך 2019'!V18</f>
        <v>0</v>
      </c>
      <c r="W19" s="4">
        <f>'תקציב אגף חינוך 2019'!W18</f>
        <v>0</v>
      </c>
      <c r="X19" s="4">
        <f>'תקציב אגף חינוך 2019'!X18</f>
        <v>0</v>
      </c>
      <c r="Y19" s="4">
        <f>'תקציב אגף חינוך 2019'!Y18</f>
        <v>0</v>
      </c>
      <c r="Z19" s="4">
        <f>'תקציב אגף חינוך 2019'!Z18</f>
        <v>0</v>
      </c>
      <c r="AA19" s="124">
        <f>'תקציב אגף חינוך 2019'!AA18</f>
        <v>0</v>
      </c>
      <c r="AB19" s="3">
        <f>'תקציב אגף חינוך 2019'!AB18</f>
        <v>810000</v>
      </c>
      <c r="AC19" s="471"/>
      <c r="AD19" s="471"/>
      <c r="AE19" s="471"/>
      <c r="AF19" s="471"/>
      <c r="AG19" s="470"/>
    </row>
    <row r="20" spans="1:34" s="5" customFormat="1">
      <c r="A20" s="3">
        <f t="shared" si="1"/>
        <v>14</v>
      </c>
      <c r="B20" s="57">
        <v>1990</v>
      </c>
      <c r="C20" s="3" t="s">
        <v>331</v>
      </c>
      <c r="D20" s="4">
        <f>'תקציב אגף חינוך 2019'!D19</f>
        <v>58800</v>
      </c>
      <c r="E20" s="4">
        <f>'תקציב אגף חינוך 2019'!E19</f>
        <v>58800</v>
      </c>
      <c r="F20" s="4">
        <f>'תקציב אגף חינוך 2019'!F19</f>
        <v>0</v>
      </c>
      <c r="G20" s="4">
        <f>'תקציב אגף חינוך 2019'!G19</f>
        <v>58800</v>
      </c>
      <c r="H20" s="4">
        <f>'תקציב אגף חינוך 2019'!H19</f>
        <v>32751.59</v>
      </c>
      <c r="I20" s="4">
        <f>'תקציב אגף חינוך 2019'!I19</f>
        <v>0</v>
      </c>
      <c r="J20" s="4">
        <f>'תקציב אגף חינוך 2019'!J19</f>
        <v>1717.56</v>
      </c>
      <c r="K20" s="4">
        <f>'תקציב אגף חינוך 2019'!K19</f>
        <v>1717.56</v>
      </c>
      <c r="L20" s="4">
        <f>'תקציב אגף חינוך 2019'!L19</f>
        <v>34469.15</v>
      </c>
      <c r="M20" s="4">
        <f>'תקציב אגף חינוך 2019'!M19</f>
        <v>24330.85</v>
      </c>
      <c r="N20" s="4">
        <f>'תקציב אגף חינוך 2019'!N19</f>
        <v>0</v>
      </c>
      <c r="O20" s="4">
        <f>'תקציב אגף חינוך 2019'!O19</f>
        <v>0</v>
      </c>
      <c r="P20" s="4">
        <f>'תקציב אגף חינוך 2019'!P19</f>
        <v>24330.85</v>
      </c>
      <c r="Q20" s="4">
        <f>'תקציב אגף חינוך 2019'!Q19</f>
        <v>0</v>
      </c>
      <c r="R20" s="4">
        <f>'תקציב אגף חינוך 2019'!R19</f>
        <v>0</v>
      </c>
      <c r="S20" s="4">
        <f>'תקציב אגף חינוך 2019'!S19</f>
        <v>0</v>
      </c>
      <c r="T20" s="4">
        <f>'תקציב אגף חינוך 2019'!T19</f>
        <v>0</v>
      </c>
      <c r="U20" s="4">
        <f>'תקציב אגף חינוך 2019'!U19</f>
        <v>0</v>
      </c>
      <c r="V20" s="4">
        <f>'תקציב אגף חינוך 2019'!V19</f>
        <v>0</v>
      </c>
      <c r="W20" s="4">
        <f>'תקציב אגף חינוך 2019'!W19</f>
        <v>0</v>
      </c>
      <c r="X20" s="4">
        <f>'תקציב אגף חינוך 2019'!X19</f>
        <v>0</v>
      </c>
      <c r="Y20" s="4">
        <f>'תקציב אגף חינוך 2019'!Y19</f>
        <v>0</v>
      </c>
      <c r="Z20" s="4">
        <f>'תקציב אגף חינוך 2019'!Z19</f>
        <v>0</v>
      </c>
      <c r="AA20" s="124">
        <f>'תקציב אגף חינוך 2019'!AA19</f>
        <v>0</v>
      </c>
      <c r="AB20" s="3">
        <f>'תקציב אגף חינוך 2019'!AB19</f>
        <v>810000</v>
      </c>
      <c r="AC20" s="471"/>
      <c r="AD20" s="471"/>
      <c r="AE20" s="471"/>
      <c r="AF20" s="471"/>
      <c r="AG20" s="470"/>
    </row>
    <row r="21" spans="1:34" s="5" customFormat="1" ht="28">
      <c r="A21" s="3">
        <f t="shared" si="1"/>
        <v>15</v>
      </c>
      <c r="B21" s="408">
        <v>2003</v>
      </c>
      <c r="C21" s="3" t="s">
        <v>332</v>
      </c>
      <c r="D21" s="4">
        <f>'תקציב אגף חינוך 2019'!D20</f>
        <v>150000</v>
      </c>
      <c r="E21" s="4">
        <f>'תקציב אגף חינוך 2019'!E20</f>
        <v>150000</v>
      </c>
      <c r="F21" s="4">
        <f>'תקציב אגף חינוך 2019'!F20</f>
        <v>0</v>
      </c>
      <c r="G21" s="4">
        <f>'תקציב אגף חינוך 2019'!G20</f>
        <v>150000</v>
      </c>
      <c r="H21" s="4">
        <f>'תקציב אגף חינוך 2019'!H20</f>
        <v>148935.9</v>
      </c>
      <c r="I21" s="4">
        <f>'תקציב אגף חינוך 2019'!I20</f>
        <v>0</v>
      </c>
      <c r="J21" s="4">
        <f>'תקציב אגף חינוך 2019'!J20</f>
        <v>0</v>
      </c>
      <c r="K21" s="4">
        <f>'תקציב אגף חינוך 2019'!K20</f>
        <v>0</v>
      </c>
      <c r="L21" s="4">
        <f>'תקציב אגף חינוך 2019'!L20</f>
        <v>148935.9</v>
      </c>
      <c r="M21" s="4">
        <f>'תקציב אגף חינוך 2019'!M20</f>
        <v>1064.1000000000058</v>
      </c>
      <c r="N21" s="4">
        <f>'תקציב אגף חינוך 2019'!N20</f>
        <v>0</v>
      </c>
      <c r="O21" s="4">
        <f>'תקציב אגף חינוך 2019'!O20</f>
        <v>0</v>
      </c>
      <c r="P21" s="4">
        <f>'תקציב אגף חינוך 2019'!P20</f>
        <v>1064.1000000000058</v>
      </c>
      <c r="Q21" s="4">
        <f>'תקציב אגף חינוך 2019'!Q20</f>
        <v>0</v>
      </c>
      <c r="R21" s="4">
        <f>'תקציב אגף חינוך 2019'!R20</f>
        <v>0</v>
      </c>
      <c r="S21" s="4">
        <f>'תקציב אגף חינוך 2019'!S20</f>
        <v>0</v>
      </c>
      <c r="T21" s="4">
        <f>'תקציב אגף חינוך 2019'!T20</f>
        <v>0</v>
      </c>
      <c r="U21" s="4">
        <f>'תקציב אגף חינוך 2019'!U20</f>
        <v>0</v>
      </c>
      <c r="V21" s="4">
        <f>'תקציב אגף חינוך 2019'!V20</f>
        <v>0</v>
      </c>
      <c r="W21" s="4">
        <f>'תקציב אגף חינוך 2019'!W20</f>
        <v>0</v>
      </c>
      <c r="X21" s="4">
        <f>'תקציב אגף חינוך 2019'!X20</f>
        <v>0</v>
      </c>
      <c r="Y21" s="4">
        <f>'תקציב אגף חינוך 2019'!Y20</f>
        <v>0</v>
      </c>
      <c r="Z21" s="4">
        <f>'תקציב אגף חינוך 2019'!Z20</f>
        <v>0</v>
      </c>
      <c r="AA21" s="124">
        <f>'תקציב אגף חינוך 2019'!AA20</f>
        <v>0</v>
      </c>
      <c r="AB21" s="3">
        <f>'תקציב אגף חינוך 2019'!AB20</f>
        <v>810000</v>
      </c>
      <c r="AC21" s="471"/>
      <c r="AD21" s="471"/>
      <c r="AE21" s="471"/>
      <c r="AF21" s="471"/>
      <c r="AG21" s="470"/>
    </row>
    <row r="22" spans="1:34" s="5" customFormat="1" ht="28">
      <c r="A22" s="3">
        <f t="shared" si="1"/>
        <v>16</v>
      </c>
      <c r="B22" s="408">
        <v>2033</v>
      </c>
      <c r="C22" s="3" t="s">
        <v>778</v>
      </c>
      <c r="D22" s="4">
        <f>'תקציב אגף חינוך 2019'!D21</f>
        <v>1000000.13398665</v>
      </c>
      <c r="E22" s="4">
        <f>'תקציב אגף חינוך 2019'!E21</f>
        <v>950000</v>
      </c>
      <c r="F22" s="4">
        <f>'תקציב אגף חינוך 2019'!F21</f>
        <v>50000.133986650035</v>
      </c>
      <c r="G22" s="4">
        <f>'תקציב אגף חינוך 2019'!G21</f>
        <v>500000</v>
      </c>
      <c r="H22" s="4">
        <f>'תקציב אגף חינוך 2019'!H21</f>
        <v>0</v>
      </c>
      <c r="I22" s="4">
        <f>'תקציב אגף חינוך 2019'!I21</f>
        <v>0</v>
      </c>
      <c r="J22" s="4">
        <f>'תקציב אגף חינוך 2019'!J21</f>
        <v>0</v>
      </c>
      <c r="K22" s="4">
        <f>'תקציב אגף חינוך 2019'!K21</f>
        <v>0</v>
      </c>
      <c r="L22" s="4">
        <f>'תקציב אגף חינוך 2019'!L21</f>
        <v>0</v>
      </c>
      <c r="M22" s="4">
        <f>'תקציב אגף חינוך 2019'!M21</f>
        <v>500000</v>
      </c>
      <c r="N22" s="4">
        <f>'תקציב אגף חינוך 2019'!N21</f>
        <v>500000.13398665003</v>
      </c>
      <c r="O22" s="4">
        <f>'תקציב אגף חינוך 2019'!O21</f>
        <v>0</v>
      </c>
      <c r="P22" s="4">
        <f>'תקציב אגף חינוך 2019'!P21</f>
        <v>500000</v>
      </c>
      <c r="Q22" s="4">
        <f>'תקציב אגף חינוך 2019'!Q21</f>
        <v>0</v>
      </c>
      <c r="R22" s="4">
        <f>'תקציב אגף חינוך 2019'!R21</f>
        <v>0</v>
      </c>
      <c r="S22" s="4">
        <f>'תקציב אגף חינוך 2019'!S21</f>
        <v>0</v>
      </c>
      <c r="T22" s="4">
        <f>'תקציב אגף חינוך 2019'!T21</f>
        <v>0</v>
      </c>
      <c r="U22" s="4">
        <f>'תקציב אגף חינוך 2019'!U21</f>
        <v>500000.13398665003</v>
      </c>
      <c r="V22" s="4">
        <f>'תקציב אגף חינוך 2019'!V21</f>
        <v>0</v>
      </c>
      <c r="W22" s="4">
        <f>'תקציב אגף חינוך 2019'!W21</f>
        <v>500000.13398665003</v>
      </c>
      <c r="X22" s="4">
        <f>'תקציב אגף חינוך 2019'!X21</f>
        <v>0</v>
      </c>
      <c r="Y22" s="4">
        <f>'תקציב אגף חינוך 2019'!Y21</f>
        <v>0</v>
      </c>
      <c r="Z22" s="4">
        <f>'תקציב אגף חינוך 2019'!Z21</f>
        <v>0</v>
      </c>
      <c r="AA22" s="124" t="str">
        <f>'תקציב אגף חינוך 2019'!AA21</f>
        <v>הצטיידות בי"ס בר אילן אחרי השיפוץ.</v>
      </c>
      <c r="AB22" s="3">
        <f>'תקציב אגף חינוך 2019'!AB21</f>
        <v>810000</v>
      </c>
      <c r="AC22" s="471"/>
      <c r="AD22" s="471"/>
      <c r="AE22" s="471"/>
      <c r="AF22" s="471"/>
      <c r="AG22" s="470"/>
    </row>
    <row r="23" spans="1:34" s="5" customFormat="1" ht="28">
      <c r="A23" s="3">
        <f t="shared" si="1"/>
        <v>17</v>
      </c>
      <c r="B23" s="408">
        <v>2034</v>
      </c>
      <c r="C23" s="3" t="s">
        <v>780</v>
      </c>
      <c r="D23" s="4">
        <f>'תקציב אגף חינוך 2019'!D22</f>
        <v>2000000</v>
      </c>
      <c r="E23" s="4">
        <f>'תקציב אגף חינוך 2019'!E22</f>
        <v>1700000</v>
      </c>
      <c r="F23" s="4">
        <f>'תקציב אגף חינוך 2019'!F22</f>
        <v>300000</v>
      </c>
      <c r="G23" s="4">
        <f>'תקציב אגף חינוך 2019'!G22</f>
        <v>1302900</v>
      </c>
      <c r="H23" s="4">
        <f>'תקציב אגף חינוך 2019'!H22</f>
        <v>167186.23999999999</v>
      </c>
      <c r="I23" s="4">
        <f>'תקציב אגף חינוך 2019'!I22</f>
        <v>0</v>
      </c>
      <c r="J23" s="4">
        <f>'תקציב אגף חינוך 2019'!J22</f>
        <v>947862.31</v>
      </c>
      <c r="K23" s="4">
        <f>'תקציב אגף חינוך 2019'!K22</f>
        <v>947862.31</v>
      </c>
      <c r="L23" s="4">
        <f>'תקציב אגף חינוך 2019'!L22</f>
        <v>1115048.55</v>
      </c>
      <c r="M23" s="4">
        <f>'תקציב אגף חינוך 2019'!M22</f>
        <v>187851.44999999995</v>
      </c>
      <c r="N23" s="4">
        <f>'תקציב אגף חינוך 2019'!N22</f>
        <v>697100</v>
      </c>
      <c r="O23" s="4">
        <f>'תקציב אגף חינוך 2019'!O22</f>
        <v>0</v>
      </c>
      <c r="P23" s="4">
        <f>'תקציב אגף חינוך 2019'!P22</f>
        <v>187851.44999999995</v>
      </c>
      <c r="Q23" s="4">
        <f>'תקציב אגף חינוך 2019'!Q22</f>
        <v>0</v>
      </c>
      <c r="R23" s="4">
        <f>'תקציב אגף חינוך 2019'!R22</f>
        <v>0</v>
      </c>
      <c r="S23" s="4">
        <f>'תקציב אגף חינוך 2019'!S22</f>
        <v>0</v>
      </c>
      <c r="T23" s="4">
        <f>'תקציב אגף חינוך 2019'!T22</f>
        <v>0</v>
      </c>
      <c r="U23" s="4">
        <f>'תקציב אגף חינוך 2019'!U22</f>
        <v>697100</v>
      </c>
      <c r="V23" s="4">
        <f>'תקציב אגף חינוך 2019'!V22</f>
        <v>0</v>
      </c>
      <c r="W23" s="4">
        <f>'תקציב אגף חינוך 2019'!W22</f>
        <v>697100</v>
      </c>
      <c r="X23" s="4">
        <f>'תקציב אגף חינוך 2019'!X22</f>
        <v>0</v>
      </c>
      <c r="Y23" s="4">
        <f>'תקציב אגף חינוך 2019'!Y22</f>
        <v>0</v>
      </c>
      <c r="Z23" s="4">
        <f>'תקציב אגף חינוך 2019'!Z22</f>
        <v>0</v>
      </c>
      <c r="AA23" s="124" t="str">
        <f>'תקציב אגף חינוך 2019'!AA22</f>
        <v>המשך הצטיידות בי"סחדש  יצחק נבון.</v>
      </c>
      <c r="AB23" s="3">
        <f>'תקציב אגף חינוך 2019'!AB22</f>
        <v>810000</v>
      </c>
      <c r="AC23" s="471"/>
      <c r="AD23" s="471"/>
      <c r="AE23" s="471"/>
      <c r="AF23" s="471"/>
      <c r="AG23" s="470"/>
    </row>
    <row r="24" spans="1:34" s="5" customFormat="1">
      <c r="A24" s="3">
        <f t="shared" si="1"/>
        <v>18</v>
      </c>
      <c r="B24" s="57">
        <v>2069</v>
      </c>
      <c r="C24" s="3" t="s">
        <v>781</v>
      </c>
      <c r="D24" s="4">
        <f>'תקציב אגף חינוך 2019'!D23</f>
        <v>190000</v>
      </c>
      <c r="E24" s="4">
        <f>'תקציב אגף חינוך 2019'!E23</f>
        <v>190000</v>
      </c>
      <c r="F24" s="4">
        <f>'תקציב אגף חינוך 2019'!F23</f>
        <v>0</v>
      </c>
      <c r="G24" s="4">
        <f>'תקציב אגף חינוך 2019'!G23</f>
        <v>190000</v>
      </c>
      <c r="H24" s="4">
        <f>'תקציב אגף חינוך 2019'!H23</f>
        <v>0</v>
      </c>
      <c r="I24" s="4">
        <f>'תקציב אגף חינוך 2019'!I23</f>
        <v>0</v>
      </c>
      <c r="J24" s="4">
        <f>'תקציב אגף חינוך 2019'!J23</f>
        <v>91340</v>
      </c>
      <c r="K24" s="4">
        <f>'תקציב אגף חינוך 2019'!K23</f>
        <v>91340</v>
      </c>
      <c r="L24" s="4">
        <f>'תקציב אגף חינוך 2019'!L23</f>
        <v>91340</v>
      </c>
      <c r="M24" s="4">
        <f>'תקציב אגף חינוך 2019'!M23</f>
        <v>98660</v>
      </c>
      <c r="N24" s="4">
        <f>'תקציב אגף חינוך 2019'!N23</f>
        <v>0</v>
      </c>
      <c r="O24" s="4">
        <f>'תקציב אגף חינוך 2019'!O23</f>
        <v>0</v>
      </c>
      <c r="P24" s="4">
        <f>'תקציב אגף חינוך 2019'!P23</f>
        <v>98660</v>
      </c>
      <c r="Q24" s="4">
        <f>'תקציב אגף חינוך 2019'!Q23</f>
        <v>0</v>
      </c>
      <c r="R24" s="4">
        <f>'תקציב אגף חינוך 2019'!R23</f>
        <v>0</v>
      </c>
      <c r="S24" s="4">
        <f>'תקציב אגף חינוך 2019'!S23</f>
        <v>0</v>
      </c>
      <c r="T24" s="4">
        <f>'תקציב אגף חינוך 2019'!T23</f>
        <v>0</v>
      </c>
      <c r="U24" s="4">
        <f>'תקציב אגף חינוך 2019'!U23</f>
        <v>0</v>
      </c>
      <c r="V24" s="4">
        <f>'תקציב אגף חינוך 2019'!V23</f>
        <v>0</v>
      </c>
      <c r="W24" s="4">
        <f>'תקציב אגף חינוך 2019'!W23</f>
        <v>0</v>
      </c>
      <c r="X24" s="4">
        <f>'תקציב אגף חינוך 2019'!X23</f>
        <v>0</v>
      </c>
      <c r="Y24" s="4">
        <f>'תקציב אגף חינוך 2019'!Y23</f>
        <v>0</v>
      </c>
      <c r="Z24" s="4">
        <f>'תקציב אגף חינוך 2019'!Z23</f>
        <v>0</v>
      </c>
      <c r="AA24" s="124">
        <f>'תקציב אגף חינוך 2019'!AA23</f>
        <v>0</v>
      </c>
      <c r="AB24" s="3">
        <f>'תקציב אגף חינוך 2019'!AB23</f>
        <v>810000</v>
      </c>
      <c r="AC24" s="471"/>
      <c r="AD24" s="471"/>
      <c r="AE24" s="471"/>
      <c r="AF24" s="471"/>
      <c r="AG24" s="470"/>
    </row>
    <row r="25" spans="1:34" s="5" customFormat="1" ht="28">
      <c r="A25" s="3">
        <f t="shared" si="1"/>
        <v>19</v>
      </c>
      <c r="B25" s="408">
        <v>2070</v>
      </c>
      <c r="C25" s="3" t="s">
        <v>782</v>
      </c>
      <c r="D25" s="4">
        <f>'תקציב אגף חינוך 2019'!D24</f>
        <v>500000</v>
      </c>
      <c r="E25" s="4">
        <f>'תקציב אגף חינוך 2019'!E24</f>
        <v>500000</v>
      </c>
      <c r="F25" s="4">
        <f>'תקציב אגף חינוך 2019'!F24</f>
        <v>0</v>
      </c>
      <c r="G25" s="4">
        <f>'תקציב אגף חינוך 2019'!G24</f>
        <v>130000</v>
      </c>
      <c r="H25" s="4">
        <f>'תקציב אגף חינוך 2019'!H24</f>
        <v>0</v>
      </c>
      <c r="I25" s="4">
        <f>'תקציב אגף חינוך 2019'!I24</f>
        <v>0</v>
      </c>
      <c r="J25" s="4">
        <f>'תקציב אגף חינוך 2019'!J24</f>
        <v>86998.39</v>
      </c>
      <c r="K25" s="4">
        <f>'תקציב אגף חינוך 2019'!K24</f>
        <v>86998.39</v>
      </c>
      <c r="L25" s="4">
        <f>'תקציב אגף חינוך 2019'!L24</f>
        <v>86998.39</v>
      </c>
      <c r="M25" s="4">
        <f>'תקציב אגף חינוך 2019'!M24</f>
        <v>43001.61</v>
      </c>
      <c r="N25" s="4">
        <f>'תקציב אגף חינוך 2019'!N24</f>
        <v>190000</v>
      </c>
      <c r="O25" s="4">
        <f>'תקציב אגף חינוך 2019'!O24</f>
        <v>180000</v>
      </c>
      <c r="P25" s="4">
        <f>'תקציב אגף חינוך 2019'!P24</f>
        <v>43001.61</v>
      </c>
      <c r="Q25" s="4">
        <f>'תקציב אגף חינוך 2019'!Q24</f>
        <v>0</v>
      </c>
      <c r="R25" s="4">
        <f>'תקציב אגף חינוך 2019'!R24</f>
        <v>0</v>
      </c>
      <c r="S25" s="4">
        <f>'תקציב אגף חינוך 2019'!S24</f>
        <v>0</v>
      </c>
      <c r="T25" s="4">
        <f>'תקציב אגף חינוך 2019'!T24</f>
        <v>0</v>
      </c>
      <c r="U25" s="4">
        <f>'תקציב אגף חינוך 2019'!U24</f>
        <v>190000</v>
      </c>
      <c r="V25" s="4">
        <f>'תקציב אגף חינוך 2019'!V24</f>
        <v>0</v>
      </c>
      <c r="W25" s="4">
        <f>'תקציב אגף חינוך 2019'!W24</f>
        <v>112000</v>
      </c>
      <c r="X25" s="4">
        <f>'תקציב אגף חינוך 2019'!X24</f>
        <v>0</v>
      </c>
      <c r="Y25" s="4">
        <f>'תקציב אגף חינוך 2019'!Y24</f>
        <v>0</v>
      </c>
      <c r="Z25" s="4">
        <f>'תקציב אגף חינוך 2019'!Z24</f>
        <v>78000</v>
      </c>
      <c r="AA25" s="124" t="str">
        <f>'תקציב אגף חינוך 2019'!AA24</f>
        <v>ב-2019 צפויים להפתח 3 גנים (כולל ח"מ 1). מימון מ. החינוך.</v>
      </c>
      <c r="AB25" s="3">
        <f>'תקציב אגף חינוך 2019'!AB24</f>
        <v>810000</v>
      </c>
      <c r="AC25" s="471"/>
      <c r="AD25" s="471"/>
      <c r="AE25" s="471"/>
      <c r="AF25" s="471"/>
      <c r="AG25" s="470"/>
      <c r="AH25" s="6"/>
    </row>
    <row r="26" spans="1:34" s="5" customFormat="1">
      <c r="A26" s="3">
        <f t="shared" si="1"/>
        <v>20</v>
      </c>
      <c r="B26" s="57">
        <v>2071</v>
      </c>
      <c r="C26" s="3" t="s">
        <v>783</v>
      </c>
      <c r="D26" s="4">
        <f>'תקציב אגף חינוך 2019'!D25</f>
        <v>300000</v>
      </c>
      <c r="E26" s="4">
        <f>'תקציב אגף חינוך 2019'!E25</f>
        <v>300000</v>
      </c>
      <c r="F26" s="4">
        <f>'תקציב אגף חינוך 2019'!F25</f>
        <v>0</v>
      </c>
      <c r="G26" s="4">
        <f>'תקציב אגף חינוך 2019'!G25</f>
        <v>300000</v>
      </c>
      <c r="H26" s="4">
        <f>'תקציב אגף חינוך 2019'!H25</f>
        <v>0</v>
      </c>
      <c r="I26" s="4">
        <f>'תקציב אגף חינוך 2019'!I25</f>
        <v>0</v>
      </c>
      <c r="J26" s="4">
        <f>'תקציב אגף חינוך 2019'!J25</f>
        <v>0</v>
      </c>
      <c r="K26" s="4">
        <f>'תקציב אגף חינוך 2019'!K25</f>
        <v>0</v>
      </c>
      <c r="L26" s="4">
        <f>'תקציב אגף חינוך 2019'!L25</f>
        <v>0</v>
      </c>
      <c r="M26" s="4">
        <f>'תקציב אגף חינוך 2019'!M25</f>
        <v>300000</v>
      </c>
      <c r="N26" s="4">
        <f>'תקציב אגף חינוך 2019'!N25</f>
        <v>0</v>
      </c>
      <c r="O26" s="4">
        <f>'תקציב אגף חינוך 2019'!O25</f>
        <v>0</v>
      </c>
      <c r="P26" s="4">
        <f>'תקציב אגף חינוך 2019'!P25</f>
        <v>300000</v>
      </c>
      <c r="Q26" s="4">
        <f>'תקציב אגף חינוך 2019'!Q25</f>
        <v>0</v>
      </c>
      <c r="R26" s="4">
        <f>'תקציב אגף חינוך 2019'!R25</f>
        <v>0</v>
      </c>
      <c r="S26" s="4">
        <f>'תקציב אגף חינוך 2019'!S25</f>
        <v>0</v>
      </c>
      <c r="T26" s="4">
        <f>'תקציב אגף חינוך 2019'!T25</f>
        <v>0</v>
      </c>
      <c r="U26" s="4">
        <f>'תקציב אגף חינוך 2019'!U25</f>
        <v>0</v>
      </c>
      <c r="V26" s="4">
        <f>'תקציב אגף חינוך 2019'!V25</f>
        <v>0</v>
      </c>
      <c r="W26" s="4">
        <f>'תקציב אגף חינוך 2019'!W25</f>
        <v>0</v>
      </c>
      <c r="X26" s="4">
        <f>'תקציב אגף חינוך 2019'!X25</f>
        <v>0</v>
      </c>
      <c r="Y26" s="4">
        <f>'תקציב אגף חינוך 2019'!Y25</f>
        <v>0</v>
      </c>
      <c r="Z26" s="4">
        <f>'תקציב אגף חינוך 2019'!Z25</f>
        <v>0</v>
      </c>
      <c r="AA26" s="124">
        <f>'תקציב אגף חינוך 2019'!AA25</f>
        <v>0</v>
      </c>
      <c r="AB26" s="3">
        <f>'תקציב אגף חינוך 2019'!AB25</f>
        <v>810000</v>
      </c>
      <c r="AC26" s="471"/>
      <c r="AD26" s="471"/>
      <c r="AE26" s="471"/>
      <c r="AF26" s="471"/>
      <c r="AG26" s="470"/>
      <c r="AH26" s="6"/>
    </row>
    <row r="27" spans="1:34" s="5" customFormat="1" ht="28">
      <c r="A27" s="3">
        <f t="shared" si="1"/>
        <v>21</v>
      </c>
      <c r="B27" s="57">
        <f>'תקציב אגף חינוך 2019'!B26</f>
        <v>2090</v>
      </c>
      <c r="C27" s="3" t="s">
        <v>785</v>
      </c>
      <c r="D27" s="4">
        <f>'תקציב אגף חינוך 2019'!D26</f>
        <v>350000</v>
      </c>
      <c r="E27" s="4">
        <f>'תקציב אגף חינוך 2019'!E26</f>
        <v>0</v>
      </c>
      <c r="F27" s="4">
        <f>'תקציב אגף חינוך 2019'!F26</f>
        <v>350000</v>
      </c>
      <c r="G27" s="4">
        <f>'תקציב אגף חינוך 2019'!G26</f>
        <v>0</v>
      </c>
      <c r="H27" s="4">
        <f>'תקציב אגף חינוך 2019'!H26</f>
        <v>0</v>
      </c>
      <c r="I27" s="4">
        <f>'תקציב אגף חינוך 2019'!I26</f>
        <v>0</v>
      </c>
      <c r="J27" s="4">
        <f>'תקציב אגף חינוך 2019'!J26</f>
        <v>0</v>
      </c>
      <c r="K27" s="4">
        <f>'תקציב אגף חינוך 2019'!K26</f>
        <v>0</v>
      </c>
      <c r="L27" s="4">
        <f>'תקציב אגף חינוך 2019'!L26</f>
        <v>0</v>
      </c>
      <c r="M27" s="4">
        <f>'תקציב אגף חינוך 2019'!M26</f>
        <v>0</v>
      </c>
      <c r="N27" s="4">
        <f>'תקציב אגף חינוך 2019'!N26</f>
        <v>350000</v>
      </c>
      <c r="O27" s="4">
        <f>'תקציב אגף חינוך 2019'!O26</f>
        <v>0</v>
      </c>
      <c r="P27" s="4">
        <f>'תקציב אגף חינוך 2019'!P26</f>
        <v>0</v>
      </c>
      <c r="Q27" s="4">
        <f>'תקציב אגף חינוך 2019'!Q26</f>
        <v>0</v>
      </c>
      <c r="R27" s="4">
        <f>'תקציב אגף חינוך 2019'!R26</f>
        <v>0</v>
      </c>
      <c r="S27" s="4">
        <f>'תקציב אגף חינוך 2019'!S26</f>
        <v>0</v>
      </c>
      <c r="T27" s="4">
        <f>'תקציב אגף חינוך 2019'!T26</f>
        <v>0</v>
      </c>
      <c r="U27" s="4">
        <f>'תקציב אגף חינוך 2019'!U26</f>
        <v>350000</v>
      </c>
      <c r="V27" s="4">
        <f>'תקציב אגף חינוך 2019'!V26</f>
        <v>0</v>
      </c>
      <c r="W27" s="4">
        <f>'תקציב אגף חינוך 2019'!W26</f>
        <v>350000</v>
      </c>
      <c r="X27" s="4">
        <f>'תקציב אגף חינוך 2019'!X26</f>
        <v>0</v>
      </c>
      <c r="Y27" s="4">
        <f>'תקציב אגף חינוך 2019'!Y26</f>
        <v>0</v>
      </c>
      <c r="Z27" s="4">
        <f>'תקציב אגף חינוך 2019'!Z26</f>
        <v>0</v>
      </c>
      <c r="AA27" s="124" t="str">
        <f>'תקציב אגף חינוך 2019'!AA26</f>
        <v xml:space="preserve">הצטיידות מעבדה בהנדסאים הנמצא בבניה. </v>
      </c>
      <c r="AB27" s="3">
        <f>'תקציב אגף חינוך 2019'!AB26</f>
        <v>810000</v>
      </c>
      <c r="AC27" s="471"/>
      <c r="AD27" s="471"/>
      <c r="AE27" s="471"/>
      <c r="AF27" s="471"/>
      <c r="AG27" s="470"/>
    </row>
    <row r="28" spans="1:34" s="5" customFormat="1" ht="56">
      <c r="A28" s="3">
        <f t="shared" si="1"/>
        <v>22</v>
      </c>
      <c r="B28" s="57">
        <f>'תקציב אגף חינוך 2019'!B27</f>
        <v>2091</v>
      </c>
      <c r="C28" s="3" t="s">
        <v>786</v>
      </c>
      <c r="D28" s="4">
        <f>'תקציב אגף חינוך 2019'!D27</f>
        <v>1500000</v>
      </c>
      <c r="E28" s="4">
        <f>'תקציב אגף חינוך 2019'!E27</f>
        <v>0</v>
      </c>
      <c r="F28" s="4">
        <f>'תקציב אגף חינוך 2019'!F27</f>
        <v>1500000</v>
      </c>
      <c r="G28" s="4">
        <f>'תקציב אגף חינוך 2019'!G27</f>
        <v>0</v>
      </c>
      <c r="H28" s="4">
        <f>'תקציב אגף חינוך 2019'!H27</f>
        <v>0</v>
      </c>
      <c r="I28" s="4">
        <f>'תקציב אגף חינוך 2019'!I27</f>
        <v>0</v>
      </c>
      <c r="J28" s="4">
        <f>'תקציב אגף חינוך 2019'!J27</f>
        <v>0</v>
      </c>
      <c r="K28" s="4">
        <f>'תקציב אגף חינוך 2019'!K27</f>
        <v>0</v>
      </c>
      <c r="L28" s="4">
        <f>'תקציב אגף חינוך 2019'!L27</f>
        <v>0</v>
      </c>
      <c r="M28" s="4">
        <f>'תקציב אגף חינוך 2019'!M27</f>
        <v>0</v>
      </c>
      <c r="N28" s="4">
        <f>'תקציב אגף חינוך 2019'!N27</f>
        <v>900000</v>
      </c>
      <c r="O28" s="4">
        <f>'תקציב אגף חינוך 2019'!O27</f>
        <v>600000</v>
      </c>
      <c r="P28" s="4">
        <f>'תקציב אגף חינוך 2019'!P27</f>
        <v>0</v>
      </c>
      <c r="Q28" s="4">
        <f>'תקציב אגף חינוך 2019'!Q27</f>
        <v>0</v>
      </c>
      <c r="R28" s="4">
        <f>'תקציב אגף חינוך 2019'!R27</f>
        <v>0</v>
      </c>
      <c r="S28" s="4">
        <f>'תקציב אגף חינוך 2019'!S27</f>
        <v>0</v>
      </c>
      <c r="T28" s="4">
        <f>'תקציב אגף חינוך 2019'!T27</f>
        <v>0</v>
      </c>
      <c r="U28" s="4">
        <f>'תקציב אגף חינוך 2019'!U27</f>
        <v>900000</v>
      </c>
      <c r="V28" s="4">
        <f>'תקציב אגף חינוך 2019'!V27</f>
        <v>0</v>
      </c>
      <c r="W28" s="4">
        <f>'תקציב אגף חינוך 2019'!W27</f>
        <v>900000</v>
      </c>
      <c r="X28" s="4">
        <f>'תקציב אגף חינוך 2019'!X27</f>
        <v>0</v>
      </c>
      <c r="Y28" s="4">
        <f>'תקציב אגף חינוך 2019'!Y27</f>
        <v>0</v>
      </c>
      <c r="Z28" s="4">
        <f>'תקציב אגף חינוך 2019'!Z27</f>
        <v>0</v>
      </c>
      <c r="AA28" s="124" t="str">
        <f>'תקציב אגף חינוך 2019'!AA27</f>
        <v>בניית מרחבי למידה  ב - 30 בי"ס לפי אומדן ממוצע של 50 אלפי ₪ לבי"ס בשנים 2019 -2020.יתכן השתתפות מ. החינוך.</v>
      </c>
      <c r="AB28" s="3">
        <f>'תקציב אגף חינוך 2019'!AB27</f>
        <v>810000</v>
      </c>
      <c r="AC28" s="471"/>
      <c r="AD28" s="471"/>
      <c r="AE28" s="471"/>
      <c r="AF28" s="471"/>
      <c r="AG28" s="470"/>
    </row>
    <row r="29" spans="1:34" s="5" customFormat="1" ht="18.75" customHeight="1">
      <c r="A29" s="3">
        <f t="shared" si="1"/>
        <v>23</v>
      </c>
      <c r="B29" s="57">
        <f>'תקציב אגף חינוך 2019'!B28</f>
        <v>2092</v>
      </c>
      <c r="C29" s="3" t="s">
        <v>1345</v>
      </c>
      <c r="D29" s="4">
        <f>'תקציב אגף חינוך 2019'!D28</f>
        <v>4800000</v>
      </c>
      <c r="E29" s="4">
        <f>'תקציב אגף חינוך 2019'!E28</f>
        <v>0</v>
      </c>
      <c r="F29" s="4">
        <f>'תקציב אגף חינוך 2019'!F28</f>
        <v>4800000</v>
      </c>
      <c r="G29" s="4">
        <f>'תקציב אגף חינוך 2019'!G28</f>
        <v>0</v>
      </c>
      <c r="H29" s="4">
        <f>'תקציב אגף חינוך 2019'!H28</f>
        <v>0</v>
      </c>
      <c r="I29" s="4">
        <f>'תקציב אגף חינוך 2019'!I28</f>
        <v>0</v>
      </c>
      <c r="J29" s="4">
        <f>'תקציב אגף חינוך 2019'!J28</f>
        <v>0</v>
      </c>
      <c r="K29" s="4">
        <f>'תקציב אגף חינוך 2019'!K28</f>
        <v>0</v>
      </c>
      <c r="L29" s="4">
        <f>'תקציב אגף חינוך 2019'!L28</f>
        <v>0</v>
      </c>
      <c r="M29" s="4">
        <f>'תקציב אגף חינוך 2019'!M28</f>
        <v>0</v>
      </c>
      <c r="N29" s="4">
        <f>'תקציב אגף חינוך 2019'!N28</f>
        <v>4800000</v>
      </c>
      <c r="O29" s="4">
        <f>'תקציב אגף חינוך 2019'!O28</f>
        <v>0</v>
      </c>
      <c r="P29" s="4">
        <f>'תקציב אגף חינוך 2019'!P28</f>
        <v>0</v>
      </c>
      <c r="Q29" s="4">
        <f>'תקציב אגף חינוך 2019'!Q28</f>
        <v>0</v>
      </c>
      <c r="R29" s="4">
        <f>'תקציב אגף חינוך 2019'!R28</f>
        <v>0</v>
      </c>
      <c r="S29" s="4">
        <f>'תקציב אגף חינוך 2019'!S28</f>
        <v>0</v>
      </c>
      <c r="T29" s="4">
        <f>'תקציב אגף חינוך 2019'!T28</f>
        <v>0</v>
      </c>
      <c r="U29" s="4">
        <f>'תקציב אגף חינוך 2019'!U28</f>
        <v>4800000</v>
      </c>
      <c r="V29" s="4">
        <f>'תקציב אגף חינוך 2019'!V28</f>
        <v>0</v>
      </c>
      <c r="W29" s="4">
        <f>'תקציב אגף חינוך 2019'!W28</f>
        <v>0</v>
      </c>
      <c r="X29" s="4">
        <f>'תקציב אגף חינוך 2019'!X28</f>
        <v>0</v>
      </c>
      <c r="Y29" s="4">
        <f>'תקציב אגף חינוך 2019'!Y28</f>
        <v>0</v>
      </c>
      <c r="Z29" s="4">
        <f>'תקציב אגף חינוך 2019'!Z28</f>
        <v>4800000</v>
      </c>
      <c r="AA29" s="124" t="str">
        <f>'תקציב אגף חינוך 2019'!AA28</f>
        <v>פרויקט שיגור 70 לווינים בשיתוף עם 70 ערים ומועצות עירוניות. מימון מ. המדע.</v>
      </c>
      <c r="AB29" s="3">
        <f>'תקציב אגף חינוך 2019'!AB28</f>
        <v>810000</v>
      </c>
      <c r="AC29" s="471"/>
      <c r="AD29" s="471"/>
      <c r="AE29" s="471"/>
      <c r="AF29" s="471"/>
      <c r="AG29" s="470"/>
    </row>
    <row r="30" spans="1:34" s="101" customFormat="1" ht="18.75" customHeight="1">
      <c r="A30" s="44"/>
      <c r="B30" s="44"/>
      <c r="C30" s="44" t="s">
        <v>1214</v>
      </c>
      <c r="D30" s="125">
        <f>SUM(D8:D29)</f>
        <v>17765363.133986652</v>
      </c>
      <c r="E30" s="125">
        <f t="shared" ref="E30:Z30" si="2">SUM(E8:E29)</f>
        <v>10920500</v>
      </c>
      <c r="F30" s="125">
        <f t="shared" si="2"/>
        <v>6844863.13398665</v>
      </c>
      <c r="G30" s="125">
        <f t="shared" si="2"/>
        <v>8573263</v>
      </c>
      <c r="H30" s="125">
        <f t="shared" si="2"/>
        <v>4153012.33</v>
      </c>
      <c r="I30" s="125">
        <f t="shared" si="2"/>
        <v>0</v>
      </c>
      <c r="J30" s="125">
        <f t="shared" si="2"/>
        <v>1851410.6500000001</v>
      </c>
      <c r="K30" s="125">
        <f t="shared" si="2"/>
        <v>1851410.6500000001</v>
      </c>
      <c r="L30" s="125">
        <f t="shared" si="2"/>
        <v>6004422.9799999995</v>
      </c>
      <c r="M30" s="125">
        <f t="shared" si="2"/>
        <v>2068840.02</v>
      </c>
      <c r="N30" s="125">
        <f t="shared" si="2"/>
        <v>8912100.13398665</v>
      </c>
      <c r="O30" s="125">
        <f t="shared" si="2"/>
        <v>780000</v>
      </c>
      <c r="P30" s="125">
        <f t="shared" si="2"/>
        <v>2568840.02</v>
      </c>
      <c r="Q30" s="125">
        <f t="shared" si="2"/>
        <v>0</v>
      </c>
      <c r="R30" s="125">
        <f t="shared" si="2"/>
        <v>0</v>
      </c>
      <c r="S30" s="125">
        <f t="shared" si="2"/>
        <v>0</v>
      </c>
      <c r="T30" s="125">
        <f t="shared" si="2"/>
        <v>500000</v>
      </c>
      <c r="U30" s="125">
        <f t="shared" si="2"/>
        <v>8412100.13398665</v>
      </c>
      <c r="V30" s="125">
        <f t="shared" si="2"/>
        <v>0</v>
      </c>
      <c r="W30" s="125">
        <f t="shared" si="2"/>
        <v>3534100.13398665</v>
      </c>
      <c r="X30" s="125">
        <f t="shared" si="2"/>
        <v>0</v>
      </c>
      <c r="Y30" s="125">
        <f t="shared" si="2"/>
        <v>0</v>
      </c>
      <c r="Z30" s="125">
        <f t="shared" si="2"/>
        <v>4878000</v>
      </c>
      <c r="AA30" s="620"/>
      <c r="AB30" s="44"/>
      <c r="AC30" s="651"/>
      <c r="AD30" s="651"/>
      <c r="AE30" s="651"/>
      <c r="AF30" s="651"/>
      <c r="AG30" s="652"/>
    </row>
    <row r="31" spans="1:34" s="6" customFormat="1" ht="18.75" customHeight="1">
      <c r="A31" s="9">
        <f>A29</f>
        <v>23</v>
      </c>
      <c r="B31" s="474"/>
      <c r="C31" s="9" t="s">
        <v>907</v>
      </c>
      <c r="D31" s="10">
        <f>D30+D7</f>
        <v>18230363.133986652</v>
      </c>
      <c r="E31" s="10">
        <f t="shared" ref="E31:Z31" si="3">E30+E7</f>
        <v>11385500</v>
      </c>
      <c r="F31" s="10">
        <f t="shared" si="3"/>
        <v>6844863.13398665</v>
      </c>
      <c r="G31" s="10">
        <f t="shared" si="3"/>
        <v>9038263</v>
      </c>
      <c r="H31" s="10">
        <f t="shared" si="3"/>
        <v>4614992.4400000004</v>
      </c>
      <c r="I31" s="10">
        <f t="shared" si="3"/>
        <v>0</v>
      </c>
      <c r="J31" s="10">
        <f t="shared" si="3"/>
        <v>1851410.6500000001</v>
      </c>
      <c r="K31" s="10">
        <f t="shared" si="3"/>
        <v>1851410.6500000001</v>
      </c>
      <c r="L31" s="10">
        <f t="shared" si="3"/>
        <v>6466403.0899999999</v>
      </c>
      <c r="M31" s="10">
        <f t="shared" si="3"/>
        <v>2071859.9100000001</v>
      </c>
      <c r="N31" s="10">
        <f t="shared" si="3"/>
        <v>8912100.13398665</v>
      </c>
      <c r="O31" s="10">
        <f t="shared" si="3"/>
        <v>780000</v>
      </c>
      <c r="P31" s="10">
        <f t="shared" si="3"/>
        <v>2571859.91</v>
      </c>
      <c r="Q31" s="10">
        <f t="shared" si="3"/>
        <v>0</v>
      </c>
      <c r="R31" s="10">
        <f t="shared" si="3"/>
        <v>0</v>
      </c>
      <c r="S31" s="10">
        <f t="shared" si="3"/>
        <v>0</v>
      </c>
      <c r="T31" s="10">
        <f t="shared" si="3"/>
        <v>500000</v>
      </c>
      <c r="U31" s="10">
        <f t="shared" si="3"/>
        <v>8412100.13398665</v>
      </c>
      <c r="V31" s="10">
        <f t="shared" si="3"/>
        <v>0</v>
      </c>
      <c r="W31" s="10">
        <f t="shared" si="3"/>
        <v>3534100.13398665</v>
      </c>
      <c r="X31" s="10">
        <f t="shared" si="3"/>
        <v>0</v>
      </c>
      <c r="Y31" s="10">
        <f t="shared" si="3"/>
        <v>0</v>
      </c>
      <c r="Z31" s="10">
        <f t="shared" si="3"/>
        <v>4878000</v>
      </c>
      <c r="AA31" s="46"/>
      <c r="AB31" s="9"/>
      <c r="AC31" s="471"/>
      <c r="AD31" s="471"/>
      <c r="AE31" s="471"/>
      <c r="AF31" s="471"/>
      <c r="AG31" s="470"/>
    </row>
    <row r="32" spans="1:34" s="5" customFormat="1" ht="18.75" customHeight="1">
      <c r="A32" s="31"/>
      <c r="B32" s="15"/>
      <c r="C32" s="21"/>
      <c r="D32" s="17"/>
      <c r="E32" s="17"/>
      <c r="F32" s="17"/>
      <c r="G32" s="17"/>
      <c r="H32" s="17"/>
      <c r="I32" s="17"/>
      <c r="J32" s="17"/>
      <c r="K32" s="17"/>
      <c r="L32" s="24">
        <f>H31+K31</f>
        <v>6466403.0900000008</v>
      </c>
      <c r="M32" s="24">
        <f>P31+S31-T31</f>
        <v>2071859.9100000001</v>
      </c>
      <c r="N32" s="51"/>
      <c r="O32" s="27"/>
      <c r="P32" s="24">
        <f>G31-L31</f>
        <v>2571859.91</v>
      </c>
      <c r="Q32" s="27"/>
      <c r="R32" s="27"/>
      <c r="S32" s="27"/>
      <c r="T32" s="27"/>
      <c r="U32" s="24">
        <f>N31-T31</f>
        <v>8412100.13398665</v>
      </c>
      <c r="V32" s="15"/>
      <c r="W32" s="15"/>
      <c r="X32" s="15"/>
      <c r="Y32" s="15"/>
      <c r="Z32" s="15"/>
      <c r="AA32" s="611"/>
      <c r="AB32" s="15"/>
      <c r="AC32" s="471"/>
      <c r="AD32" s="471"/>
      <c r="AE32" s="471"/>
      <c r="AF32" s="471"/>
      <c r="AG32" s="470"/>
    </row>
    <row r="35" spans="21:21">
      <c r="U35" s="17"/>
    </row>
  </sheetData>
  <sheetProtection formatCells="0" formatColumns="0" formatRows="0" insertColumns="0" insertRows="0" insertHyperlinks="0" deleteColumns="0" deleteRows="0" sort="0" autoFilter="0" pivotTables="0"/>
  <sortState ref="A6:AI28">
    <sortCondition ref="AB6:AB28"/>
  </sortState>
  <conditionalFormatting sqref="AG4:AG25 A1:W2 AE1:XFD2 Y1:AB2 AE3:AF25 AD1:AD25 AG31:AG32 AC31:AF1048576">
    <cfRule type="cellIs" dxfId="271" priority="9" operator="equal">
      <formula>0</formula>
    </cfRule>
  </conditionalFormatting>
  <conditionalFormatting sqref="AA4">
    <cfRule type="cellIs" dxfId="270" priority="8" operator="equal">
      <formula>0</formula>
    </cfRule>
  </conditionalFormatting>
  <conditionalFormatting sqref="X1:X2">
    <cfRule type="cellIs" dxfId="269" priority="7" operator="equal">
      <formula>0</formula>
    </cfRule>
  </conditionalFormatting>
  <conditionalFormatting sqref="AC1:AC25">
    <cfRule type="cellIs" dxfId="268" priority="6" operator="equal">
      <formula>0</formula>
    </cfRule>
  </conditionalFormatting>
  <conditionalFormatting sqref="AD26:AG26">
    <cfRule type="cellIs" dxfId="267" priority="5" operator="equal">
      <formula>0</formula>
    </cfRule>
  </conditionalFormatting>
  <conditionalFormatting sqref="AC26">
    <cfRule type="cellIs" dxfId="266" priority="4" operator="equal">
      <formula>0</formula>
    </cfRule>
  </conditionalFormatting>
  <conditionalFormatting sqref="AG28:AG30 AD27:AF30">
    <cfRule type="cellIs" dxfId="265" priority="3" operator="equal">
      <formula>0</formula>
    </cfRule>
  </conditionalFormatting>
  <conditionalFormatting sqref="AG27">
    <cfRule type="cellIs" dxfId="264" priority="2" operator="equal">
      <formula>0</formula>
    </cfRule>
  </conditionalFormatting>
  <conditionalFormatting sqref="AC27:AC30">
    <cfRule type="cellIs" dxfId="263" priority="1" operator="equal">
      <formula>0</formula>
    </cfRule>
  </conditionalFormatting>
  <printOptions horizontalCentered="1"/>
  <pageMargins left="0" right="0" top="0.94488188976377963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4"/>
  <sheetViews>
    <sheetView rightToLeft="1" workbookViewId="0">
      <selection activeCell="T20" sqref="T20"/>
    </sheetView>
  </sheetViews>
  <sheetFormatPr defaultColWidth="9.1796875" defaultRowHeight="14"/>
  <cols>
    <col min="1" max="3" width="4.1796875" style="353" customWidth="1"/>
    <col min="4" max="4" width="34.81640625" style="353" customWidth="1"/>
    <col min="5" max="5" width="30.453125" style="353" customWidth="1"/>
    <col min="6" max="6" width="10.81640625" style="353" customWidth="1"/>
    <col min="7" max="7" width="5.54296875" style="353" customWidth="1"/>
    <col min="8" max="9" width="12.1796875" style="353" customWidth="1"/>
    <col min="10" max="10" width="7.81640625" style="353" customWidth="1"/>
    <col min="11" max="16384" width="9.1796875" style="353"/>
  </cols>
  <sheetData>
    <row r="3" spans="1:17" ht="20.5">
      <c r="A3" s="352"/>
      <c r="C3" s="354" t="s">
        <v>1048</v>
      </c>
      <c r="D3" s="352"/>
      <c r="E3" s="352"/>
      <c r="F3" s="352"/>
      <c r="G3" s="352"/>
      <c r="H3" s="352"/>
      <c r="I3" s="352"/>
      <c r="J3" s="352"/>
      <c r="K3" s="352"/>
      <c r="L3" s="352"/>
    </row>
    <row r="4" spans="1:17" ht="21" thickBot="1">
      <c r="A4" s="352"/>
      <c r="C4" s="354"/>
      <c r="D4" s="352"/>
      <c r="E4" s="352"/>
      <c r="F4" s="352"/>
      <c r="G4" s="352"/>
      <c r="H4" s="352"/>
      <c r="I4" s="352"/>
      <c r="J4" s="352"/>
      <c r="K4" s="352"/>
      <c r="L4" s="352"/>
    </row>
    <row r="5" spans="1:17" ht="16" thickBot="1">
      <c r="A5" s="352"/>
      <c r="B5" s="355" t="s">
        <v>344</v>
      </c>
      <c r="C5" s="352" t="s">
        <v>1205</v>
      </c>
      <c r="D5" s="352"/>
      <c r="E5" s="352"/>
      <c r="F5" s="356">
        <f>'תקציב אגף תנוס 2019'!U16</f>
        <v>3120000</v>
      </c>
      <c r="I5" s="352"/>
      <c r="J5" s="352"/>
      <c r="K5" s="352"/>
      <c r="L5" s="352"/>
    </row>
    <row r="6" spans="1:17" ht="21" thickBot="1">
      <c r="A6" s="352"/>
      <c r="C6" s="354"/>
      <c r="D6" s="352"/>
      <c r="E6" s="352"/>
      <c r="F6" s="352"/>
      <c r="H6" s="352"/>
      <c r="I6" s="352"/>
      <c r="J6" s="352"/>
      <c r="K6" s="352"/>
      <c r="L6" s="352"/>
    </row>
    <row r="7" spans="1:17" ht="16" thickBot="1">
      <c r="B7" s="355" t="s">
        <v>344</v>
      </c>
      <c r="C7" s="352" t="s">
        <v>559</v>
      </c>
      <c r="D7" s="352"/>
      <c r="F7" s="356">
        <f>'תקציב אגף תנוס 2019'!A16</f>
        <v>10</v>
      </c>
      <c r="I7" s="352"/>
      <c r="J7" s="352"/>
      <c r="K7" s="352"/>
      <c r="L7" s="352"/>
      <c r="M7" s="352"/>
      <c r="N7" s="352"/>
      <c r="O7" s="352"/>
      <c r="P7" s="352"/>
      <c r="Q7" s="352"/>
    </row>
    <row r="8" spans="1:17" ht="15.5">
      <c r="B8" s="355"/>
      <c r="C8" s="352"/>
      <c r="D8" s="352"/>
      <c r="E8" s="352"/>
      <c r="F8" s="352"/>
      <c r="H8" s="352"/>
      <c r="I8" s="352"/>
      <c r="J8" s="352"/>
      <c r="K8" s="352"/>
      <c r="L8" s="352"/>
      <c r="M8" s="352"/>
      <c r="N8" s="352"/>
      <c r="O8" s="352"/>
      <c r="P8" s="352"/>
      <c r="Q8" s="352"/>
    </row>
    <row r="9" spans="1:17" ht="15.5">
      <c r="B9" s="355" t="s">
        <v>344</v>
      </c>
      <c r="C9" s="352" t="s">
        <v>547</v>
      </c>
      <c r="D9" s="352"/>
      <c r="E9" s="352"/>
      <c r="F9" s="352"/>
      <c r="G9" s="352"/>
      <c r="H9" s="352"/>
      <c r="I9" s="352"/>
      <c r="J9" s="352"/>
      <c r="K9" s="352"/>
      <c r="L9" s="352"/>
    </row>
    <row r="10" spans="1:17" ht="16" thickBot="1">
      <c r="B10" s="352"/>
      <c r="C10" s="352"/>
      <c r="D10" s="352"/>
      <c r="E10" s="352"/>
      <c r="F10" s="352"/>
      <c r="G10" s="352"/>
      <c r="H10" s="352"/>
      <c r="I10" s="352"/>
      <c r="J10" s="352"/>
      <c r="K10" s="352"/>
      <c r="L10" s="352"/>
      <c r="M10" s="352"/>
      <c r="N10" s="352"/>
      <c r="O10" s="352"/>
      <c r="P10" s="352"/>
      <c r="Q10" s="352"/>
    </row>
    <row r="11" spans="1:17" ht="15.5">
      <c r="D11" s="365" t="s">
        <v>548</v>
      </c>
      <c r="E11" s="366" t="s">
        <v>549</v>
      </c>
      <c r="F11" s="367" t="s">
        <v>551</v>
      </c>
      <c r="G11" s="352"/>
      <c r="H11" s="352"/>
      <c r="I11" s="352"/>
      <c r="J11" s="352"/>
      <c r="K11" s="352"/>
      <c r="L11" s="352"/>
      <c r="M11" s="352"/>
      <c r="N11" s="352"/>
      <c r="O11" s="352"/>
      <c r="P11" s="352"/>
      <c r="Q11" s="352"/>
    </row>
    <row r="12" spans="1:17" ht="15.5" hidden="1">
      <c r="D12" s="359" t="s">
        <v>13</v>
      </c>
      <c r="E12" s="649">
        <f>'תקציב אגף תנוס 2019'!V16</f>
        <v>0</v>
      </c>
      <c r="F12" s="369">
        <f>E12/$E$14</f>
        <v>0</v>
      </c>
      <c r="G12" s="352"/>
      <c r="H12" s="352"/>
      <c r="I12" s="352"/>
      <c r="J12" s="352"/>
      <c r="K12" s="352"/>
      <c r="L12" s="352"/>
      <c r="M12" s="352"/>
      <c r="N12" s="352"/>
      <c r="O12" s="352"/>
      <c r="P12" s="352"/>
      <c r="Q12" s="352"/>
    </row>
    <row r="13" spans="1:17" ht="15.5">
      <c r="C13" s="355"/>
      <c r="D13" s="359" t="s">
        <v>14</v>
      </c>
      <c r="E13" s="368">
        <f>'תקציב אגף תנוס 2019'!W16</f>
        <v>3120000</v>
      </c>
      <c r="F13" s="369">
        <f>E13/$E$14</f>
        <v>1</v>
      </c>
      <c r="G13" s="352"/>
      <c r="H13" s="352"/>
      <c r="I13" s="352"/>
      <c r="J13" s="352"/>
      <c r="K13" s="352"/>
      <c r="L13" s="352"/>
      <c r="M13" s="352"/>
      <c r="N13" s="352"/>
      <c r="O13" s="352"/>
      <c r="P13" s="352"/>
      <c r="Q13" s="352"/>
    </row>
    <row r="14" spans="1:17" ht="16" thickBot="1">
      <c r="C14" s="355"/>
      <c r="D14" s="362" t="s">
        <v>160</v>
      </c>
      <c r="E14" s="650">
        <f>SUM(E12:E13)</f>
        <v>3120000</v>
      </c>
      <c r="F14" s="653">
        <f>SUM(F12:F13)</f>
        <v>1</v>
      </c>
      <c r="G14" s="352"/>
      <c r="H14" s="352"/>
      <c r="I14" s="352"/>
      <c r="J14" s="352"/>
      <c r="K14" s="352"/>
      <c r="L14" s="352"/>
      <c r="M14" s="352"/>
      <c r="N14" s="352"/>
      <c r="O14" s="352"/>
      <c r="P14" s="352"/>
      <c r="Q14" s="352"/>
    </row>
    <row r="15" spans="1:17" ht="15.5">
      <c r="B15" s="355"/>
      <c r="C15" s="352"/>
      <c r="D15" s="352"/>
      <c r="E15" s="352"/>
      <c r="F15" s="352"/>
      <c r="G15" s="352"/>
      <c r="H15" s="352"/>
      <c r="I15" s="352"/>
      <c r="J15" s="352"/>
      <c r="K15" s="352"/>
      <c r="L15" s="352"/>
      <c r="M15" s="352"/>
      <c r="N15" s="352"/>
      <c r="O15" s="352"/>
      <c r="P15" s="352"/>
      <c r="Q15" s="352"/>
    </row>
    <row r="16" spans="1:17" ht="15.5">
      <c r="B16" s="355"/>
      <c r="C16" s="352"/>
      <c r="D16" s="352"/>
      <c r="E16" s="352"/>
      <c r="F16" s="352"/>
      <c r="G16" s="352"/>
      <c r="H16" s="352"/>
      <c r="I16" s="352"/>
      <c r="J16" s="352"/>
      <c r="K16" s="352"/>
      <c r="L16" s="352"/>
      <c r="M16" s="352"/>
      <c r="N16" s="352"/>
      <c r="O16" s="352"/>
      <c r="P16" s="352"/>
      <c r="Q16" s="352"/>
    </row>
    <row r="17" spans="1:17" ht="15.5">
      <c r="B17" s="355"/>
      <c r="C17" s="352"/>
      <c r="D17" s="352"/>
      <c r="F17" s="352"/>
      <c r="H17" s="361"/>
      <c r="I17" s="352"/>
      <c r="J17" s="352"/>
      <c r="K17" s="352"/>
      <c r="L17" s="352"/>
      <c r="M17" s="352"/>
      <c r="N17" s="352"/>
      <c r="O17" s="352"/>
      <c r="P17" s="352"/>
      <c r="Q17" s="352"/>
    </row>
    <row r="18" spans="1:17" ht="15.5">
      <c r="B18" s="355" t="s">
        <v>344</v>
      </c>
      <c r="C18" s="352" t="s">
        <v>1211</v>
      </c>
      <c r="D18" s="352"/>
      <c r="F18" s="352"/>
      <c r="H18" s="361"/>
      <c r="I18" s="352"/>
      <c r="J18" s="352"/>
      <c r="K18" s="352"/>
      <c r="L18" s="352"/>
      <c r="M18" s="352"/>
      <c r="N18" s="352"/>
      <c r="O18" s="352"/>
      <c r="P18" s="352"/>
      <c r="Q18" s="352"/>
    </row>
    <row r="19" spans="1:17" ht="15.5">
      <c r="B19" s="355"/>
      <c r="C19" s="352" t="s">
        <v>1522</v>
      </c>
      <c r="D19" s="352"/>
      <c r="E19" s="352"/>
      <c r="F19" s="352"/>
      <c r="G19" s="352"/>
      <c r="H19" s="352"/>
      <c r="I19" s="352"/>
      <c r="J19" s="352"/>
      <c r="K19" s="352"/>
      <c r="L19" s="352"/>
      <c r="M19" s="352"/>
      <c r="N19" s="352"/>
      <c r="O19" s="352"/>
      <c r="P19" s="352"/>
      <c r="Q19" s="352"/>
    </row>
    <row r="22" spans="1:17" s="628" customFormat="1" ht="15.5">
      <c r="C22" s="630" t="s">
        <v>344</v>
      </c>
      <c r="D22" s="627" t="s">
        <v>1478</v>
      </c>
      <c r="E22" s="627"/>
      <c r="F22" s="627"/>
      <c r="G22" s="627"/>
      <c r="H22" s="627"/>
      <c r="I22" s="627"/>
      <c r="J22" s="627"/>
      <c r="K22" s="627"/>
      <c r="L22" s="627"/>
      <c r="M22" s="627"/>
      <c r="N22" s="627"/>
      <c r="O22" s="627"/>
      <c r="P22" s="627"/>
      <c r="Q22" s="627"/>
    </row>
    <row r="23" spans="1:17" s="628" customFormat="1" ht="15.5">
      <c r="A23" s="627"/>
      <c r="B23" s="627"/>
      <c r="C23" s="627"/>
      <c r="D23" s="627"/>
      <c r="E23" s="627"/>
      <c r="F23" s="627"/>
      <c r="G23" s="627"/>
      <c r="H23" s="627"/>
      <c r="I23" s="627"/>
      <c r="J23" s="627"/>
      <c r="K23" s="627"/>
      <c r="L23" s="627"/>
      <c r="M23" s="627"/>
      <c r="N23" s="627"/>
      <c r="O23" s="627"/>
      <c r="P23" s="627"/>
      <c r="Q23" s="627"/>
    </row>
    <row r="24" spans="1:17" s="628" customFormat="1" ht="15.5">
      <c r="A24" s="627"/>
      <c r="B24" s="627"/>
      <c r="C24" s="627"/>
      <c r="D24" s="627" t="s">
        <v>1253</v>
      </c>
      <c r="E24" s="627"/>
      <c r="F24" s="627"/>
      <c r="G24" s="627"/>
      <c r="H24" s="627"/>
      <c r="I24" s="627"/>
      <c r="J24" s="627"/>
      <c r="K24" s="627"/>
      <c r="L24" s="627"/>
      <c r="M24" s="627"/>
      <c r="N24" s="627"/>
      <c r="O24" s="627"/>
      <c r="P24" s="627"/>
      <c r="Q24" s="627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9"/>
  <sheetViews>
    <sheetView showZeros="0" rightToLeft="1" zoomScaleNormal="100" workbookViewId="0">
      <pane xSplit="3" ySplit="4" topLeftCell="D11" activePane="bottomRight" state="frozen"/>
      <selection activeCell="T20" sqref="T20"/>
      <selection pane="topRight" activeCell="T20" sqref="T20"/>
      <selection pane="bottomLeft" activeCell="T20" sqref="T20"/>
      <selection pane="bottomRight" activeCell="C11" sqref="C11"/>
    </sheetView>
  </sheetViews>
  <sheetFormatPr defaultColWidth="9.1796875" defaultRowHeight="18"/>
  <cols>
    <col min="1" max="1" width="6.26953125" style="40" customWidth="1"/>
    <col min="2" max="2" width="6.7265625" style="15" customWidth="1"/>
    <col min="3" max="3" width="31.7265625" style="15" customWidth="1"/>
    <col min="4" max="4" width="10.453125" style="17" customWidth="1"/>
    <col min="5" max="5" width="12.7265625" style="17" customWidth="1"/>
    <col min="6" max="6" width="11.1796875" style="17" customWidth="1"/>
    <col min="7" max="10" width="12.7265625" style="17" hidden="1" customWidth="1"/>
    <col min="11" max="11" width="11.26953125" style="17" hidden="1" customWidth="1"/>
    <col min="12" max="13" width="9.81640625" style="17" customWidth="1"/>
    <col min="14" max="14" width="9.26953125" style="17" customWidth="1"/>
    <col min="15" max="15" width="9.1796875" style="17" customWidth="1"/>
    <col min="16" max="17" width="11.1796875" style="17" hidden="1" customWidth="1"/>
    <col min="18" max="19" width="12" style="17" hidden="1" customWidth="1"/>
    <col min="20" max="20" width="10" style="17" hidden="1" customWidth="1"/>
    <col min="21" max="21" width="9.81640625" style="15" customWidth="1"/>
    <col min="22" max="22" width="9.1796875" style="15" hidden="1" customWidth="1"/>
    <col min="23" max="23" width="11.81640625" style="15" customWidth="1"/>
    <col min="24" max="25" width="7.453125" style="15" hidden="1" customWidth="1"/>
    <col min="26" max="26" width="8.453125" style="15" hidden="1" customWidth="1"/>
    <col min="27" max="27" width="34.81640625" style="40" customWidth="1"/>
    <col min="28" max="28" width="7.81640625" style="15" hidden="1" customWidth="1"/>
    <col min="29" max="29" width="10.453125" style="468" customWidth="1"/>
    <col min="30" max="30" width="12.81640625" style="468" customWidth="1"/>
    <col min="31" max="31" width="9.7265625" style="468" customWidth="1"/>
    <col min="32" max="32" width="9.81640625" style="468" customWidth="1"/>
    <col min="33" max="33" width="19.7265625" style="468" customWidth="1"/>
    <col min="34" max="16384" width="9.1796875" style="15"/>
  </cols>
  <sheetData>
    <row r="1" spans="1:33" s="469" customFormat="1">
      <c r="A1" s="464"/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  <c r="O1" s="464"/>
      <c r="P1" s="464"/>
      <c r="Q1" s="464"/>
      <c r="R1" s="464"/>
      <c r="S1" s="464"/>
      <c r="T1" s="464"/>
      <c r="U1" s="464"/>
      <c r="V1" s="464"/>
      <c r="W1" s="464"/>
      <c r="X1" s="464"/>
      <c r="Y1" s="464"/>
      <c r="Z1" s="464"/>
      <c r="AA1" s="464"/>
      <c r="AB1" s="464"/>
      <c r="AC1" s="468"/>
      <c r="AD1" s="468"/>
      <c r="AE1" s="468"/>
      <c r="AF1" s="468"/>
      <c r="AG1" s="468"/>
    </row>
    <row r="2" spans="1:33" s="469" customFormat="1">
      <c r="A2" s="464" t="s">
        <v>1048</v>
      </c>
      <c r="B2" s="464"/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4"/>
      <c r="O2" s="464"/>
      <c r="P2" s="464"/>
      <c r="Q2" s="464"/>
      <c r="R2" s="464"/>
      <c r="S2" s="464"/>
      <c r="T2" s="464"/>
      <c r="U2" s="464"/>
      <c r="V2" s="464"/>
      <c r="W2" s="464"/>
      <c r="X2" s="464"/>
      <c r="Y2" s="464"/>
      <c r="Z2" s="464"/>
      <c r="AA2" s="464"/>
      <c r="AB2" s="464"/>
      <c r="AC2" s="468"/>
      <c r="AD2" s="468"/>
      <c r="AE2" s="468"/>
      <c r="AF2" s="468"/>
      <c r="AG2" s="468"/>
    </row>
    <row r="4" spans="1:33" s="34" customFormat="1" ht="86.25" customHeight="1">
      <c r="A4" s="19" t="s">
        <v>0</v>
      </c>
      <c r="B4" s="19" t="s">
        <v>1</v>
      </c>
      <c r="C4" s="19" t="s">
        <v>2</v>
      </c>
      <c r="D4" s="19" t="s">
        <v>3</v>
      </c>
      <c r="E4" s="19" t="s">
        <v>4</v>
      </c>
      <c r="F4" s="19" t="s">
        <v>5</v>
      </c>
      <c r="G4" s="19" t="s">
        <v>6</v>
      </c>
      <c r="H4" s="19" t="s">
        <v>7</v>
      </c>
      <c r="I4" s="19" t="s">
        <v>9</v>
      </c>
      <c r="J4" s="19" t="s">
        <v>318</v>
      </c>
      <c r="K4" s="19" t="s">
        <v>10</v>
      </c>
      <c r="L4" s="19" t="s">
        <v>11</v>
      </c>
      <c r="M4" s="11" t="s">
        <v>627</v>
      </c>
      <c r="N4" s="19" t="s">
        <v>628</v>
      </c>
      <c r="O4" s="19" t="s">
        <v>629</v>
      </c>
      <c r="P4" s="19" t="s">
        <v>12</v>
      </c>
      <c r="Q4" s="19" t="s">
        <v>630</v>
      </c>
      <c r="R4" s="19" t="s">
        <v>631</v>
      </c>
      <c r="S4" s="19" t="s">
        <v>632</v>
      </c>
      <c r="T4" s="19" t="s">
        <v>633</v>
      </c>
      <c r="U4" s="19" t="s">
        <v>634</v>
      </c>
      <c r="V4" s="19" t="s">
        <v>13</v>
      </c>
      <c r="W4" s="19" t="s">
        <v>14</v>
      </c>
      <c r="X4" s="19" t="s">
        <v>15</v>
      </c>
      <c r="Y4" s="19" t="s">
        <v>523</v>
      </c>
      <c r="Z4" s="19" t="s">
        <v>140</v>
      </c>
      <c r="AA4" s="19" t="s">
        <v>635</v>
      </c>
      <c r="AB4" s="19" t="s">
        <v>16</v>
      </c>
      <c r="AC4" s="468"/>
      <c r="AD4" s="468"/>
      <c r="AE4" s="468"/>
      <c r="AF4" s="468"/>
      <c r="AG4" s="468"/>
    </row>
    <row r="5" spans="1:33" s="5" customFormat="1" ht="18.75" customHeight="1">
      <c r="A5" s="3"/>
      <c r="B5" s="3"/>
      <c r="C5" s="48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>
        <f>P5-M5+R5</f>
        <v>0</v>
      </c>
      <c r="U5" s="4">
        <f t="shared" ref="U5:U13" si="0">N5-T5</f>
        <v>0</v>
      </c>
      <c r="V5" s="4"/>
      <c r="W5" s="4"/>
      <c r="X5" s="4"/>
      <c r="Y5" s="4"/>
      <c r="Z5" s="3"/>
      <c r="AA5" s="408"/>
      <c r="AB5" s="3"/>
      <c r="AC5" s="468"/>
      <c r="AD5" s="468"/>
      <c r="AE5" s="468"/>
      <c r="AF5" s="468"/>
      <c r="AG5" s="468"/>
    </row>
    <row r="6" spans="1:33" s="5" customFormat="1" ht="30" customHeight="1">
      <c r="A6" s="42">
        <f>A5+1</f>
        <v>1</v>
      </c>
      <c r="B6" s="3">
        <v>1486</v>
      </c>
      <c r="C6" s="3" t="s">
        <v>1274</v>
      </c>
      <c r="D6" s="4">
        <f>5700000+1350000+240365-1500000</f>
        <v>5790365</v>
      </c>
      <c r="E6" s="4">
        <f>5700000+90365</f>
        <v>5790365</v>
      </c>
      <c r="F6" s="4">
        <f t="shared" ref="F6:F13" si="1">D6-E6</f>
        <v>0</v>
      </c>
      <c r="G6" s="4">
        <f>4000000+240365</f>
        <v>4240365</v>
      </c>
      <c r="H6" s="4">
        <v>3562066.46</v>
      </c>
      <c r="I6" s="4"/>
      <c r="J6" s="4">
        <v>447130</v>
      </c>
      <c r="K6" s="4">
        <f t="shared" ref="K6:K12" si="2">I6+J6</f>
        <v>447130</v>
      </c>
      <c r="L6" s="4">
        <f t="shared" ref="L6:L12" si="3">H6+K6</f>
        <v>4009196.46</v>
      </c>
      <c r="M6" s="4">
        <f t="shared" ref="M6:M13" si="4">P6+S6</f>
        <v>481168.54000000004</v>
      </c>
      <c r="N6" s="4">
        <v>1300000</v>
      </c>
      <c r="O6" s="4">
        <f t="shared" ref="O6:O13" si="5">D6-L6-M6-N6</f>
        <v>0</v>
      </c>
      <c r="P6" s="4">
        <f t="shared" ref="P6:P13" si="6">G6-L6</f>
        <v>231168.54000000004</v>
      </c>
      <c r="Q6" s="4">
        <v>250000</v>
      </c>
      <c r="R6" s="4"/>
      <c r="S6" s="4">
        <f t="shared" ref="S6:S13" si="7">SUM(Q6:R6)</f>
        <v>250000</v>
      </c>
      <c r="T6" s="4">
        <f t="shared" ref="T6:T12" si="8">P6-M6+S6</f>
        <v>0</v>
      </c>
      <c r="U6" s="4">
        <f t="shared" si="0"/>
        <v>1300000</v>
      </c>
      <c r="V6" s="4"/>
      <c r="W6" s="4">
        <f t="shared" ref="W6:W13" si="9">U6-V6-Y6-Z6</f>
        <v>1300000</v>
      </c>
      <c r="X6" s="4"/>
      <c r="Y6" s="4"/>
      <c r="Z6" s="3"/>
      <c r="AA6" s="3" t="s">
        <v>788</v>
      </c>
      <c r="AB6" s="3">
        <v>930000</v>
      </c>
      <c r="AC6" s="468"/>
      <c r="AD6" s="468"/>
      <c r="AE6" s="468"/>
      <c r="AF6" s="468"/>
      <c r="AG6" s="476"/>
    </row>
    <row r="7" spans="1:33" s="5" customFormat="1" ht="30" customHeight="1">
      <c r="A7" s="42">
        <f t="shared" ref="A7:A15" si="10">A6+1</f>
        <v>2</v>
      </c>
      <c r="B7" s="3">
        <v>1582</v>
      </c>
      <c r="C7" s="3" t="s">
        <v>87</v>
      </c>
      <c r="D7" s="4">
        <v>763000</v>
      </c>
      <c r="E7" s="4">
        <v>763000</v>
      </c>
      <c r="F7" s="4">
        <f t="shared" si="1"/>
        <v>0</v>
      </c>
      <c r="G7" s="4">
        <v>763000</v>
      </c>
      <c r="H7" s="4">
        <v>618241.97</v>
      </c>
      <c r="I7" s="4"/>
      <c r="J7" s="4"/>
      <c r="K7" s="4">
        <f t="shared" si="2"/>
        <v>0</v>
      </c>
      <c r="L7" s="4">
        <f t="shared" si="3"/>
        <v>618241.97</v>
      </c>
      <c r="M7" s="4">
        <f t="shared" si="4"/>
        <v>144758.03000000003</v>
      </c>
      <c r="N7" s="4"/>
      <c r="O7" s="4">
        <f t="shared" si="5"/>
        <v>0</v>
      </c>
      <c r="P7" s="4">
        <f t="shared" si="6"/>
        <v>144758.03000000003</v>
      </c>
      <c r="Q7" s="4"/>
      <c r="R7" s="4"/>
      <c r="S7" s="4">
        <f t="shared" si="7"/>
        <v>0</v>
      </c>
      <c r="T7" s="4">
        <f t="shared" si="8"/>
        <v>0</v>
      </c>
      <c r="U7" s="4">
        <f t="shared" si="0"/>
        <v>0</v>
      </c>
      <c r="V7" s="4"/>
      <c r="W7" s="4">
        <f t="shared" si="9"/>
        <v>0</v>
      </c>
      <c r="X7" s="4"/>
      <c r="Y7" s="4"/>
      <c r="Z7" s="3"/>
      <c r="AA7" s="124"/>
      <c r="AB7" s="3">
        <v>829000</v>
      </c>
      <c r="AC7" s="468"/>
      <c r="AD7" s="468"/>
      <c r="AE7" s="468"/>
      <c r="AF7" s="468"/>
      <c r="AG7" s="476"/>
    </row>
    <row r="8" spans="1:33" s="5" customFormat="1" ht="30" customHeight="1">
      <c r="A8" s="42">
        <f t="shared" si="10"/>
        <v>3</v>
      </c>
      <c r="B8" s="3">
        <v>1678</v>
      </c>
      <c r="C8" s="3" t="s">
        <v>1351</v>
      </c>
      <c r="D8" s="4">
        <f>1100000+200000</f>
        <v>1300000</v>
      </c>
      <c r="E8" s="4">
        <v>1100000</v>
      </c>
      <c r="F8" s="4">
        <f t="shared" si="1"/>
        <v>200000</v>
      </c>
      <c r="G8" s="4">
        <v>1050000</v>
      </c>
      <c r="H8" s="4">
        <v>799276.59</v>
      </c>
      <c r="I8" s="4"/>
      <c r="J8" s="4"/>
      <c r="K8" s="4">
        <f t="shared" si="2"/>
        <v>0</v>
      </c>
      <c r="L8" s="4">
        <f t="shared" si="3"/>
        <v>799276.59</v>
      </c>
      <c r="M8" s="4">
        <f t="shared" si="4"/>
        <v>250723.41000000003</v>
      </c>
      <c r="N8" s="4">
        <v>250000</v>
      </c>
      <c r="O8" s="4">
        <f t="shared" si="5"/>
        <v>0</v>
      </c>
      <c r="P8" s="4">
        <f t="shared" si="6"/>
        <v>250723.41000000003</v>
      </c>
      <c r="Q8" s="4"/>
      <c r="R8" s="4"/>
      <c r="S8" s="4">
        <f t="shared" si="7"/>
        <v>0</v>
      </c>
      <c r="T8" s="4">
        <f t="shared" si="8"/>
        <v>0</v>
      </c>
      <c r="U8" s="4">
        <f t="shared" si="0"/>
        <v>250000</v>
      </c>
      <c r="V8" s="4"/>
      <c r="W8" s="4">
        <f t="shared" si="9"/>
        <v>250000</v>
      </c>
      <c r="X8" s="4"/>
      <c r="Y8" s="4"/>
      <c r="Z8" s="3"/>
      <c r="AA8" s="3" t="s">
        <v>1352</v>
      </c>
      <c r="AB8" s="3">
        <v>829000</v>
      </c>
      <c r="AC8" s="468"/>
      <c r="AD8" s="468"/>
      <c r="AE8" s="468"/>
      <c r="AF8" s="468"/>
      <c r="AG8" s="476"/>
    </row>
    <row r="9" spans="1:33" s="5" customFormat="1" ht="30" customHeight="1">
      <c r="A9" s="42">
        <f t="shared" si="10"/>
        <v>4</v>
      </c>
      <c r="B9" s="3">
        <v>1705</v>
      </c>
      <c r="C9" s="3" t="s">
        <v>88</v>
      </c>
      <c r="D9" s="4">
        <v>220000</v>
      </c>
      <c r="E9" s="4">
        <v>220000</v>
      </c>
      <c r="F9" s="4">
        <f t="shared" si="1"/>
        <v>0</v>
      </c>
      <c r="G9" s="4">
        <v>220000</v>
      </c>
      <c r="H9" s="4">
        <v>197698.34</v>
      </c>
      <c r="I9" s="4"/>
      <c r="J9" s="4">
        <v>5499</v>
      </c>
      <c r="K9" s="4">
        <f t="shared" si="2"/>
        <v>5499</v>
      </c>
      <c r="L9" s="4">
        <f t="shared" si="3"/>
        <v>203197.34</v>
      </c>
      <c r="M9" s="4">
        <f t="shared" si="4"/>
        <v>16802.660000000003</v>
      </c>
      <c r="N9" s="4"/>
      <c r="O9" s="4">
        <f t="shared" si="5"/>
        <v>0</v>
      </c>
      <c r="P9" s="4">
        <f t="shared" si="6"/>
        <v>16802.660000000003</v>
      </c>
      <c r="Q9" s="4"/>
      <c r="R9" s="4"/>
      <c r="S9" s="4">
        <f t="shared" si="7"/>
        <v>0</v>
      </c>
      <c r="T9" s="4">
        <f t="shared" si="8"/>
        <v>0</v>
      </c>
      <c r="U9" s="4">
        <f t="shared" si="0"/>
        <v>0</v>
      </c>
      <c r="V9" s="4"/>
      <c r="W9" s="4">
        <f t="shared" si="9"/>
        <v>0</v>
      </c>
      <c r="X9" s="4"/>
      <c r="Y9" s="4"/>
      <c r="Z9" s="3"/>
      <c r="AA9" s="408"/>
      <c r="AB9" s="3">
        <v>828000</v>
      </c>
      <c r="AC9" s="468"/>
      <c r="AD9" s="468"/>
      <c r="AE9" s="468"/>
      <c r="AF9" s="468"/>
      <c r="AG9" s="476"/>
    </row>
    <row r="10" spans="1:33" s="5" customFormat="1" ht="30" customHeight="1">
      <c r="A10" s="42">
        <f t="shared" si="10"/>
        <v>5</v>
      </c>
      <c r="B10" s="3">
        <v>1777</v>
      </c>
      <c r="C10" s="3" t="s">
        <v>93</v>
      </c>
      <c r="D10" s="4">
        <f>270000+120000</f>
        <v>390000</v>
      </c>
      <c r="E10" s="4">
        <v>270000</v>
      </c>
      <c r="F10" s="4">
        <f t="shared" si="1"/>
        <v>120000</v>
      </c>
      <c r="G10" s="4">
        <v>270000</v>
      </c>
      <c r="H10" s="4">
        <v>119709.72</v>
      </c>
      <c r="I10" s="4"/>
      <c r="J10" s="4">
        <v>28080</v>
      </c>
      <c r="K10" s="4">
        <f t="shared" si="2"/>
        <v>28080</v>
      </c>
      <c r="L10" s="4">
        <f t="shared" si="3"/>
        <v>147789.72</v>
      </c>
      <c r="M10" s="4">
        <f t="shared" si="4"/>
        <v>122210.28</v>
      </c>
      <c r="N10" s="4">
        <v>120000</v>
      </c>
      <c r="O10" s="4">
        <f t="shared" si="5"/>
        <v>0</v>
      </c>
      <c r="P10" s="4">
        <f t="shared" si="6"/>
        <v>122210.28</v>
      </c>
      <c r="Q10" s="4"/>
      <c r="R10" s="4"/>
      <c r="S10" s="4">
        <f t="shared" si="7"/>
        <v>0</v>
      </c>
      <c r="T10" s="4">
        <f t="shared" si="8"/>
        <v>0</v>
      </c>
      <c r="U10" s="4">
        <f t="shared" si="0"/>
        <v>120000</v>
      </c>
      <c r="V10" s="4"/>
      <c r="W10" s="4">
        <f t="shared" si="9"/>
        <v>120000</v>
      </c>
      <c r="X10" s="4"/>
      <c r="Y10" s="4"/>
      <c r="Z10" s="3"/>
      <c r="AA10" s="3" t="s">
        <v>1347</v>
      </c>
      <c r="AB10" s="3">
        <v>829000</v>
      </c>
      <c r="AC10" s="468"/>
      <c r="AD10" s="468"/>
      <c r="AE10" s="468"/>
      <c r="AF10" s="468"/>
      <c r="AG10" s="476"/>
    </row>
    <row r="11" spans="1:33" s="5" customFormat="1" ht="30" customHeight="1">
      <c r="A11" s="42">
        <f t="shared" si="10"/>
        <v>6</v>
      </c>
      <c r="B11" s="3">
        <v>1890</v>
      </c>
      <c r="C11" s="3" t="s">
        <v>1557</v>
      </c>
      <c r="D11" s="4">
        <f>800000+400000-100000</f>
        <v>1100000</v>
      </c>
      <c r="E11" s="4">
        <v>800000</v>
      </c>
      <c r="F11" s="4">
        <f t="shared" si="1"/>
        <v>300000</v>
      </c>
      <c r="G11" s="4">
        <v>800000</v>
      </c>
      <c r="H11" s="4">
        <v>799864.38</v>
      </c>
      <c r="I11" s="4"/>
      <c r="J11" s="4"/>
      <c r="K11" s="4">
        <f t="shared" si="2"/>
        <v>0</v>
      </c>
      <c r="L11" s="4">
        <f t="shared" si="3"/>
        <v>799864.38</v>
      </c>
      <c r="M11" s="4">
        <f t="shared" si="4"/>
        <v>135.61999999999534</v>
      </c>
      <c r="N11" s="4">
        <f>200000+100000</f>
        <v>300000</v>
      </c>
      <c r="O11" s="4">
        <f t="shared" si="5"/>
        <v>0</v>
      </c>
      <c r="P11" s="4">
        <f t="shared" si="6"/>
        <v>135.61999999999534</v>
      </c>
      <c r="Q11" s="4"/>
      <c r="R11" s="4"/>
      <c r="S11" s="4">
        <f t="shared" si="7"/>
        <v>0</v>
      </c>
      <c r="T11" s="4">
        <f t="shared" si="8"/>
        <v>0</v>
      </c>
      <c r="U11" s="4">
        <f t="shared" si="0"/>
        <v>300000</v>
      </c>
      <c r="V11" s="4"/>
      <c r="W11" s="4">
        <f t="shared" si="9"/>
        <v>300000</v>
      </c>
      <c r="X11" s="4"/>
      <c r="Y11" s="4"/>
      <c r="Z11" s="3"/>
      <c r="AA11" s="3" t="s">
        <v>1348</v>
      </c>
      <c r="AB11" s="3">
        <v>829000</v>
      </c>
      <c r="AC11" s="468"/>
      <c r="AD11" s="468"/>
      <c r="AE11" s="468"/>
      <c r="AF11" s="468"/>
      <c r="AG11" s="476"/>
    </row>
    <row r="12" spans="1:33" s="5" customFormat="1" ht="30" customHeight="1">
      <c r="A12" s="42">
        <f t="shared" si="10"/>
        <v>7</v>
      </c>
      <c r="B12" s="408">
        <v>2004</v>
      </c>
      <c r="C12" s="3" t="s">
        <v>333</v>
      </c>
      <c r="D12" s="4">
        <v>735000</v>
      </c>
      <c r="E12" s="4">
        <v>735000</v>
      </c>
      <c r="F12" s="4">
        <f t="shared" si="1"/>
        <v>0</v>
      </c>
      <c r="G12" s="4">
        <f>235000+180000</f>
        <v>415000</v>
      </c>
      <c r="H12" s="4">
        <v>227061.5</v>
      </c>
      <c r="I12" s="4"/>
      <c r="J12" s="4"/>
      <c r="K12" s="4">
        <f t="shared" si="2"/>
        <v>0</v>
      </c>
      <c r="L12" s="4">
        <f t="shared" si="3"/>
        <v>227061.5</v>
      </c>
      <c r="M12" s="4">
        <f t="shared" si="4"/>
        <v>187938.5</v>
      </c>
      <c r="N12" s="4">
        <v>200000</v>
      </c>
      <c r="O12" s="4">
        <f t="shared" si="5"/>
        <v>120000</v>
      </c>
      <c r="P12" s="4">
        <f t="shared" si="6"/>
        <v>187938.5</v>
      </c>
      <c r="Q12" s="4"/>
      <c r="R12" s="4"/>
      <c r="S12" s="4">
        <f t="shared" si="7"/>
        <v>0</v>
      </c>
      <c r="T12" s="4">
        <f t="shared" si="8"/>
        <v>0</v>
      </c>
      <c r="U12" s="4">
        <f t="shared" si="0"/>
        <v>200000</v>
      </c>
      <c r="V12" s="4"/>
      <c r="W12" s="4">
        <f t="shared" si="9"/>
        <v>200000</v>
      </c>
      <c r="X12" s="4"/>
      <c r="Y12" s="4"/>
      <c r="Z12" s="3"/>
      <c r="AA12" s="3" t="s">
        <v>1525</v>
      </c>
      <c r="AB12" s="3">
        <v>829000</v>
      </c>
      <c r="AC12" s="468"/>
      <c r="AD12" s="468"/>
      <c r="AE12" s="468"/>
      <c r="AF12" s="468"/>
      <c r="AG12" s="476"/>
    </row>
    <row r="13" spans="1:33" s="5" customFormat="1" ht="30" customHeight="1">
      <c r="A13" s="42">
        <f t="shared" si="10"/>
        <v>8</v>
      </c>
      <c r="B13" s="3">
        <v>2031</v>
      </c>
      <c r="C13" s="3" t="s">
        <v>789</v>
      </c>
      <c r="D13" s="4">
        <v>2700000</v>
      </c>
      <c r="E13" s="4">
        <v>2700000</v>
      </c>
      <c r="F13" s="4">
        <f t="shared" si="1"/>
        <v>0</v>
      </c>
      <c r="G13" s="4">
        <v>50000</v>
      </c>
      <c r="H13" s="4">
        <v>0</v>
      </c>
      <c r="I13" s="4"/>
      <c r="J13" s="4">
        <v>8199</v>
      </c>
      <c r="K13" s="4">
        <f>SUM(I13:J13)</f>
        <v>8199</v>
      </c>
      <c r="L13" s="4">
        <f>K13+H13</f>
        <v>8199</v>
      </c>
      <c r="M13" s="4">
        <f t="shared" si="4"/>
        <v>2691801</v>
      </c>
      <c r="N13" s="4"/>
      <c r="O13" s="4">
        <f t="shared" si="5"/>
        <v>0</v>
      </c>
      <c r="P13" s="4">
        <f t="shared" si="6"/>
        <v>41801</v>
      </c>
      <c r="Q13" s="4">
        <f>2700000-50000</f>
        <v>2650000</v>
      </c>
      <c r="R13" s="4"/>
      <c r="S13" s="4">
        <f t="shared" si="7"/>
        <v>2650000</v>
      </c>
      <c r="T13" s="4"/>
      <c r="U13" s="4">
        <f t="shared" si="0"/>
        <v>0</v>
      </c>
      <c r="V13" s="4"/>
      <c r="W13" s="4">
        <f t="shared" si="9"/>
        <v>0</v>
      </c>
      <c r="X13" s="4"/>
      <c r="Y13" s="4"/>
      <c r="Z13" s="3"/>
      <c r="AA13" s="408"/>
      <c r="AB13" s="3">
        <v>826000</v>
      </c>
      <c r="AC13" s="468"/>
      <c r="AD13" s="468"/>
      <c r="AE13" s="468"/>
      <c r="AF13" s="468"/>
      <c r="AG13" s="476"/>
    </row>
    <row r="14" spans="1:33" s="5" customFormat="1" ht="42">
      <c r="A14" s="42">
        <f t="shared" si="10"/>
        <v>9</v>
      </c>
      <c r="B14" s="408">
        <v>2060</v>
      </c>
      <c r="C14" s="3" t="s">
        <v>1349</v>
      </c>
      <c r="D14" s="4">
        <v>1465000</v>
      </c>
      <c r="E14" s="4">
        <v>1465000</v>
      </c>
      <c r="F14" s="4">
        <f>D14-E14</f>
        <v>0</v>
      </c>
      <c r="G14" s="4">
        <v>520000</v>
      </c>
      <c r="H14" s="4">
        <v>0</v>
      </c>
      <c r="I14" s="4"/>
      <c r="J14" s="4">
        <v>172082.71</v>
      </c>
      <c r="K14" s="4">
        <f>I14+J14</f>
        <v>172082.71</v>
      </c>
      <c r="L14" s="4">
        <f>H14+K14</f>
        <v>172082.71</v>
      </c>
      <c r="M14" s="4">
        <f>P14+S14</f>
        <v>347917.29000000004</v>
      </c>
      <c r="N14" s="4">
        <v>600000</v>
      </c>
      <c r="O14" s="4">
        <f>D14-L14-M14-N14</f>
        <v>345000</v>
      </c>
      <c r="P14" s="4">
        <f>G14-L14</f>
        <v>347917.29000000004</v>
      </c>
      <c r="Q14" s="4">
        <v>0</v>
      </c>
      <c r="R14" s="4"/>
      <c r="S14" s="4">
        <f>SUM(Q14:R14)</f>
        <v>0</v>
      </c>
      <c r="T14" s="4">
        <f>P14-M14+S14</f>
        <v>0</v>
      </c>
      <c r="U14" s="4">
        <f>N14-T14</f>
        <v>600000</v>
      </c>
      <c r="V14" s="4">
        <f>500000-500000</f>
        <v>0</v>
      </c>
      <c r="W14" s="4">
        <f>U14-V14-Y14-Z14</f>
        <v>600000</v>
      </c>
      <c r="X14" s="4"/>
      <c r="Y14" s="4"/>
      <c r="Z14" s="3"/>
      <c r="AA14" s="3" t="s">
        <v>1548</v>
      </c>
      <c r="AB14" s="3">
        <v>829000</v>
      </c>
      <c r="AC14" s="468"/>
      <c r="AD14" s="468"/>
      <c r="AE14" s="468"/>
      <c r="AF14" s="468"/>
      <c r="AG14" s="476"/>
    </row>
    <row r="15" spans="1:33" s="5" customFormat="1" ht="56">
      <c r="A15" s="42">
        <f t="shared" si="10"/>
        <v>10</v>
      </c>
      <c r="B15" s="42">
        <v>2089</v>
      </c>
      <c r="C15" s="3" t="s">
        <v>790</v>
      </c>
      <c r="D15" s="4">
        <v>350000</v>
      </c>
      <c r="E15" s="4"/>
      <c r="F15" s="4">
        <f>D15-E15</f>
        <v>350000</v>
      </c>
      <c r="G15" s="4"/>
      <c r="H15" s="4"/>
      <c r="I15" s="4"/>
      <c r="J15" s="4"/>
      <c r="K15" s="4">
        <f>I15+J15</f>
        <v>0</v>
      </c>
      <c r="L15" s="4">
        <f>H15+K15</f>
        <v>0</v>
      </c>
      <c r="M15" s="4">
        <f>P15+S15</f>
        <v>0</v>
      </c>
      <c r="N15" s="4">
        <v>350000</v>
      </c>
      <c r="O15" s="4">
        <f>D15-L15-M15-N15</f>
        <v>0</v>
      </c>
      <c r="P15" s="4">
        <f>G15-L15</f>
        <v>0</v>
      </c>
      <c r="Q15" s="4">
        <f>E15-G15</f>
        <v>0</v>
      </c>
      <c r="R15" s="4"/>
      <c r="S15" s="4">
        <f>SUM(Q15:R15)</f>
        <v>0</v>
      </c>
      <c r="T15" s="4">
        <f>P15-M15+S15</f>
        <v>0</v>
      </c>
      <c r="U15" s="4">
        <f>N15-T15</f>
        <v>350000</v>
      </c>
      <c r="V15" s="4"/>
      <c r="W15" s="4">
        <f>U15-V15-Y15-Z15</f>
        <v>350000</v>
      </c>
      <c r="X15" s="4"/>
      <c r="Y15" s="4"/>
      <c r="Z15" s="4"/>
      <c r="AA15" s="3" t="s">
        <v>1523</v>
      </c>
      <c r="AB15" s="3">
        <v>826000</v>
      </c>
      <c r="AC15" s="468"/>
      <c r="AD15" s="468"/>
      <c r="AE15" s="468"/>
      <c r="AF15" s="468"/>
      <c r="AG15" s="468"/>
    </row>
    <row r="16" spans="1:33" s="5" customFormat="1" ht="30" customHeight="1">
      <c r="A16" s="44">
        <f>A15</f>
        <v>10</v>
      </c>
      <c r="B16" s="48" t="s">
        <v>67</v>
      </c>
      <c r="C16" s="260" t="s">
        <v>1194</v>
      </c>
      <c r="D16" s="13">
        <f t="shared" ref="D16:Q16" si="11">SUM(D6:D15)</f>
        <v>14813365</v>
      </c>
      <c r="E16" s="13">
        <f t="shared" si="11"/>
        <v>13843365</v>
      </c>
      <c r="F16" s="13">
        <f t="shared" si="11"/>
        <v>970000</v>
      </c>
      <c r="G16" s="13">
        <f t="shared" si="11"/>
        <v>8328365</v>
      </c>
      <c r="H16" s="13">
        <f t="shared" si="11"/>
        <v>6323918.959999999</v>
      </c>
      <c r="I16" s="13">
        <f t="shared" si="11"/>
        <v>0</v>
      </c>
      <c r="J16" s="13">
        <f t="shared" si="11"/>
        <v>660990.71</v>
      </c>
      <c r="K16" s="13">
        <f t="shared" si="11"/>
        <v>660990.71</v>
      </c>
      <c r="L16" s="13">
        <f t="shared" si="11"/>
        <v>6984909.669999999</v>
      </c>
      <c r="M16" s="13">
        <f t="shared" si="11"/>
        <v>4243455.33</v>
      </c>
      <c r="N16" s="13">
        <f t="shared" si="11"/>
        <v>3120000</v>
      </c>
      <c r="O16" s="13">
        <f t="shared" si="11"/>
        <v>465000</v>
      </c>
      <c r="P16" s="13">
        <f t="shared" si="11"/>
        <v>1343455.33</v>
      </c>
      <c r="Q16" s="13">
        <f t="shared" si="11"/>
        <v>2900000</v>
      </c>
      <c r="R16" s="13">
        <f>SUM(R6:R13)</f>
        <v>0</v>
      </c>
      <c r="S16" s="13">
        <f>SUM(S6:S15)</f>
        <v>2900000</v>
      </c>
      <c r="T16" s="13">
        <f>SUM(T6:T13)</f>
        <v>0</v>
      </c>
      <c r="U16" s="13">
        <f>SUM(U6:U15)</f>
        <v>3120000</v>
      </c>
      <c r="V16" s="13">
        <f>SUM(V6:V15)</f>
        <v>0</v>
      </c>
      <c r="W16" s="13">
        <f>SUM(W6:W15)</f>
        <v>3120000</v>
      </c>
      <c r="X16" s="13">
        <f>SUM(X6:X13)</f>
        <v>0</v>
      </c>
      <c r="Y16" s="13">
        <f>SUM(Y6:Y13)</f>
        <v>0</v>
      </c>
      <c r="Z16" s="13">
        <f>SUM(Z6:Z13)</f>
        <v>0</v>
      </c>
      <c r="AA16" s="13"/>
      <c r="AB16" s="48"/>
      <c r="AC16" s="468"/>
      <c r="AD16" s="468"/>
      <c r="AE16" s="468"/>
      <c r="AF16" s="468"/>
      <c r="AG16" s="468"/>
    </row>
    <row r="17" spans="1:33" s="5" customFormat="1" hidden="1">
      <c r="A17" s="31"/>
      <c r="B17" s="15"/>
      <c r="C17" s="15"/>
      <c r="D17" s="17"/>
      <c r="E17" s="17"/>
      <c r="F17" s="17"/>
      <c r="G17" s="17"/>
      <c r="H17" s="17"/>
      <c r="I17" s="17"/>
      <c r="J17" s="17"/>
      <c r="K17" s="17"/>
      <c r="L17" s="24">
        <f>H16+K16</f>
        <v>6984909.669999999</v>
      </c>
      <c r="M17" s="24">
        <f>P16+S16-T16</f>
        <v>4243455.33</v>
      </c>
      <c r="N17" s="51"/>
      <c r="O17" s="27"/>
      <c r="P17" s="24">
        <f>G16-L16</f>
        <v>1343455.330000001</v>
      </c>
      <c r="Q17" s="27"/>
      <c r="R17" s="27"/>
      <c r="S17" s="27"/>
      <c r="T17" s="27"/>
      <c r="U17" s="24">
        <f>N16-T16</f>
        <v>3120000</v>
      </c>
      <c r="V17" s="15"/>
      <c r="W17" s="15"/>
      <c r="X17" s="15"/>
      <c r="Y17" s="15"/>
      <c r="Z17" s="15"/>
      <c r="AA17" s="40"/>
      <c r="AB17" s="15"/>
      <c r="AC17" s="468"/>
      <c r="AD17" s="468"/>
      <c r="AE17" s="468"/>
      <c r="AF17" s="468"/>
      <c r="AG17" s="468"/>
    </row>
    <row r="18" spans="1:33" s="5" customFormat="1">
      <c r="A18" s="31"/>
      <c r="B18" s="15"/>
      <c r="C18" s="15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5"/>
      <c r="V18" s="15"/>
      <c r="W18" s="15"/>
      <c r="X18" s="15"/>
      <c r="Y18" s="15"/>
      <c r="Z18" s="15"/>
      <c r="AA18" s="15"/>
      <c r="AB18" s="15"/>
      <c r="AC18" s="468"/>
      <c r="AD18" s="468"/>
      <c r="AE18" s="468"/>
      <c r="AF18" s="468"/>
      <c r="AG18" s="468"/>
    </row>
    <row r="19" spans="1:33" s="5" customFormat="1">
      <c r="A19" s="31"/>
      <c r="B19" s="15"/>
      <c r="C19" s="15"/>
      <c r="D19" s="17"/>
      <c r="E19" s="17"/>
      <c r="F19" s="17"/>
      <c r="G19" s="17"/>
      <c r="H19" s="17"/>
      <c r="I19" s="17"/>
      <c r="J19" s="17"/>
      <c r="K19" s="17"/>
      <c r="L19" s="17"/>
      <c r="M19" s="27"/>
      <c r="N19" s="27"/>
      <c r="O19" s="27"/>
      <c r="P19" s="31"/>
      <c r="Q19" s="27"/>
      <c r="R19" s="27"/>
      <c r="S19" s="27"/>
      <c r="T19" s="17"/>
      <c r="U19" s="15"/>
      <c r="V19" s="15"/>
      <c r="W19" s="15"/>
      <c r="X19" s="15"/>
      <c r="Y19" s="15"/>
      <c r="Z19" s="15"/>
      <c r="AA19" s="15"/>
      <c r="AB19" s="15"/>
      <c r="AC19" s="468"/>
      <c r="AD19" s="468"/>
      <c r="AE19" s="468"/>
      <c r="AF19" s="468"/>
      <c r="AG19" s="468"/>
    </row>
    <row r="20" spans="1:33" s="5" customFormat="1">
      <c r="A20" s="31"/>
      <c r="B20" s="15"/>
      <c r="C20" s="15"/>
      <c r="D20" s="17"/>
      <c r="E20" s="17"/>
      <c r="F20" s="17"/>
      <c r="G20" s="17"/>
      <c r="H20" s="17"/>
      <c r="I20" s="17"/>
      <c r="J20" s="17"/>
      <c r="K20" s="17"/>
      <c r="L20" s="17"/>
      <c r="M20" s="27"/>
      <c r="N20" s="27"/>
      <c r="O20" s="27"/>
      <c r="P20" s="31"/>
      <c r="Q20" s="31"/>
      <c r="R20" s="27"/>
      <c r="S20" s="31"/>
      <c r="T20" s="17"/>
      <c r="U20" s="15"/>
      <c r="V20" s="15"/>
      <c r="W20" s="15"/>
      <c r="X20" s="15"/>
      <c r="Y20" s="15"/>
      <c r="Z20" s="15"/>
      <c r="AA20" s="15"/>
      <c r="AB20" s="15"/>
      <c r="AC20" s="468"/>
      <c r="AD20" s="468"/>
      <c r="AE20" s="468"/>
      <c r="AF20" s="468"/>
      <c r="AG20" s="468"/>
    </row>
    <row r="21" spans="1:33" s="5" customFormat="1">
      <c r="A21" s="31"/>
      <c r="B21" s="15"/>
      <c r="C21" s="15"/>
      <c r="D21" s="17"/>
      <c r="E21" s="17"/>
      <c r="F21" s="17"/>
      <c r="G21" s="17"/>
      <c r="H21" s="17"/>
      <c r="I21" s="17"/>
      <c r="J21" s="17"/>
      <c r="K21" s="17"/>
      <c r="L21" s="17"/>
      <c r="M21" s="27"/>
      <c r="N21" s="27"/>
      <c r="O21" s="27"/>
      <c r="P21" s="31"/>
      <c r="Q21" s="31"/>
      <c r="R21" s="27"/>
      <c r="S21" s="31"/>
      <c r="T21" s="17"/>
      <c r="U21" s="15"/>
      <c r="V21" s="15"/>
      <c r="W21" s="15"/>
      <c r="X21" s="15"/>
      <c r="Y21" s="15"/>
      <c r="Z21" s="15"/>
      <c r="AA21" s="15"/>
      <c r="AB21" s="15"/>
      <c r="AC21" s="468"/>
      <c r="AD21" s="468"/>
      <c r="AE21" s="468"/>
      <c r="AF21" s="468"/>
      <c r="AG21" s="468"/>
    </row>
    <row r="22" spans="1:33" s="5" customFormat="1">
      <c r="A22" s="31"/>
      <c r="B22" s="15"/>
      <c r="C22" s="15"/>
      <c r="D22" s="17"/>
      <c r="E22" s="17"/>
      <c r="F22" s="17"/>
      <c r="G22" s="17"/>
      <c r="H22" s="17"/>
      <c r="I22" s="17"/>
      <c r="J22" s="17"/>
      <c r="K22" s="17"/>
      <c r="L22" s="17"/>
      <c r="M22" s="27"/>
      <c r="N22" s="27"/>
      <c r="O22" s="27"/>
      <c r="P22" s="31"/>
      <c r="Q22" s="31"/>
      <c r="R22" s="27"/>
      <c r="S22" s="31"/>
      <c r="T22" s="17"/>
      <c r="U22" s="15"/>
      <c r="V22" s="15"/>
      <c r="W22" s="15"/>
      <c r="X22" s="15"/>
      <c r="Y22" s="15"/>
      <c r="Z22" s="15"/>
      <c r="AA22" s="15"/>
      <c r="AB22" s="15"/>
      <c r="AC22" s="468"/>
      <c r="AD22" s="468"/>
      <c r="AE22" s="468"/>
      <c r="AF22" s="468"/>
      <c r="AG22" s="468"/>
    </row>
    <row r="23" spans="1:33" s="5" customFormat="1">
      <c r="A23" s="31"/>
      <c r="B23" s="15"/>
      <c r="C23" s="15"/>
      <c r="D23" s="17"/>
      <c r="E23" s="17"/>
      <c r="F23" s="17"/>
      <c r="G23" s="17"/>
      <c r="H23" s="17"/>
      <c r="I23" s="17"/>
      <c r="J23" s="17"/>
      <c r="K23" s="17"/>
      <c r="L23" s="17"/>
      <c r="M23" s="27"/>
      <c r="N23" s="27"/>
      <c r="O23" s="59"/>
      <c r="P23" s="31"/>
      <c r="Q23" s="30"/>
      <c r="R23" s="27"/>
      <c r="S23" s="31"/>
      <c r="T23" s="17"/>
      <c r="U23" s="15"/>
      <c r="V23" s="15"/>
      <c r="W23" s="15"/>
      <c r="X23" s="15"/>
      <c r="Y23" s="15"/>
      <c r="Z23" s="15"/>
      <c r="AA23" s="40"/>
      <c r="AB23" s="15"/>
      <c r="AC23" s="468"/>
      <c r="AD23" s="468"/>
      <c r="AE23" s="468"/>
      <c r="AF23" s="468"/>
      <c r="AG23" s="468"/>
    </row>
    <row r="24" spans="1:33" s="5" customFormat="1">
      <c r="A24" s="31"/>
      <c r="B24" s="15"/>
      <c r="C24" s="15"/>
      <c r="D24" s="17"/>
      <c r="E24" s="17"/>
      <c r="F24" s="17"/>
      <c r="G24" s="17"/>
      <c r="H24" s="17"/>
      <c r="I24" s="17"/>
      <c r="J24" s="17"/>
      <c r="K24" s="17"/>
      <c r="L24" s="17"/>
      <c r="M24" s="27"/>
      <c r="N24" s="27"/>
      <c r="O24" s="31"/>
      <c r="P24" s="31"/>
      <c r="Q24" s="30"/>
      <c r="R24" s="31"/>
      <c r="S24" s="27"/>
      <c r="T24" s="17"/>
      <c r="U24" s="15"/>
      <c r="V24" s="15"/>
      <c r="W24" s="15"/>
      <c r="X24" s="15"/>
      <c r="Y24" s="15"/>
      <c r="Z24" s="15"/>
      <c r="AA24" s="40"/>
      <c r="AB24" s="15"/>
      <c r="AC24" s="468"/>
      <c r="AD24" s="468"/>
      <c r="AE24" s="468"/>
      <c r="AF24" s="468"/>
      <c r="AG24" s="468"/>
    </row>
    <row r="25" spans="1:33" s="5" customFormat="1">
      <c r="A25" s="31"/>
      <c r="B25" s="15"/>
      <c r="C25" s="15"/>
      <c r="D25" s="17"/>
      <c r="E25" s="17"/>
      <c r="F25" s="17"/>
      <c r="G25" s="17"/>
      <c r="H25" s="17"/>
      <c r="I25" s="17"/>
      <c r="J25" s="17"/>
      <c r="K25" s="17"/>
      <c r="L25" s="17"/>
      <c r="M25" s="27"/>
      <c r="N25" s="27"/>
      <c r="O25" s="27"/>
      <c r="P25" s="31"/>
      <c r="Q25" s="27"/>
      <c r="R25" s="27"/>
      <c r="S25" s="27"/>
      <c r="T25" s="17"/>
      <c r="U25" s="15"/>
      <c r="V25" s="15"/>
      <c r="W25" s="15"/>
      <c r="X25" s="15"/>
      <c r="Y25" s="15"/>
      <c r="Z25" s="15"/>
      <c r="AA25" s="40"/>
      <c r="AB25" s="15"/>
      <c r="AC25" s="468"/>
      <c r="AD25" s="468"/>
      <c r="AE25" s="468"/>
      <c r="AF25" s="468"/>
      <c r="AG25" s="468"/>
    </row>
    <row r="26" spans="1:33">
      <c r="M26" s="27"/>
      <c r="N26" s="27"/>
      <c r="O26" s="27"/>
      <c r="P26" s="31"/>
      <c r="Q26" s="27"/>
      <c r="R26" s="27"/>
      <c r="S26" s="27"/>
    </row>
    <row r="27" spans="1:33">
      <c r="M27" s="27"/>
      <c r="N27" s="27"/>
      <c r="O27" s="27"/>
      <c r="P27" s="31"/>
      <c r="Q27" s="27"/>
      <c r="R27" s="27"/>
      <c r="S27" s="27"/>
    </row>
    <row r="28" spans="1:33">
      <c r="M28" s="27"/>
      <c r="N28" s="27"/>
      <c r="O28" s="27"/>
      <c r="P28" s="27"/>
      <c r="Q28" s="27"/>
      <c r="R28" s="27"/>
      <c r="S28" s="27"/>
    </row>
    <row r="29" spans="1:33">
      <c r="M29" s="27"/>
      <c r="N29" s="27"/>
      <c r="O29" s="27"/>
      <c r="P29" s="27"/>
      <c r="Q29" s="27"/>
      <c r="R29" s="27"/>
      <c r="S29" s="27"/>
    </row>
    <row r="30" spans="1:33">
      <c r="M30" s="27"/>
      <c r="N30" s="27"/>
      <c r="O30" s="27"/>
      <c r="P30" s="27"/>
      <c r="Q30" s="27"/>
      <c r="R30" s="27"/>
      <c r="S30" s="27"/>
    </row>
    <row r="31" spans="1:33">
      <c r="M31" s="27"/>
      <c r="N31" s="27"/>
      <c r="O31" s="27"/>
      <c r="P31" s="27"/>
      <c r="Q31" s="27"/>
      <c r="R31" s="27"/>
      <c r="S31" s="27"/>
    </row>
    <row r="32" spans="1:33">
      <c r="M32" s="27"/>
      <c r="N32" s="27"/>
      <c r="O32" s="27"/>
      <c r="P32" s="27"/>
      <c r="Q32" s="27"/>
      <c r="R32" s="27"/>
      <c r="S32" s="27"/>
    </row>
    <row r="33" spans="13:19">
      <c r="M33" s="27"/>
      <c r="N33" s="27"/>
      <c r="O33" s="27"/>
      <c r="P33" s="27"/>
      <c r="Q33" s="27"/>
      <c r="R33" s="27"/>
      <c r="S33" s="27"/>
    </row>
    <row r="34" spans="13:19">
      <c r="M34" s="27"/>
      <c r="N34" s="27"/>
      <c r="O34" s="27"/>
      <c r="P34" s="27"/>
      <c r="Q34" s="27"/>
      <c r="R34" s="27"/>
      <c r="S34" s="27"/>
    </row>
    <row r="35" spans="13:19">
      <c r="M35" s="27"/>
      <c r="N35" s="27"/>
      <c r="O35" s="27"/>
      <c r="P35" s="27"/>
      <c r="Q35" s="27"/>
      <c r="R35" s="27"/>
      <c r="S35" s="27"/>
    </row>
    <row r="36" spans="13:19">
      <c r="M36" s="27"/>
      <c r="N36" s="27"/>
      <c r="O36" s="27"/>
      <c r="P36" s="27"/>
      <c r="Q36" s="27"/>
      <c r="R36" s="27"/>
      <c r="S36" s="27"/>
    </row>
    <row r="37" spans="13:19">
      <c r="M37" s="27"/>
      <c r="N37" s="27"/>
      <c r="O37" s="27"/>
      <c r="P37" s="27"/>
      <c r="Q37" s="27"/>
      <c r="R37" s="27"/>
      <c r="S37" s="27"/>
    </row>
    <row r="38" spans="13:19">
      <c r="M38" s="27"/>
      <c r="N38" s="27"/>
      <c r="O38" s="27"/>
      <c r="P38" s="27"/>
      <c r="Q38" s="27"/>
      <c r="R38" s="27"/>
      <c r="S38" s="27"/>
    </row>
    <row r="39" spans="13:19">
      <c r="M39" s="27"/>
      <c r="N39" s="27"/>
      <c r="O39" s="27"/>
      <c r="P39" s="27"/>
      <c r="Q39" s="27"/>
      <c r="R39" s="27"/>
      <c r="S39" s="27"/>
    </row>
  </sheetData>
  <sheetProtection formatCells="0" formatColumns="0" formatRows="0" insertColumns="0" insertRows="0" insertHyperlinks="0" deleteColumns="0" deleteRows="0" sort="0" autoFilter="0" pivotTables="0"/>
  <conditionalFormatting sqref="AG1:XFD2 A1:A2 AG3:AG13 AC1:AC13 AE1:AF13 AC16:AG1048576">
    <cfRule type="cellIs" dxfId="262" priority="15" operator="equal">
      <formula>0</formula>
    </cfRule>
  </conditionalFormatting>
  <conditionalFormatting sqref="AD1:AD13">
    <cfRule type="cellIs" dxfId="261" priority="6" operator="equal">
      <formula>0</formula>
    </cfRule>
  </conditionalFormatting>
  <conditionalFormatting sqref="AC14 AE14:AG14">
    <cfRule type="cellIs" dxfId="260" priority="5" operator="equal">
      <formula>0</formula>
    </cfRule>
  </conditionalFormatting>
  <conditionalFormatting sqref="AD14">
    <cfRule type="cellIs" dxfId="259" priority="4" operator="equal">
      <formula>0</formula>
    </cfRule>
  </conditionalFormatting>
  <conditionalFormatting sqref="AE15:AF15 AC15">
    <cfRule type="cellIs" dxfId="258" priority="3" operator="equal">
      <formula>0</formula>
    </cfRule>
  </conditionalFormatting>
  <conditionalFormatting sqref="AG15">
    <cfRule type="cellIs" dxfId="257" priority="2" operator="equal">
      <formula>0</formula>
    </cfRule>
  </conditionalFormatting>
  <conditionalFormatting sqref="AD15">
    <cfRule type="cellIs" dxfId="256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1"/>
  <sheetViews>
    <sheetView showZeros="0" rightToLeft="1" zoomScaleNormal="100" workbookViewId="0">
      <pane xSplit="3" ySplit="4" topLeftCell="D10" activePane="bottomRight" state="frozen"/>
      <selection activeCell="C42" sqref="C42"/>
      <selection pane="topRight" activeCell="C42" sqref="C42"/>
      <selection pane="bottomLeft" activeCell="C42" sqref="C42"/>
      <selection pane="bottomRight" activeCell="C42" sqref="C42"/>
    </sheetView>
  </sheetViews>
  <sheetFormatPr defaultColWidth="9.1796875" defaultRowHeight="18"/>
  <cols>
    <col min="1" max="1" width="6.26953125" style="40" customWidth="1"/>
    <col min="2" max="2" width="6.7265625" style="15" customWidth="1"/>
    <col min="3" max="3" width="31.7265625" style="15" customWidth="1"/>
    <col min="4" max="4" width="10.453125" style="17" customWidth="1"/>
    <col min="5" max="5" width="12.7265625" style="17" customWidth="1"/>
    <col min="6" max="6" width="11.1796875" style="17" customWidth="1"/>
    <col min="7" max="10" width="12.7265625" style="17" hidden="1" customWidth="1"/>
    <col min="11" max="11" width="11.26953125" style="17" hidden="1" customWidth="1"/>
    <col min="12" max="13" width="9.81640625" style="17" customWidth="1"/>
    <col min="14" max="14" width="9.26953125" style="17" customWidth="1"/>
    <col min="15" max="15" width="10.81640625" style="17" customWidth="1"/>
    <col min="16" max="17" width="11.1796875" style="17" hidden="1" customWidth="1"/>
    <col min="18" max="19" width="12" style="17" hidden="1" customWidth="1"/>
    <col min="20" max="20" width="10" style="17" customWidth="1"/>
    <col min="21" max="21" width="9.81640625" style="15" customWidth="1"/>
    <col min="22" max="22" width="9.1796875" style="15" customWidth="1"/>
    <col min="23" max="23" width="11.81640625" style="15" customWidth="1"/>
    <col min="24" max="25" width="7.453125" style="15" hidden="1" customWidth="1"/>
    <col min="26" max="26" width="8.453125" style="15" hidden="1" customWidth="1"/>
    <col min="27" max="27" width="34.81640625" style="612" hidden="1" customWidth="1"/>
    <col min="28" max="28" width="7.81640625" style="15" customWidth="1"/>
    <col min="29" max="29" width="10.453125" style="468" customWidth="1"/>
    <col min="30" max="30" width="12.81640625" style="468" customWidth="1"/>
    <col min="31" max="31" width="9.7265625" style="468" customWidth="1"/>
    <col min="32" max="32" width="9.81640625" style="468" customWidth="1"/>
    <col min="33" max="33" width="19.7265625" style="468" customWidth="1"/>
    <col min="34" max="16384" width="9.1796875" style="15"/>
  </cols>
  <sheetData>
    <row r="1" spans="1:33" s="469" customFormat="1">
      <c r="A1" s="464"/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  <c r="O1" s="464"/>
      <c r="P1" s="464"/>
      <c r="Q1" s="464"/>
      <c r="R1" s="464"/>
      <c r="S1" s="464"/>
      <c r="T1" s="464"/>
      <c r="U1" s="464"/>
      <c r="V1" s="464"/>
      <c r="W1" s="464"/>
      <c r="X1" s="464"/>
      <c r="Y1" s="464"/>
      <c r="Z1" s="464"/>
      <c r="AA1" s="614"/>
      <c r="AB1" s="464"/>
      <c r="AC1" s="468"/>
      <c r="AD1" s="468"/>
      <c r="AE1" s="468"/>
      <c r="AF1" s="468"/>
      <c r="AG1" s="468"/>
    </row>
    <row r="2" spans="1:33" s="469" customFormat="1">
      <c r="A2" s="464" t="s">
        <v>1048</v>
      </c>
      <c r="B2" s="464"/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4"/>
      <c r="O2" s="464"/>
      <c r="P2" s="464"/>
      <c r="Q2" s="464"/>
      <c r="R2" s="464"/>
      <c r="S2" s="464"/>
      <c r="T2" s="464"/>
      <c r="U2" s="464"/>
      <c r="V2" s="464"/>
      <c r="W2" s="464"/>
      <c r="X2" s="464"/>
      <c r="Y2" s="464"/>
      <c r="Z2" s="464"/>
      <c r="AA2" s="614"/>
      <c r="AB2" s="464"/>
      <c r="AC2" s="468"/>
      <c r="AD2" s="468"/>
      <c r="AE2" s="468"/>
      <c r="AF2" s="468"/>
      <c r="AG2" s="468"/>
    </row>
    <row r="4" spans="1:33" s="34" customFormat="1" ht="86.25" customHeight="1">
      <c r="A4" s="19" t="s">
        <v>0</v>
      </c>
      <c r="B4" s="19" t="s">
        <v>1</v>
      </c>
      <c r="C4" s="19" t="s">
        <v>2</v>
      </c>
      <c r="D4" s="19" t="s">
        <v>3</v>
      </c>
      <c r="E4" s="19" t="s">
        <v>4</v>
      </c>
      <c r="F4" s="19" t="s">
        <v>5</v>
      </c>
      <c r="G4" s="19" t="s">
        <v>6</v>
      </c>
      <c r="H4" s="19" t="s">
        <v>7</v>
      </c>
      <c r="I4" s="19" t="s">
        <v>9</v>
      </c>
      <c r="J4" s="19" t="s">
        <v>318</v>
      </c>
      <c r="K4" s="19" t="s">
        <v>10</v>
      </c>
      <c r="L4" s="19" t="s">
        <v>11</v>
      </c>
      <c r="M4" s="11" t="s">
        <v>627</v>
      </c>
      <c r="N4" s="19" t="s">
        <v>628</v>
      </c>
      <c r="O4" s="19" t="s">
        <v>629</v>
      </c>
      <c r="P4" s="19" t="s">
        <v>12</v>
      </c>
      <c r="Q4" s="19" t="s">
        <v>630</v>
      </c>
      <c r="R4" s="19" t="s">
        <v>631</v>
      </c>
      <c r="S4" s="19" t="s">
        <v>632</v>
      </c>
      <c r="T4" s="19" t="s">
        <v>633</v>
      </c>
      <c r="U4" s="19" t="s">
        <v>634</v>
      </c>
      <c r="V4" s="19" t="s">
        <v>13</v>
      </c>
      <c r="W4" s="19" t="s">
        <v>14</v>
      </c>
      <c r="X4" s="19" t="s">
        <v>15</v>
      </c>
      <c r="Y4" s="19" t="s">
        <v>523</v>
      </c>
      <c r="Z4" s="19" t="s">
        <v>140</v>
      </c>
      <c r="AA4" s="19" t="s">
        <v>635</v>
      </c>
      <c r="AB4" s="19" t="s">
        <v>16</v>
      </c>
      <c r="AC4" s="468"/>
      <c r="AD4" s="468"/>
      <c r="AE4" s="468"/>
      <c r="AF4" s="468"/>
      <c r="AG4" s="468"/>
    </row>
    <row r="5" spans="1:33" s="5" customFormat="1" ht="18.75" customHeight="1">
      <c r="A5" s="3"/>
      <c r="B5" s="3"/>
      <c r="C5" s="48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>
        <f>P5-M5+R5</f>
        <v>0</v>
      </c>
      <c r="U5" s="4">
        <f>N5-T5</f>
        <v>0</v>
      </c>
      <c r="V5" s="4"/>
      <c r="W5" s="4"/>
      <c r="X5" s="4"/>
      <c r="Y5" s="4"/>
      <c r="Z5" s="3"/>
      <c r="AA5" s="410"/>
      <c r="AB5" s="3"/>
      <c r="AC5" s="468"/>
      <c r="AD5" s="468"/>
      <c r="AE5" s="468"/>
      <c r="AF5" s="468"/>
      <c r="AG5" s="468"/>
    </row>
    <row r="6" spans="1:33" s="5" customFormat="1">
      <c r="A6" s="475">
        <f t="shared" ref="A6:A14" si="0">A5+1</f>
        <v>1</v>
      </c>
      <c r="B6" s="3">
        <v>2031</v>
      </c>
      <c r="C6" s="3" t="s">
        <v>789</v>
      </c>
      <c r="D6" s="4">
        <f>'תקציב אגף תנוס 2019'!D13</f>
        <v>2700000</v>
      </c>
      <c r="E6" s="4">
        <f>'תקציב אגף תנוס 2019'!E13</f>
        <v>2700000</v>
      </c>
      <c r="F6" s="4">
        <f>'תקציב אגף תנוס 2019'!F13</f>
        <v>0</v>
      </c>
      <c r="G6" s="4">
        <f>'תקציב אגף תנוס 2019'!G13</f>
        <v>50000</v>
      </c>
      <c r="H6" s="4">
        <f>'תקציב אגף תנוס 2019'!H13</f>
        <v>0</v>
      </c>
      <c r="I6" s="4">
        <f>'תקציב אגף תנוס 2019'!I13</f>
        <v>0</v>
      </c>
      <c r="J6" s="4">
        <f>'תקציב אגף תנוס 2019'!J13</f>
        <v>8199</v>
      </c>
      <c r="K6" s="4">
        <f>'תקציב אגף תנוס 2019'!K13</f>
        <v>8199</v>
      </c>
      <c r="L6" s="4">
        <f>'תקציב אגף תנוס 2019'!L13</f>
        <v>8199</v>
      </c>
      <c r="M6" s="4">
        <f>'תקציב אגף תנוס 2019'!M13</f>
        <v>2691801</v>
      </c>
      <c r="N6" s="4">
        <f>'תקציב אגף תנוס 2019'!N13</f>
        <v>0</v>
      </c>
      <c r="O6" s="4">
        <f>'תקציב אגף תנוס 2019'!O13</f>
        <v>0</v>
      </c>
      <c r="P6" s="4">
        <f>'תקציב אגף תנוס 2019'!P13</f>
        <v>41801</v>
      </c>
      <c r="Q6" s="4">
        <f>'תקציב אגף תנוס 2019'!Q13</f>
        <v>2650000</v>
      </c>
      <c r="R6" s="4">
        <f>'תקציב אגף תנוס 2019'!R13</f>
        <v>0</v>
      </c>
      <c r="S6" s="4">
        <f>'תקציב אגף תנוס 2019'!S13</f>
        <v>2650000</v>
      </c>
      <c r="T6" s="4">
        <f>'תקציב אגף תנוס 2019'!T13</f>
        <v>0</v>
      </c>
      <c r="U6" s="4">
        <f>'תקציב אגף תנוס 2019'!U13</f>
        <v>0</v>
      </c>
      <c r="V6" s="4">
        <f>'תקציב אגף תנוס 2019'!V13</f>
        <v>0</v>
      </c>
      <c r="W6" s="4">
        <f>'תקציב אגף תנוס 2019'!W13</f>
        <v>0</v>
      </c>
      <c r="X6" s="4">
        <f>'תקציב אגף תנוס 2019'!X13</f>
        <v>0</v>
      </c>
      <c r="Y6" s="4">
        <f>'תקציב אגף תנוס 2019'!Y13</f>
        <v>0</v>
      </c>
      <c r="Z6" s="4">
        <f>'תקציב אגף תנוס 2019'!Z13</f>
        <v>0</v>
      </c>
      <c r="AA6" s="124">
        <f>'תקציב אגף תנוס 2019'!AA13</f>
        <v>0</v>
      </c>
      <c r="AB6" s="3">
        <f>'תקציב אגף תנוס 2019'!AB13</f>
        <v>826000</v>
      </c>
      <c r="AC6" s="468"/>
      <c r="AD6" s="468"/>
      <c r="AE6" s="468"/>
      <c r="AF6" s="468"/>
      <c r="AG6" s="476"/>
    </row>
    <row r="7" spans="1:33" s="5" customFormat="1" ht="56">
      <c r="A7" s="475">
        <f t="shared" si="0"/>
        <v>2</v>
      </c>
      <c r="B7" s="42">
        <v>2089</v>
      </c>
      <c r="C7" s="3" t="s">
        <v>790</v>
      </c>
      <c r="D7" s="4">
        <f>'תקציב אגף תנוס 2019'!D15</f>
        <v>350000</v>
      </c>
      <c r="E7" s="4">
        <f>'תקציב אגף תנוס 2019'!E15</f>
        <v>0</v>
      </c>
      <c r="F7" s="4">
        <f>'תקציב אגף תנוס 2019'!F15</f>
        <v>350000</v>
      </c>
      <c r="G7" s="4">
        <f>'תקציב אגף תנוס 2019'!G15</f>
        <v>0</v>
      </c>
      <c r="H7" s="4">
        <f>'תקציב אגף תנוס 2019'!H15</f>
        <v>0</v>
      </c>
      <c r="I7" s="4">
        <f>'תקציב אגף תנוס 2019'!I15</f>
        <v>0</v>
      </c>
      <c r="J7" s="4">
        <f>'תקציב אגף תנוס 2019'!J15</f>
        <v>0</v>
      </c>
      <c r="K7" s="4">
        <f>'תקציב אגף תנוס 2019'!K15</f>
        <v>0</v>
      </c>
      <c r="L7" s="4">
        <f>'תקציב אגף תנוס 2019'!L15</f>
        <v>0</v>
      </c>
      <c r="M7" s="4">
        <f>'תקציב אגף תנוס 2019'!M15</f>
        <v>0</v>
      </c>
      <c r="N7" s="4">
        <f>'תקציב אגף תנוס 2019'!N15</f>
        <v>350000</v>
      </c>
      <c r="O7" s="4">
        <f>'תקציב אגף תנוס 2019'!O15</f>
        <v>0</v>
      </c>
      <c r="P7" s="4">
        <f>'תקציב אגף תנוס 2019'!P15</f>
        <v>0</v>
      </c>
      <c r="Q7" s="4">
        <f>'תקציב אגף תנוס 2019'!Q15</f>
        <v>0</v>
      </c>
      <c r="R7" s="4">
        <f>'תקציב אגף תנוס 2019'!R15</f>
        <v>0</v>
      </c>
      <c r="S7" s="4">
        <f>'תקציב אגף תנוס 2019'!S15</f>
        <v>0</v>
      </c>
      <c r="T7" s="4">
        <f>'תקציב אגף תנוס 2019'!T15</f>
        <v>0</v>
      </c>
      <c r="U7" s="4">
        <f>'תקציב אגף תנוס 2019'!U15</f>
        <v>350000</v>
      </c>
      <c r="V7" s="4">
        <f>'תקציב אגף תנוס 2019'!V15</f>
        <v>0</v>
      </c>
      <c r="W7" s="4">
        <f>'תקציב אגף תנוס 2019'!W15</f>
        <v>350000</v>
      </c>
      <c r="X7" s="4">
        <f>'תקציב אגף תנוס 2019'!X15</f>
        <v>0</v>
      </c>
      <c r="Y7" s="4">
        <f>'תקציב אגף תנוס 2019'!Y15</f>
        <v>0</v>
      </c>
      <c r="Z7" s="4">
        <f>'תקציב אגף תנוס 2019'!Z15</f>
        <v>0</v>
      </c>
      <c r="AA7" s="124" t="str">
        <f>'תקציב אגף תנוס 2019'!AA15</f>
        <v xml:space="preserve">מערכות הקרנה דיגיטליות, באמצעות מקרןdcp, במטרה לאפשר הקרנת סרטים בשיטה חדשנית שתגרום להרחבת היצע התכנים לקהל. </v>
      </c>
      <c r="AB7" s="3">
        <f>'תקציב אגף תנוס 2019'!AB15</f>
        <v>826000</v>
      </c>
      <c r="AC7" s="468"/>
      <c r="AD7" s="468"/>
      <c r="AE7" s="468"/>
      <c r="AF7" s="468"/>
      <c r="AG7" s="468"/>
    </row>
    <row r="8" spans="1:33" s="5" customFormat="1">
      <c r="A8" s="475">
        <f t="shared" si="0"/>
        <v>3</v>
      </c>
      <c r="B8" s="3">
        <v>1705</v>
      </c>
      <c r="C8" s="3" t="s">
        <v>88</v>
      </c>
      <c r="D8" s="4">
        <f>'תקציב אגף תנוס 2019'!D9</f>
        <v>220000</v>
      </c>
      <c r="E8" s="4">
        <f>'תקציב אגף תנוס 2019'!E9</f>
        <v>220000</v>
      </c>
      <c r="F8" s="4">
        <f>'תקציב אגף תנוס 2019'!F9</f>
        <v>0</v>
      </c>
      <c r="G8" s="4">
        <f>'תקציב אגף תנוס 2019'!G9</f>
        <v>220000</v>
      </c>
      <c r="H8" s="4">
        <f>'תקציב אגף תנוס 2019'!H9</f>
        <v>197698.34</v>
      </c>
      <c r="I8" s="4">
        <f>'תקציב אגף תנוס 2019'!I9</f>
        <v>0</v>
      </c>
      <c r="J8" s="4">
        <f>'תקציב אגף תנוס 2019'!J9</f>
        <v>5499</v>
      </c>
      <c r="K8" s="4">
        <f>'תקציב אגף תנוס 2019'!K9</f>
        <v>5499</v>
      </c>
      <c r="L8" s="4">
        <f>'תקציב אגף תנוס 2019'!L9</f>
        <v>203197.34</v>
      </c>
      <c r="M8" s="4">
        <f>'תקציב אגף תנוס 2019'!M9</f>
        <v>16802.660000000003</v>
      </c>
      <c r="N8" s="4">
        <f>'תקציב אגף תנוס 2019'!N9</f>
        <v>0</v>
      </c>
      <c r="O8" s="4">
        <f>'תקציב אגף תנוס 2019'!O9</f>
        <v>0</v>
      </c>
      <c r="P8" s="4">
        <f>'תקציב אגף תנוס 2019'!P9</f>
        <v>16802.660000000003</v>
      </c>
      <c r="Q8" s="4">
        <f>'תקציב אגף תנוס 2019'!Q9</f>
        <v>0</v>
      </c>
      <c r="R8" s="4">
        <f>'תקציב אגף תנוס 2019'!R9</f>
        <v>0</v>
      </c>
      <c r="S8" s="4">
        <f>'תקציב אגף תנוס 2019'!S9</f>
        <v>0</v>
      </c>
      <c r="T8" s="4">
        <f>'תקציב אגף תנוס 2019'!T9</f>
        <v>0</v>
      </c>
      <c r="U8" s="4">
        <f>'תקציב אגף תנוס 2019'!U9</f>
        <v>0</v>
      </c>
      <c r="V8" s="4">
        <f>'תקציב אגף תנוס 2019'!V9</f>
        <v>0</v>
      </c>
      <c r="W8" s="4">
        <f>'תקציב אגף תנוס 2019'!W9</f>
        <v>0</v>
      </c>
      <c r="X8" s="4">
        <f>'תקציב אגף תנוס 2019'!X9</f>
        <v>0</v>
      </c>
      <c r="Y8" s="4">
        <f>'תקציב אגף תנוס 2019'!Y9</f>
        <v>0</v>
      </c>
      <c r="Z8" s="4">
        <f>'תקציב אגף תנוס 2019'!Z9</f>
        <v>0</v>
      </c>
      <c r="AA8" s="124">
        <f>'תקציב אגף תנוס 2019'!AA9</f>
        <v>0</v>
      </c>
      <c r="AB8" s="3">
        <f>'תקציב אגף תנוס 2019'!AB9</f>
        <v>828000</v>
      </c>
      <c r="AC8" s="468"/>
      <c r="AD8" s="468"/>
      <c r="AE8" s="468"/>
      <c r="AF8" s="468"/>
      <c r="AG8" s="476"/>
    </row>
    <row r="9" spans="1:33" s="5" customFormat="1">
      <c r="A9" s="475">
        <f t="shared" si="0"/>
        <v>4</v>
      </c>
      <c r="B9" s="3">
        <v>1582</v>
      </c>
      <c r="C9" s="3" t="s">
        <v>87</v>
      </c>
      <c r="D9" s="4">
        <f>'תקציב אגף תנוס 2019'!D7</f>
        <v>763000</v>
      </c>
      <c r="E9" s="4">
        <f>'תקציב אגף תנוס 2019'!E7</f>
        <v>763000</v>
      </c>
      <c r="F9" s="4">
        <f>'תקציב אגף תנוס 2019'!F7</f>
        <v>0</v>
      </c>
      <c r="G9" s="4">
        <f>'תקציב אגף תנוס 2019'!G7</f>
        <v>763000</v>
      </c>
      <c r="H9" s="4">
        <f>'תקציב אגף תנוס 2019'!H7</f>
        <v>618241.97</v>
      </c>
      <c r="I9" s="4">
        <f>'תקציב אגף תנוס 2019'!I7</f>
        <v>0</v>
      </c>
      <c r="J9" s="4">
        <f>'תקציב אגף תנוס 2019'!J7</f>
        <v>0</v>
      </c>
      <c r="K9" s="4">
        <f>'תקציב אגף תנוס 2019'!K7</f>
        <v>0</v>
      </c>
      <c r="L9" s="4">
        <f>'תקציב אגף תנוס 2019'!L7</f>
        <v>618241.97</v>
      </c>
      <c r="M9" s="4">
        <f>'תקציב אגף תנוס 2019'!M7</f>
        <v>144758.03000000003</v>
      </c>
      <c r="N9" s="4">
        <f>'תקציב אגף תנוס 2019'!N7</f>
        <v>0</v>
      </c>
      <c r="O9" s="4">
        <f>'תקציב אגף תנוס 2019'!O7</f>
        <v>0</v>
      </c>
      <c r="P9" s="4">
        <f>'תקציב אגף תנוס 2019'!P7</f>
        <v>144758.03000000003</v>
      </c>
      <c r="Q9" s="4">
        <f>'תקציב אגף תנוס 2019'!Q7</f>
        <v>0</v>
      </c>
      <c r="R9" s="4">
        <f>'תקציב אגף תנוס 2019'!R7</f>
        <v>0</v>
      </c>
      <c r="S9" s="4">
        <f>'תקציב אגף תנוס 2019'!S7</f>
        <v>0</v>
      </c>
      <c r="T9" s="4">
        <f>'תקציב אגף תנוס 2019'!T7</f>
        <v>0</v>
      </c>
      <c r="U9" s="4">
        <f>'תקציב אגף תנוס 2019'!U7</f>
        <v>0</v>
      </c>
      <c r="V9" s="4">
        <f>'תקציב אגף תנוס 2019'!V7</f>
        <v>0</v>
      </c>
      <c r="W9" s="4">
        <f>'תקציב אגף תנוס 2019'!W7</f>
        <v>0</v>
      </c>
      <c r="X9" s="4">
        <f>'תקציב אגף תנוס 2019'!X7</f>
        <v>0</v>
      </c>
      <c r="Y9" s="4">
        <f>'תקציב אגף תנוס 2019'!Y7</f>
        <v>0</v>
      </c>
      <c r="Z9" s="4">
        <f>'תקציב אגף תנוס 2019'!Z7</f>
        <v>0</v>
      </c>
      <c r="AA9" s="124">
        <f>'תקציב אגף תנוס 2019'!AA7</f>
        <v>0</v>
      </c>
      <c r="AB9" s="3">
        <f>'תקציב אגף תנוס 2019'!AB7</f>
        <v>829000</v>
      </c>
      <c r="AC9" s="468"/>
      <c r="AD9" s="468"/>
      <c r="AE9" s="468"/>
      <c r="AF9" s="468"/>
      <c r="AG9" s="476"/>
    </row>
    <row r="10" spans="1:33" s="5" customFormat="1" ht="28">
      <c r="A10" s="475">
        <f t="shared" si="0"/>
        <v>5</v>
      </c>
      <c r="B10" s="3">
        <v>1678</v>
      </c>
      <c r="C10" s="3" t="s">
        <v>1350</v>
      </c>
      <c r="D10" s="4">
        <f>'תקציב אגף תנוס 2019'!D8</f>
        <v>1300000</v>
      </c>
      <c r="E10" s="4">
        <f>'תקציב אגף תנוס 2019'!E8</f>
        <v>1100000</v>
      </c>
      <c r="F10" s="4">
        <f>'תקציב אגף תנוס 2019'!F8</f>
        <v>200000</v>
      </c>
      <c r="G10" s="4">
        <f>'תקציב אגף תנוס 2019'!G8</f>
        <v>1050000</v>
      </c>
      <c r="H10" s="4">
        <f>'תקציב אגף תנוס 2019'!H8</f>
        <v>799276.59</v>
      </c>
      <c r="I10" s="4">
        <f>'תקציב אגף תנוס 2019'!I8</f>
        <v>0</v>
      </c>
      <c r="J10" s="4">
        <f>'תקציב אגף תנוס 2019'!J8</f>
        <v>0</v>
      </c>
      <c r="K10" s="4">
        <f>'תקציב אגף תנוס 2019'!K8</f>
        <v>0</v>
      </c>
      <c r="L10" s="4">
        <f>'תקציב אגף תנוס 2019'!L8</f>
        <v>799276.59</v>
      </c>
      <c r="M10" s="4">
        <f>'תקציב אגף תנוס 2019'!M8</f>
        <v>250723.41000000003</v>
      </c>
      <c r="N10" s="4">
        <f>'תקציב אגף תנוס 2019'!N8</f>
        <v>250000</v>
      </c>
      <c r="O10" s="4">
        <f>'תקציב אגף תנוס 2019'!O8</f>
        <v>0</v>
      </c>
      <c r="P10" s="4">
        <f>'תקציב אגף תנוס 2019'!P8</f>
        <v>250723.41000000003</v>
      </c>
      <c r="Q10" s="4">
        <f>'תקציב אגף תנוס 2019'!Q8</f>
        <v>0</v>
      </c>
      <c r="R10" s="4">
        <f>'תקציב אגף תנוס 2019'!R8</f>
        <v>0</v>
      </c>
      <c r="S10" s="4">
        <f>'תקציב אגף תנוס 2019'!S8</f>
        <v>0</v>
      </c>
      <c r="T10" s="4">
        <f>'תקציב אגף תנוס 2019'!T8</f>
        <v>0</v>
      </c>
      <c r="U10" s="4">
        <f>'תקציב אגף תנוס 2019'!U8</f>
        <v>250000</v>
      </c>
      <c r="V10" s="4">
        <f>'תקציב אגף תנוס 2019'!V8</f>
        <v>0</v>
      </c>
      <c r="W10" s="4">
        <f>'תקציב אגף תנוס 2019'!W8</f>
        <v>250000</v>
      </c>
      <c r="X10" s="4">
        <f>'תקציב אגף תנוס 2019'!X8</f>
        <v>0</v>
      </c>
      <c r="Y10" s="4">
        <f>'תקציב אגף תנוס 2019'!Y8</f>
        <v>0</v>
      </c>
      <c r="Z10" s="4">
        <f>'תקציב אגף תנוס 2019'!Z8</f>
        <v>0</v>
      </c>
      <c r="AA10" s="124" t="str">
        <f>'תקציב אגף תנוס 2019'!AA8</f>
        <v>עבודות שיפוץ במתקנים במגרשי הספורט בהתאם לדוחות מכון התקנים.</v>
      </c>
      <c r="AB10" s="3">
        <f>'תקציב אגף תנוס 2019'!AB8</f>
        <v>829000</v>
      </c>
      <c r="AC10" s="468"/>
      <c r="AD10" s="468"/>
      <c r="AE10" s="468"/>
      <c r="AF10" s="468"/>
      <c r="AG10" s="476"/>
    </row>
    <row r="11" spans="1:33" s="5" customFormat="1" ht="28">
      <c r="A11" s="475">
        <f t="shared" si="0"/>
        <v>6</v>
      </c>
      <c r="B11" s="3">
        <v>1777</v>
      </c>
      <c r="C11" s="3" t="s">
        <v>93</v>
      </c>
      <c r="D11" s="4">
        <f>'תקציב אגף תנוס 2019'!D10</f>
        <v>390000</v>
      </c>
      <c r="E11" s="4">
        <f>'תקציב אגף תנוס 2019'!E10</f>
        <v>270000</v>
      </c>
      <c r="F11" s="4">
        <f>'תקציב אגף תנוס 2019'!F10</f>
        <v>120000</v>
      </c>
      <c r="G11" s="4">
        <f>'תקציב אגף תנוס 2019'!G10</f>
        <v>270000</v>
      </c>
      <c r="H11" s="4">
        <f>'תקציב אגף תנוס 2019'!H10</f>
        <v>119709.72</v>
      </c>
      <c r="I11" s="4">
        <f>'תקציב אגף תנוס 2019'!I10</f>
        <v>0</v>
      </c>
      <c r="J11" s="4">
        <f>'תקציב אגף תנוס 2019'!J10</f>
        <v>28080</v>
      </c>
      <c r="K11" s="4">
        <f>'תקציב אגף תנוס 2019'!K10</f>
        <v>28080</v>
      </c>
      <c r="L11" s="4">
        <f>'תקציב אגף תנוס 2019'!L10</f>
        <v>147789.72</v>
      </c>
      <c r="M11" s="4">
        <f>'תקציב אגף תנוס 2019'!M10</f>
        <v>122210.28</v>
      </c>
      <c r="N11" s="4">
        <f>'תקציב אגף תנוס 2019'!N10</f>
        <v>120000</v>
      </c>
      <c r="O11" s="4">
        <f>'תקציב אגף תנוס 2019'!O10</f>
        <v>0</v>
      </c>
      <c r="P11" s="4">
        <f>'תקציב אגף תנוס 2019'!P10</f>
        <v>122210.28</v>
      </c>
      <c r="Q11" s="4">
        <f>'תקציב אגף תנוס 2019'!Q10</f>
        <v>0</v>
      </c>
      <c r="R11" s="4">
        <f>'תקציב אגף תנוס 2019'!R10</f>
        <v>0</v>
      </c>
      <c r="S11" s="4">
        <f>'תקציב אגף תנוס 2019'!S10</f>
        <v>0</v>
      </c>
      <c r="T11" s="4">
        <f>'תקציב אגף תנוס 2019'!T10</f>
        <v>0</v>
      </c>
      <c r="U11" s="4">
        <f>'תקציב אגף תנוס 2019'!U10</f>
        <v>120000</v>
      </c>
      <c r="V11" s="4">
        <f>'תקציב אגף תנוס 2019'!V10</f>
        <v>0</v>
      </c>
      <c r="W11" s="4">
        <f>'תקציב אגף תנוס 2019'!W10</f>
        <v>120000</v>
      </c>
      <c r="X11" s="4">
        <f>'תקציב אגף תנוס 2019'!X10</f>
        <v>0</v>
      </c>
      <c r="Y11" s="4">
        <f>'תקציב אגף תנוס 2019'!Y10</f>
        <v>0</v>
      </c>
      <c r="Z11" s="4">
        <f>'תקציב אגף תנוס 2019'!Z10</f>
        <v>0</v>
      </c>
      <c r="AA11" s="124" t="str">
        <f>'תקציב אגף תנוס 2019'!AA10</f>
        <v>הקמת מתקנים בחוף כוכבים וחוף זבולון. בשנת 2019 מתוכנן בחוף הנכים והשרון.</v>
      </c>
      <c r="AB11" s="3">
        <f>'תקציב אגף תנוס 2019'!AB10</f>
        <v>829000</v>
      </c>
      <c r="AC11" s="468"/>
      <c r="AD11" s="468"/>
      <c r="AE11" s="468"/>
      <c r="AF11" s="468"/>
      <c r="AG11" s="476"/>
    </row>
    <row r="12" spans="1:33" s="5" customFormat="1" ht="28">
      <c r="A12" s="475">
        <f t="shared" si="0"/>
        <v>7</v>
      </c>
      <c r="B12" s="3">
        <v>1890</v>
      </c>
      <c r="C12" s="3" t="s">
        <v>271</v>
      </c>
      <c r="D12" s="4">
        <f>'תקציב אגף תנוס 2019'!D11</f>
        <v>1100000</v>
      </c>
      <c r="E12" s="4">
        <f>'תקציב אגף תנוס 2019'!E11</f>
        <v>800000</v>
      </c>
      <c r="F12" s="4">
        <f>'תקציב אגף תנוס 2019'!F11</f>
        <v>300000</v>
      </c>
      <c r="G12" s="4">
        <f>'תקציב אגף תנוס 2019'!G11</f>
        <v>800000</v>
      </c>
      <c r="H12" s="4">
        <f>'תקציב אגף תנוס 2019'!H11</f>
        <v>799864.38</v>
      </c>
      <c r="I12" s="4">
        <f>'תקציב אגף תנוס 2019'!I11</f>
        <v>0</v>
      </c>
      <c r="J12" s="4">
        <f>'תקציב אגף תנוס 2019'!J11</f>
        <v>0</v>
      </c>
      <c r="K12" s="4">
        <f>'תקציב אגף תנוס 2019'!K11</f>
        <v>0</v>
      </c>
      <c r="L12" s="4">
        <f>'תקציב אגף תנוס 2019'!L11</f>
        <v>799864.38</v>
      </c>
      <c r="M12" s="4">
        <f>'תקציב אגף תנוס 2019'!M11</f>
        <v>135.61999999999534</v>
      </c>
      <c r="N12" s="4">
        <f>'תקציב אגף תנוס 2019'!N11</f>
        <v>300000</v>
      </c>
      <c r="O12" s="4">
        <f>'תקציב אגף תנוס 2019'!O11</f>
        <v>0</v>
      </c>
      <c r="P12" s="4">
        <f>'תקציב אגף תנוס 2019'!P11</f>
        <v>135.61999999999534</v>
      </c>
      <c r="Q12" s="4">
        <f>'תקציב אגף תנוס 2019'!Q11</f>
        <v>0</v>
      </c>
      <c r="R12" s="4">
        <f>'תקציב אגף תנוס 2019'!R11</f>
        <v>0</v>
      </c>
      <c r="S12" s="4">
        <f>'תקציב אגף תנוס 2019'!S11</f>
        <v>0</v>
      </c>
      <c r="T12" s="4">
        <f>'תקציב אגף תנוס 2019'!T11</f>
        <v>0</v>
      </c>
      <c r="U12" s="4">
        <f>'תקציב אגף תנוס 2019'!U11</f>
        <v>300000</v>
      </c>
      <c r="V12" s="4">
        <f>'תקציב אגף תנוס 2019'!V11</f>
        <v>0</v>
      </c>
      <c r="W12" s="4">
        <f>'תקציב אגף תנוס 2019'!W11</f>
        <v>300000</v>
      </c>
      <c r="X12" s="4">
        <f>'תקציב אגף תנוס 2019'!X11</f>
        <v>0</v>
      </c>
      <c r="Y12" s="4">
        <f>'תקציב אגף תנוס 2019'!Y11</f>
        <v>0</v>
      </c>
      <c r="Z12" s="4">
        <f>'תקציב אגף תנוס 2019'!Z11</f>
        <v>0</v>
      </c>
      <c r="AA12" s="124" t="str">
        <f>'תקציב אגף תנוס 2019'!AA11</f>
        <v>הצטיידות כלי שייט עבור המרכז לחינוך וספורט ימי כולל החינוך המיוחד.</v>
      </c>
      <c r="AB12" s="3">
        <f>'תקציב אגף תנוס 2019'!AB11</f>
        <v>829000</v>
      </c>
      <c r="AC12" s="468"/>
      <c r="AD12" s="468"/>
      <c r="AE12" s="468"/>
      <c r="AF12" s="468"/>
      <c r="AG12" s="476"/>
    </row>
    <row r="13" spans="1:33" s="5" customFormat="1" ht="28">
      <c r="A13" s="475">
        <f t="shared" si="0"/>
        <v>8</v>
      </c>
      <c r="B13" s="408">
        <v>2004</v>
      </c>
      <c r="C13" s="3" t="s">
        <v>333</v>
      </c>
      <c r="D13" s="4">
        <f>'תקציב אגף תנוס 2019'!D12</f>
        <v>735000</v>
      </c>
      <c r="E13" s="4">
        <f>'תקציב אגף תנוס 2019'!E12</f>
        <v>735000</v>
      </c>
      <c r="F13" s="4">
        <f>'תקציב אגף תנוס 2019'!F12</f>
        <v>0</v>
      </c>
      <c r="G13" s="4">
        <f>'תקציב אגף תנוס 2019'!G12</f>
        <v>415000</v>
      </c>
      <c r="H13" s="4">
        <f>'תקציב אגף תנוס 2019'!H12</f>
        <v>227061.5</v>
      </c>
      <c r="I13" s="4">
        <f>'תקציב אגף תנוס 2019'!I12</f>
        <v>0</v>
      </c>
      <c r="J13" s="4">
        <f>'תקציב אגף תנוס 2019'!J12</f>
        <v>0</v>
      </c>
      <c r="K13" s="4">
        <f>'תקציב אגף תנוס 2019'!K12</f>
        <v>0</v>
      </c>
      <c r="L13" s="4">
        <f>'תקציב אגף תנוס 2019'!L12</f>
        <v>227061.5</v>
      </c>
      <c r="M13" s="4">
        <f>'תקציב אגף תנוס 2019'!M12</f>
        <v>187938.5</v>
      </c>
      <c r="N13" s="4">
        <f>'תקציב אגף תנוס 2019'!N12</f>
        <v>200000</v>
      </c>
      <c r="O13" s="4">
        <f>'תקציב אגף תנוס 2019'!O12</f>
        <v>120000</v>
      </c>
      <c r="P13" s="4">
        <f>'תקציב אגף תנוס 2019'!P12</f>
        <v>187938.5</v>
      </c>
      <c r="Q13" s="4">
        <f>'תקציב אגף תנוס 2019'!Q12</f>
        <v>0</v>
      </c>
      <c r="R13" s="4">
        <f>'תקציב אגף תנוס 2019'!R12</f>
        <v>0</v>
      </c>
      <c r="S13" s="4">
        <f>'תקציב אגף תנוס 2019'!S12</f>
        <v>0</v>
      </c>
      <c r="T13" s="4">
        <f>'תקציב אגף תנוס 2019'!T12</f>
        <v>0</v>
      </c>
      <c r="U13" s="4">
        <f>'תקציב אגף תנוס 2019'!U12</f>
        <v>200000</v>
      </c>
      <c r="V13" s="4">
        <f>'תקציב אגף תנוס 2019'!V12</f>
        <v>0</v>
      </c>
      <c r="W13" s="4">
        <f>'תקציב אגף תנוס 2019'!W12</f>
        <v>200000</v>
      </c>
      <c r="X13" s="4">
        <f>'תקציב אגף תנוס 2019'!X12</f>
        <v>0</v>
      </c>
      <c r="Y13" s="4">
        <f>'תקציב אגף תנוס 2019'!Y12</f>
        <v>0</v>
      </c>
      <c r="Z13" s="4">
        <f>'תקציב אגף תנוס 2019'!Z12</f>
        <v>0</v>
      </c>
      <c r="AA13" s="124" t="str">
        <f>'תקציב אגף תנוס 2019'!AA12</f>
        <v>המשך חידוש ציפוי מגרשי הספורט לפי התוכנית השנתית.</v>
      </c>
      <c r="AB13" s="3">
        <f>'תקציב אגף תנוס 2019'!AB12</f>
        <v>829000</v>
      </c>
      <c r="AC13" s="468"/>
      <c r="AD13" s="468"/>
      <c r="AE13" s="468"/>
      <c r="AF13" s="468"/>
      <c r="AG13" s="476"/>
    </row>
    <row r="14" spans="1:33" s="5" customFormat="1" ht="42">
      <c r="A14" s="475">
        <f t="shared" si="0"/>
        <v>9</v>
      </c>
      <c r="B14" s="408">
        <v>2060</v>
      </c>
      <c r="C14" s="3" t="s">
        <v>1349</v>
      </c>
      <c r="D14" s="4">
        <f>'תקציב אגף תנוס 2019'!D14</f>
        <v>1465000</v>
      </c>
      <c r="E14" s="4">
        <f>'תקציב אגף תנוס 2019'!E14</f>
        <v>1465000</v>
      </c>
      <c r="F14" s="4">
        <f>'תקציב אגף תנוס 2019'!F14</f>
        <v>0</v>
      </c>
      <c r="G14" s="4">
        <f>'תקציב אגף תנוס 2019'!G14</f>
        <v>520000</v>
      </c>
      <c r="H14" s="4">
        <f>'תקציב אגף תנוס 2019'!H14</f>
        <v>0</v>
      </c>
      <c r="I14" s="4">
        <f>'תקציב אגף תנוס 2019'!I14</f>
        <v>0</v>
      </c>
      <c r="J14" s="4">
        <f>'תקציב אגף תנוס 2019'!J14</f>
        <v>172082.71</v>
      </c>
      <c r="K14" s="4">
        <f>'תקציב אגף תנוס 2019'!K14</f>
        <v>172082.71</v>
      </c>
      <c r="L14" s="4">
        <f>'תקציב אגף תנוס 2019'!L14</f>
        <v>172082.71</v>
      </c>
      <c r="M14" s="4">
        <f>'תקציב אגף תנוס 2019'!M14</f>
        <v>347917.29000000004</v>
      </c>
      <c r="N14" s="4">
        <f>'תקציב אגף תנוס 2019'!N14</f>
        <v>600000</v>
      </c>
      <c r="O14" s="4">
        <f>'תקציב אגף תנוס 2019'!O14</f>
        <v>345000</v>
      </c>
      <c r="P14" s="4">
        <f>'תקציב אגף תנוס 2019'!P14</f>
        <v>347917.29000000004</v>
      </c>
      <c r="Q14" s="4">
        <f>'תקציב אגף תנוס 2019'!Q14</f>
        <v>0</v>
      </c>
      <c r="R14" s="4">
        <f>'תקציב אגף תנוס 2019'!R14</f>
        <v>0</v>
      </c>
      <c r="S14" s="4">
        <f>'תקציב אגף תנוס 2019'!S14</f>
        <v>0</v>
      </c>
      <c r="T14" s="4">
        <f>'תקציב אגף תנוס 2019'!T14</f>
        <v>0</v>
      </c>
      <c r="U14" s="4">
        <f>'תקציב אגף תנוס 2019'!U14</f>
        <v>600000</v>
      </c>
      <c r="V14" s="4">
        <f>'תקציב אגף תנוס 2019'!V14</f>
        <v>0</v>
      </c>
      <c r="W14" s="4">
        <f>'תקציב אגף תנוס 2019'!W14</f>
        <v>600000</v>
      </c>
      <c r="X14" s="4">
        <f>'תקציב אגף תנוס 2019'!X14</f>
        <v>0</v>
      </c>
      <c r="Y14" s="4">
        <f>'תקציב אגף תנוס 2019'!Y14</f>
        <v>0</v>
      </c>
      <c r="Z14" s="4">
        <f>'תקציב אגף תנוס 2019'!Z14</f>
        <v>0</v>
      </c>
      <c r="AA14" s="124" t="str">
        <f>'תקציב אגף תנוס 2019'!AA14</f>
        <v>הקמה ושיפוץ רצפות פרקט:אולם ראשונים אולם אילנות. ב - 2019 :אולמות אלון ורעות, סמדר והיובל.</v>
      </c>
      <c r="AB14" s="3">
        <f>'תקציב אגף תנוס 2019'!AB14</f>
        <v>829000</v>
      </c>
      <c r="AC14" s="468"/>
      <c r="AD14" s="468"/>
      <c r="AE14" s="468"/>
      <c r="AF14" s="468"/>
      <c r="AG14" s="476"/>
    </row>
    <row r="15" spans="1:33" s="101" customFormat="1">
      <c r="A15" s="645"/>
      <c r="B15" s="646"/>
      <c r="C15" s="44" t="s">
        <v>1209</v>
      </c>
      <c r="D15" s="125">
        <f>SUM(D6:D14)</f>
        <v>9023000</v>
      </c>
      <c r="E15" s="125">
        <f t="shared" ref="E15:W15" si="1">SUM(E6:E14)</f>
        <v>8053000</v>
      </c>
      <c r="F15" s="125">
        <f t="shared" si="1"/>
        <v>970000</v>
      </c>
      <c r="G15" s="125">
        <f t="shared" si="1"/>
        <v>4088000</v>
      </c>
      <c r="H15" s="125">
        <f t="shared" si="1"/>
        <v>2761852.5</v>
      </c>
      <c r="I15" s="125">
        <f t="shared" si="1"/>
        <v>0</v>
      </c>
      <c r="J15" s="125">
        <f t="shared" si="1"/>
        <v>213860.71</v>
      </c>
      <c r="K15" s="125">
        <f t="shared" si="1"/>
        <v>213860.71</v>
      </c>
      <c r="L15" s="125">
        <f t="shared" si="1"/>
        <v>2975713.21</v>
      </c>
      <c r="M15" s="125">
        <f t="shared" si="1"/>
        <v>3762286.7900000005</v>
      </c>
      <c r="N15" s="125">
        <f t="shared" si="1"/>
        <v>1820000</v>
      </c>
      <c r="O15" s="125">
        <f t="shared" si="1"/>
        <v>465000</v>
      </c>
      <c r="P15" s="125">
        <f t="shared" si="1"/>
        <v>1112286.79</v>
      </c>
      <c r="Q15" s="125">
        <f t="shared" si="1"/>
        <v>2650000</v>
      </c>
      <c r="R15" s="125">
        <f t="shared" si="1"/>
        <v>0</v>
      </c>
      <c r="S15" s="125">
        <f t="shared" si="1"/>
        <v>2650000</v>
      </c>
      <c r="T15" s="125">
        <f t="shared" si="1"/>
        <v>0</v>
      </c>
      <c r="U15" s="125">
        <f t="shared" si="1"/>
        <v>1820000</v>
      </c>
      <c r="V15" s="125">
        <f t="shared" si="1"/>
        <v>0</v>
      </c>
      <c r="W15" s="125">
        <f t="shared" si="1"/>
        <v>1820000</v>
      </c>
      <c r="X15" s="125"/>
      <c r="Y15" s="125"/>
      <c r="Z15" s="125"/>
      <c r="AA15" s="620"/>
      <c r="AB15" s="44"/>
      <c r="AC15" s="647"/>
      <c r="AD15" s="647"/>
      <c r="AE15" s="647"/>
      <c r="AF15" s="647"/>
      <c r="AG15" s="648"/>
    </row>
    <row r="16" spans="1:33" s="5" customFormat="1" ht="28">
      <c r="A16" s="475">
        <f>A14+1</f>
        <v>10</v>
      </c>
      <c r="B16" s="3">
        <v>1486</v>
      </c>
      <c r="C16" s="3" t="s">
        <v>787</v>
      </c>
      <c r="D16" s="4">
        <f>'תקציב אגף תנוס 2019'!D6</f>
        <v>5790365</v>
      </c>
      <c r="E16" s="4">
        <f>'תקציב אגף תנוס 2019'!E6</f>
        <v>5790365</v>
      </c>
      <c r="F16" s="4">
        <f>'תקציב אגף תנוס 2019'!F6</f>
        <v>0</v>
      </c>
      <c r="G16" s="4">
        <f>'תקציב אגף תנוס 2019'!G6</f>
        <v>4240365</v>
      </c>
      <c r="H16" s="4">
        <f>'תקציב אגף תנוס 2019'!H6</f>
        <v>3562066.46</v>
      </c>
      <c r="I16" s="4">
        <f>'תקציב אגף תנוס 2019'!I6</f>
        <v>0</v>
      </c>
      <c r="J16" s="4">
        <f>'תקציב אגף תנוס 2019'!J6</f>
        <v>447130</v>
      </c>
      <c r="K16" s="4">
        <f>'תקציב אגף תנוס 2019'!K6</f>
        <v>447130</v>
      </c>
      <c r="L16" s="4">
        <f>'תקציב אגף תנוס 2019'!L6</f>
        <v>4009196.46</v>
      </c>
      <c r="M16" s="4">
        <f>'תקציב אגף תנוס 2019'!M6</f>
        <v>481168.54000000004</v>
      </c>
      <c r="N16" s="4">
        <f>'תקציב אגף תנוס 2019'!N6</f>
        <v>1300000</v>
      </c>
      <c r="O16" s="4">
        <f>'תקציב אגף תנוס 2019'!O6</f>
        <v>0</v>
      </c>
      <c r="P16" s="4">
        <f>'תקציב אגף תנוס 2019'!P6</f>
        <v>231168.54000000004</v>
      </c>
      <c r="Q16" s="4">
        <f>'תקציב אגף תנוס 2019'!Q6</f>
        <v>250000</v>
      </c>
      <c r="R16" s="4">
        <f>'תקציב אגף תנוס 2019'!R6</f>
        <v>0</v>
      </c>
      <c r="S16" s="4">
        <f>'תקציב אגף תנוס 2019'!S6</f>
        <v>250000</v>
      </c>
      <c r="T16" s="4">
        <f>'תקציב אגף תנוס 2019'!T6</f>
        <v>0</v>
      </c>
      <c r="U16" s="4">
        <f>'תקציב אגף תנוס 2019'!U6</f>
        <v>1300000</v>
      </c>
      <c r="V16" s="4">
        <f>'תקציב אגף תנוס 2019'!V6</f>
        <v>0</v>
      </c>
      <c r="W16" s="4">
        <f>'תקציב אגף תנוס 2019'!W6</f>
        <v>1300000</v>
      </c>
      <c r="X16" s="4">
        <f>'תקציב אגף תנוס 2019'!X6</f>
        <v>0</v>
      </c>
      <c r="Y16" s="4">
        <f>'תקציב אגף תנוס 2019'!Y6</f>
        <v>0</v>
      </c>
      <c r="Z16" s="4">
        <f>'תקציב אגף תנוס 2019'!Z6</f>
        <v>0</v>
      </c>
      <c r="AA16" s="124" t="str">
        <f>'תקציב אגף תנוס 2019'!AA6</f>
        <v>עבודות שונות,שיפוצים, ציוד בספריות, מרכזים קהילתיים, מוזיאונים.לפי פרוט.</v>
      </c>
      <c r="AB16" s="3">
        <f>'תקציב אגף תנוס 2019'!AB6</f>
        <v>930000</v>
      </c>
      <c r="AC16" s="468"/>
      <c r="AD16" s="468"/>
      <c r="AE16" s="468"/>
      <c r="AF16" s="468"/>
      <c r="AG16" s="476"/>
    </row>
    <row r="17" spans="1:33" s="101" customFormat="1">
      <c r="A17" s="645"/>
      <c r="B17" s="44"/>
      <c r="C17" s="44" t="s">
        <v>1210</v>
      </c>
      <c r="D17" s="125">
        <f>SUM(D16)</f>
        <v>5790365</v>
      </c>
      <c r="E17" s="125">
        <f t="shared" ref="E17:W17" si="2">SUM(E16)</f>
        <v>5790365</v>
      </c>
      <c r="F17" s="125">
        <f t="shared" si="2"/>
        <v>0</v>
      </c>
      <c r="G17" s="125">
        <f t="shared" si="2"/>
        <v>4240365</v>
      </c>
      <c r="H17" s="125">
        <f t="shared" si="2"/>
        <v>3562066.46</v>
      </c>
      <c r="I17" s="125">
        <f t="shared" si="2"/>
        <v>0</v>
      </c>
      <c r="J17" s="125">
        <f t="shared" si="2"/>
        <v>447130</v>
      </c>
      <c r="K17" s="125">
        <f t="shared" si="2"/>
        <v>447130</v>
      </c>
      <c r="L17" s="125">
        <f t="shared" si="2"/>
        <v>4009196.46</v>
      </c>
      <c r="M17" s="125">
        <f t="shared" si="2"/>
        <v>481168.54000000004</v>
      </c>
      <c r="N17" s="125">
        <f t="shared" si="2"/>
        <v>1300000</v>
      </c>
      <c r="O17" s="125">
        <f t="shared" si="2"/>
        <v>0</v>
      </c>
      <c r="P17" s="125">
        <f t="shared" si="2"/>
        <v>231168.54000000004</v>
      </c>
      <c r="Q17" s="125">
        <f t="shared" si="2"/>
        <v>250000</v>
      </c>
      <c r="R17" s="125">
        <f t="shared" si="2"/>
        <v>0</v>
      </c>
      <c r="S17" s="125">
        <f t="shared" si="2"/>
        <v>250000</v>
      </c>
      <c r="T17" s="125">
        <f t="shared" si="2"/>
        <v>0</v>
      </c>
      <c r="U17" s="125">
        <f t="shared" si="2"/>
        <v>1300000</v>
      </c>
      <c r="V17" s="125">
        <f t="shared" si="2"/>
        <v>0</v>
      </c>
      <c r="W17" s="125">
        <f t="shared" si="2"/>
        <v>1300000</v>
      </c>
      <c r="X17" s="125"/>
      <c r="Y17" s="125"/>
      <c r="Z17" s="125"/>
      <c r="AA17" s="620"/>
      <c r="AB17" s="44"/>
      <c r="AC17" s="647"/>
      <c r="AD17" s="647"/>
      <c r="AE17" s="647"/>
      <c r="AF17" s="647"/>
      <c r="AG17" s="648"/>
    </row>
    <row r="18" spans="1:33" s="5" customFormat="1">
      <c r="A18" s="44">
        <f>A16</f>
        <v>10</v>
      </c>
      <c r="B18" s="48" t="s">
        <v>67</v>
      </c>
      <c r="C18" s="260" t="s">
        <v>1194</v>
      </c>
      <c r="D18" s="13">
        <f>D17+D15</f>
        <v>14813365</v>
      </c>
      <c r="E18" s="13">
        <f t="shared" ref="E18:W18" si="3">E17+E15</f>
        <v>13843365</v>
      </c>
      <c r="F18" s="13">
        <f t="shared" si="3"/>
        <v>970000</v>
      </c>
      <c r="G18" s="13">
        <f t="shared" si="3"/>
        <v>8328365</v>
      </c>
      <c r="H18" s="13">
        <f t="shared" si="3"/>
        <v>6323918.96</v>
      </c>
      <c r="I18" s="13">
        <f t="shared" si="3"/>
        <v>0</v>
      </c>
      <c r="J18" s="13">
        <f t="shared" si="3"/>
        <v>660990.71</v>
      </c>
      <c r="K18" s="13">
        <f t="shared" si="3"/>
        <v>660990.71</v>
      </c>
      <c r="L18" s="13">
        <f t="shared" si="3"/>
        <v>6984909.6699999999</v>
      </c>
      <c r="M18" s="13">
        <f t="shared" si="3"/>
        <v>4243455.33</v>
      </c>
      <c r="N18" s="13">
        <f t="shared" si="3"/>
        <v>3120000</v>
      </c>
      <c r="O18" s="13">
        <f t="shared" si="3"/>
        <v>465000</v>
      </c>
      <c r="P18" s="13">
        <f t="shared" si="3"/>
        <v>1343455.33</v>
      </c>
      <c r="Q18" s="13">
        <f t="shared" si="3"/>
        <v>2900000</v>
      </c>
      <c r="R18" s="13">
        <f t="shared" si="3"/>
        <v>0</v>
      </c>
      <c r="S18" s="13">
        <f t="shared" si="3"/>
        <v>2900000</v>
      </c>
      <c r="T18" s="13">
        <f t="shared" si="3"/>
        <v>0</v>
      </c>
      <c r="U18" s="13">
        <f t="shared" si="3"/>
        <v>3120000</v>
      </c>
      <c r="V18" s="13">
        <f t="shared" si="3"/>
        <v>0</v>
      </c>
      <c r="W18" s="13">
        <f t="shared" si="3"/>
        <v>3120000</v>
      </c>
      <c r="X18" s="13">
        <f>SUM(X6:X13)</f>
        <v>0</v>
      </c>
      <c r="Y18" s="13">
        <f>SUM(Y6:Y13)</f>
        <v>0</v>
      </c>
      <c r="Z18" s="13">
        <f>SUM(Z6:Z13)</f>
        <v>0</v>
      </c>
      <c r="AA18" s="23"/>
      <c r="AB18" s="48"/>
      <c r="AC18" s="468"/>
      <c r="AD18" s="468"/>
      <c r="AE18" s="468"/>
      <c r="AF18" s="468"/>
      <c r="AG18" s="468"/>
    </row>
    <row r="19" spans="1:33" s="5" customFormat="1">
      <c r="A19" s="31"/>
      <c r="B19" s="15"/>
      <c r="C19" s="15"/>
      <c r="D19" s="17"/>
      <c r="E19" s="17"/>
      <c r="F19" s="17"/>
      <c r="G19" s="17"/>
      <c r="H19" s="17"/>
      <c r="I19" s="17"/>
      <c r="J19" s="17"/>
      <c r="K19" s="17"/>
      <c r="L19" s="24">
        <f>H18+K18</f>
        <v>6984909.6699999999</v>
      </c>
      <c r="M19" s="24">
        <f>P18+S18-T18</f>
        <v>4243455.33</v>
      </c>
      <c r="N19" s="51"/>
      <c r="O19" s="27"/>
      <c r="P19" s="24">
        <f>G18-L18</f>
        <v>1343455.33</v>
      </c>
      <c r="Q19" s="27"/>
      <c r="R19" s="27"/>
      <c r="S19" s="27"/>
      <c r="T19" s="27"/>
      <c r="U19" s="24">
        <f>N18-T18</f>
        <v>3120000</v>
      </c>
      <c r="V19" s="15"/>
      <c r="W19" s="15"/>
      <c r="X19" s="15"/>
      <c r="Y19" s="15"/>
      <c r="Z19" s="15"/>
      <c r="AA19" s="612"/>
      <c r="AB19" s="15"/>
      <c r="AC19" s="468"/>
      <c r="AD19" s="468"/>
      <c r="AE19" s="468"/>
      <c r="AF19" s="468"/>
      <c r="AG19" s="468"/>
    </row>
    <row r="20" spans="1:33" s="5" customFormat="1">
      <c r="A20" s="31"/>
      <c r="B20" s="15"/>
      <c r="C20" s="15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5"/>
      <c r="V20" s="15"/>
      <c r="W20" s="15"/>
      <c r="X20" s="15"/>
      <c r="Y20" s="15"/>
      <c r="Z20" s="15"/>
      <c r="AA20" s="612"/>
      <c r="AB20" s="15"/>
      <c r="AC20" s="468"/>
      <c r="AD20" s="468"/>
      <c r="AE20" s="468"/>
      <c r="AF20" s="468"/>
      <c r="AG20" s="468"/>
    </row>
    <row r="21" spans="1:33" s="5" customFormat="1">
      <c r="A21" s="31"/>
      <c r="B21" s="15"/>
      <c r="C21" s="15"/>
      <c r="D21" s="17"/>
      <c r="E21" s="17"/>
      <c r="F21" s="17"/>
      <c r="G21" s="17"/>
      <c r="H21" s="17"/>
      <c r="I21" s="17"/>
      <c r="J21" s="17"/>
      <c r="K21" s="17"/>
      <c r="L21" s="17"/>
      <c r="M21" s="27"/>
      <c r="N21" s="27"/>
      <c r="O21" s="27"/>
      <c r="P21" s="31"/>
      <c r="Q21" s="27"/>
      <c r="R21" s="27"/>
      <c r="S21" s="27"/>
      <c r="T21" s="17"/>
      <c r="U21" s="15"/>
      <c r="V21" s="15"/>
      <c r="W21" s="15"/>
      <c r="X21" s="15"/>
      <c r="Y21" s="15"/>
      <c r="Z21" s="15"/>
      <c r="AA21" s="612"/>
      <c r="AB21" s="15"/>
      <c r="AC21" s="468"/>
      <c r="AD21" s="468"/>
      <c r="AE21" s="468"/>
      <c r="AF21" s="468"/>
      <c r="AG21" s="468"/>
    </row>
    <row r="22" spans="1:33" s="5" customFormat="1">
      <c r="A22" s="31"/>
      <c r="B22" s="15"/>
      <c r="C22" s="15"/>
      <c r="D22" s="17"/>
      <c r="E22" s="17"/>
      <c r="F22" s="17"/>
      <c r="G22" s="17"/>
      <c r="H22" s="17"/>
      <c r="I22" s="17"/>
      <c r="J22" s="17"/>
      <c r="K22" s="17"/>
      <c r="L22" s="17"/>
      <c r="M22" s="27"/>
      <c r="N22" s="27"/>
      <c r="O22" s="27"/>
      <c r="P22" s="31"/>
      <c r="Q22" s="31"/>
      <c r="R22" s="27"/>
      <c r="S22" s="31"/>
      <c r="T22" s="17"/>
      <c r="U22" s="15"/>
      <c r="V22" s="15"/>
      <c r="W22" s="15"/>
      <c r="X22" s="15"/>
      <c r="Y22" s="15"/>
      <c r="Z22" s="15"/>
      <c r="AA22" s="612"/>
      <c r="AB22" s="15"/>
      <c r="AC22" s="468"/>
      <c r="AD22" s="468"/>
      <c r="AE22" s="468"/>
      <c r="AF22" s="468"/>
      <c r="AG22" s="468"/>
    </row>
    <row r="23" spans="1:33" s="5" customFormat="1">
      <c r="A23" s="31"/>
      <c r="B23" s="15"/>
      <c r="C23" s="15"/>
      <c r="D23" s="17"/>
      <c r="E23" s="17"/>
      <c r="F23" s="17"/>
      <c r="G23" s="17"/>
      <c r="H23" s="17"/>
      <c r="I23" s="17"/>
      <c r="J23" s="17"/>
      <c r="K23" s="17"/>
      <c r="L23" s="17"/>
      <c r="M23" s="27"/>
      <c r="N23" s="27"/>
      <c r="O23" s="27"/>
      <c r="P23" s="31"/>
      <c r="Q23" s="31"/>
      <c r="R23" s="27"/>
      <c r="S23" s="31"/>
      <c r="T23" s="17"/>
      <c r="U23" s="15"/>
      <c r="V23" s="15"/>
      <c r="W23" s="15"/>
      <c r="X23" s="15"/>
      <c r="Y23" s="15"/>
      <c r="Z23" s="15"/>
      <c r="AA23" s="612"/>
      <c r="AB23" s="15"/>
      <c r="AC23" s="468"/>
      <c r="AD23" s="468"/>
      <c r="AE23" s="468"/>
      <c r="AF23" s="468"/>
      <c r="AG23" s="468"/>
    </row>
    <row r="24" spans="1:33" s="5" customFormat="1">
      <c r="A24" s="31"/>
      <c r="B24" s="15"/>
      <c r="C24" s="15"/>
      <c r="D24" s="17"/>
      <c r="E24" s="17"/>
      <c r="F24" s="17"/>
      <c r="G24" s="17"/>
      <c r="H24" s="17"/>
      <c r="I24" s="17"/>
      <c r="J24" s="17"/>
      <c r="K24" s="17"/>
      <c r="L24" s="17"/>
      <c r="M24" s="27"/>
      <c r="N24" s="27"/>
      <c r="O24" s="27"/>
      <c r="P24" s="31"/>
      <c r="Q24" s="31"/>
      <c r="R24" s="27"/>
      <c r="S24" s="31"/>
      <c r="T24" s="17"/>
      <c r="U24" s="15"/>
      <c r="V24" s="15"/>
      <c r="W24" s="15"/>
      <c r="X24" s="15"/>
      <c r="Y24" s="15"/>
      <c r="Z24" s="15"/>
      <c r="AA24" s="612"/>
      <c r="AB24" s="15"/>
      <c r="AC24" s="468"/>
      <c r="AD24" s="468"/>
      <c r="AE24" s="468"/>
      <c r="AF24" s="468"/>
      <c r="AG24" s="468"/>
    </row>
    <row r="25" spans="1:33" s="5" customFormat="1">
      <c r="A25" s="31"/>
      <c r="B25" s="15"/>
      <c r="C25" s="15"/>
      <c r="D25" s="17"/>
      <c r="E25" s="17"/>
      <c r="F25" s="17"/>
      <c r="G25" s="17"/>
      <c r="H25" s="17"/>
      <c r="I25" s="17"/>
      <c r="J25" s="17"/>
      <c r="K25" s="17"/>
      <c r="L25" s="17"/>
      <c r="M25" s="27"/>
      <c r="N25" s="27"/>
      <c r="O25" s="59"/>
      <c r="P25" s="31"/>
      <c r="Q25" s="30"/>
      <c r="R25" s="27"/>
      <c r="S25" s="31"/>
      <c r="T25" s="17"/>
      <c r="U25" s="15"/>
      <c r="V25" s="15"/>
      <c r="W25" s="15"/>
      <c r="X25" s="15"/>
      <c r="Y25" s="15"/>
      <c r="Z25" s="15"/>
      <c r="AA25" s="612"/>
      <c r="AB25" s="15"/>
      <c r="AC25" s="468"/>
      <c r="AD25" s="468"/>
      <c r="AE25" s="468"/>
      <c r="AF25" s="468"/>
      <c r="AG25" s="468"/>
    </row>
    <row r="26" spans="1:33" s="5" customFormat="1">
      <c r="A26" s="31"/>
      <c r="B26" s="15"/>
      <c r="C26" s="15"/>
      <c r="D26" s="17"/>
      <c r="E26" s="17"/>
      <c r="F26" s="17"/>
      <c r="G26" s="17"/>
      <c r="H26" s="17"/>
      <c r="I26" s="17"/>
      <c r="J26" s="17"/>
      <c r="K26" s="17"/>
      <c r="L26" s="17"/>
      <c r="M26" s="27"/>
      <c r="N26" s="27"/>
      <c r="O26" s="31"/>
      <c r="P26" s="31"/>
      <c r="Q26" s="30"/>
      <c r="R26" s="31"/>
      <c r="S26" s="27"/>
      <c r="T26" s="17"/>
      <c r="U26" s="15"/>
      <c r="V26" s="15"/>
      <c r="W26" s="15"/>
      <c r="X26" s="15"/>
      <c r="Y26" s="15"/>
      <c r="Z26" s="15"/>
      <c r="AA26" s="612"/>
      <c r="AB26" s="15"/>
      <c r="AC26" s="468"/>
      <c r="AD26" s="468"/>
      <c r="AE26" s="468"/>
      <c r="AF26" s="468"/>
      <c r="AG26" s="468"/>
    </row>
    <row r="27" spans="1:33" s="5" customFormat="1">
      <c r="A27" s="31"/>
      <c r="B27" s="15"/>
      <c r="C27" s="15"/>
      <c r="D27" s="17"/>
      <c r="E27" s="17"/>
      <c r="F27" s="17"/>
      <c r="G27" s="17"/>
      <c r="H27" s="17"/>
      <c r="I27" s="17"/>
      <c r="J27" s="17"/>
      <c r="K27" s="17"/>
      <c r="L27" s="17"/>
      <c r="M27" s="27"/>
      <c r="N27" s="27"/>
      <c r="O27" s="27"/>
      <c r="P27" s="31"/>
      <c r="Q27" s="27"/>
      <c r="R27" s="27"/>
      <c r="S27" s="27"/>
      <c r="T27" s="17"/>
      <c r="U27" s="15"/>
      <c r="V27" s="15"/>
      <c r="W27" s="15"/>
      <c r="X27" s="15"/>
      <c r="Y27" s="15"/>
      <c r="Z27" s="15"/>
      <c r="AA27" s="612"/>
      <c r="AB27" s="15"/>
      <c r="AC27" s="468"/>
      <c r="AD27" s="468"/>
      <c r="AE27" s="468"/>
      <c r="AF27" s="468"/>
      <c r="AG27" s="468"/>
    </row>
    <row r="28" spans="1:33">
      <c r="M28" s="27"/>
      <c r="N28" s="27"/>
      <c r="O28" s="27"/>
      <c r="P28" s="31"/>
      <c r="Q28" s="27"/>
      <c r="R28" s="27"/>
      <c r="S28" s="27"/>
    </row>
    <row r="29" spans="1:33">
      <c r="M29" s="27"/>
      <c r="N29" s="27"/>
      <c r="O29" s="27"/>
      <c r="P29" s="31"/>
      <c r="Q29" s="27"/>
      <c r="R29" s="27"/>
      <c r="S29" s="27"/>
    </row>
    <row r="30" spans="1:33">
      <c r="M30" s="27"/>
      <c r="N30" s="27"/>
      <c r="O30" s="27"/>
      <c r="P30" s="27"/>
      <c r="Q30" s="27"/>
      <c r="R30" s="27"/>
      <c r="S30" s="27"/>
    </row>
    <row r="31" spans="1:33">
      <c r="M31" s="27"/>
      <c r="N31" s="27"/>
      <c r="O31" s="27"/>
      <c r="P31" s="27"/>
      <c r="Q31" s="27"/>
      <c r="R31" s="27"/>
      <c r="S31" s="27"/>
    </row>
    <row r="32" spans="1:33">
      <c r="M32" s="27"/>
      <c r="N32" s="27"/>
      <c r="O32" s="27"/>
      <c r="P32" s="27"/>
      <c r="Q32" s="27"/>
      <c r="R32" s="27"/>
      <c r="S32" s="27"/>
    </row>
    <row r="33" spans="1:33">
      <c r="M33" s="27"/>
      <c r="N33" s="27"/>
      <c r="O33" s="27"/>
      <c r="P33" s="27"/>
      <c r="Q33" s="27"/>
      <c r="R33" s="27"/>
      <c r="S33" s="27"/>
    </row>
    <row r="34" spans="1:33">
      <c r="M34" s="27"/>
      <c r="N34" s="27"/>
      <c r="O34" s="27"/>
      <c r="P34" s="27"/>
      <c r="Q34" s="27"/>
      <c r="R34" s="27"/>
      <c r="S34" s="27"/>
    </row>
    <row r="35" spans="1:33" s="17" customFormat="1">
      <c r="A35" s="40"/>
      <c r="B35" s="15"/>
      <c r="C35" s="15"/>
      <c r="M35" s="27"/>
      <c r="N35" s="27"/>
      <c r="O35" s="27"/>
      <c r="P35" s="27"/>
      <c r="Q35" s="27"/>
      <c r="R35" s="27"/>
      <c r="S35" s="27"/>
      <c r="U35" s="15"/>
      <c r="V35" s="15"/>
      <c r="W35" s="15"/>
      <c r="X35" s="15"/>
      <c r="Y35" s="15"/>
      <c r="Z35" s="15"/>
      <c r="AA35" s="612"/>
      <c r="AB35" s="15"/>
      <c r="AC35" s="468"/>
      <c r="AD35" s="468"/>
      <c r="AE35" s="468"/>
      <c r="AF35" s="468"/>
      <c r="AG35" s="468"/>
    </row>
    <row r="36" spans="1:33" s="17" customFormat="1">
      <c r="A36" s="40"/>
      <c r="B36" s="15"/>
      <c r="C36" s="15"/>
      <c r="M36" s="27"/>
      <c r="N36" s="27"/>
      <c r="O36" s="27"/>
      <c r="P36" s="27"/>
      <c r="Q36" s="27"/>
      <c r="R36" s="27"/>
      <c r="S36" s="27"/>
      <c r="U36" s="15"/>
      <c r="V36" s="15"/>
      <c r="W36" s="15"/>
      <c r="X36" s="15"/>
      <c r="Y36" s="15"/>
      <c r="Z36" s="15"/>
      <c r="AA36" s="612"/>
      <c r="AB36" s="15"/>
      <c r="AC36" s="468"/>
      <c r="AD36" s="468"/>
      <c r="AE36" s="468"/>
      <c r="AF36" s="468"/>
      <c r="AG36" s="468"/>
    </row>
    <row r="37" spans="1:33" s="17" customFormat="1">
      <c r="A37" s="40"/>
      <c r="B37" s="15"/>
      <c r="C37" s="15"/>
      <c r="M37" s="27"/>
      <c r="N37" s="27"/>
      <c r="O37" s="27"/>
      <c r="P37" s="27"/>
      <c r="Q37" s="27"/>
      <c r="R37" s="27"/>
      <c r="S37" s="27"/>
      <c r="U37" s="15"/>
      <c r="V37" s="15"/>
      <c r="W37" s="15"/>
      <c r="X37" s="15"/>
      <c r="Y37" s="15"/>
      <c r="Z37" s="15"/>
      <c r="AA37" s="612"/>
      <c r="AB37" s="15"/>
      <c r="AC37" s="468"/>
      <c r="AD37" s="468"/>
      <c r="AE37" s="468"/>
      <c r="AF37" s="468"/>
      <c r="AG37" s="468"/>
    </row>
    <row r="38" spans="1:33" s="17" customFormat="1">
      <c r="A38" s="40"/>
      <c r="B38" s="15"/>
      <c r="C38" s="15"/>
      <c r="M38" s="27"/>
      <c r="N38" s="27"/>
      <c r="O38" s="27"/>
      <c r="P38" s="27"/>
      <c r="Q38" s="27"/>
      <c r="R38" s="27"/>
      <c r="S38" s="27"/>
      <c r="U38" s="15"/>
      <c r="V38" s="15"/>
      <c r="W38" s="15"/>
      <c r="X38" s="15"/>
      <c r="Y38" s="15"/>
      <c r="Z38" s="15"/>
      <c r="AA38" s="612"/>
      <c r="AB38" s="15"/>
      <c r="AC38" s="468"/>
      <c r="AD38" s="468"/>
      <c r="AE38" s="468"/>
      <c r="AF38" s="468"/>
      <c r="AG38" s="468"/>
    </row>
    <row r="39" spans="1:33" s="17" customFormat="1">
      <c r="A39" s="40"/>
      <c r="B39" s="15"/>
      <c r="C39" s="15"/>
      <c r="M39" s="27"/>
      <c r="N39" s="27"/>
      <c r="O39" s="27"/>
      <c r="P39" s="27"/>
      <c r="Q39" s="27"/>
      <c r="R39" s="27"/>
      <c r="S39" s="27"/>
      <c r="U39" s="15"/>
      <c r="V39" s="15"/>
      <c r="W39" s="15"/>
      <c r="X39" s="15"/>
      <c r="Y39" s="15"/>
      <c r="Z39" s="15"/>
      <c r="AA39" s="612"/>
      <c r="AB39" s="15"/>
      <c r="AC39" s="468"/>
      <c r="AD39" s="468"/>
      <c r="AE39" s="468"/>
      <c r="AF39" s="468"/>
      <c r="AG39" s="468"/>
    </row>
    <row r="40" spans="1:33" s="17" customFormat="1">
      <c r="A40" s="40"/>
      <c r="B40" s="15"/>
      <c r="C40" s="15"/>
      <c r="M40" s="27"/>
      <c r="N40" s="27"/>
      <c r="O40" s="27"/>
      <c r="P40" s="27"/>
      <c r="Q40" s="27"/>
      <c r="R40" s="27"/>
      <c r="S40" s="27"/>
      <c r="U40" s="15"/>
      <c r="V40" s="15"/>
      <c r="W40" s="15"/>
      <c r="X40" s="15"/>
      <c r="Y40" s="15"/>
      <c r="Z40" s="15"/>
      <c r="AA40" s="612"/>
      <c r="AB40" s="15"/>
      <c r="AC40" s="468"/>
      <c r="AD40" s="468"/>
      <c r="AE40" s="468"/>
      <c r="AF40" s="468"/>
      <c r="AG40" s="468"/>
    </row>
    <row r="41" spans="1:33" s="17" customFormat="1">
      <c r="A41" s="40"/>
      <c r="B41" s="15"/>
      <c r="C41" s="15"/>
      <c r="M41" s="27"/>
      <c r="N41" s="27"/>
      <c r="O41" s="27"/>
      <c r="P41" s="27"/>
      <c r="Q41" s="27"/>
      <c r="R41" s="27"/>
      <c r="S41" s="27"/>
      <c r="U41" s="15"/>
      <c r="V41" s="15"/>
      <c r="W41" s="15"/>
      <c r="X41" s="15"/>
      <c r="Y41" s="15"/>
      <c r="Z41" s="15"/>
      <c r="AA41" s="612"/>
      <c r="AB41" s="15"/>
      <c r="AC41" s="468"/>
      <c r="AD41" s="468"/>
      <c r="AE41" s="468"/>
      <c r="AF41" s="468"/>
      <c r="AG41" s="468"/>
    </row>
  </sheetData>
  <sheetProtection formatCells="0" formatColumns="0" formatRows="0" insertColumns="0" insertRows="0" insertHyperlinks="0" deleteColumns="0" deleteRows="0" sort="0" autoFilter="0" pivotTables="0"/>
  <sortState ref="A6:AG15">
    <sortCondition ref="AB6:AB15"/>
  </sortState>
  <conditionalFormatting sqref="AG1:XFD2 A1:A2 AG3:AG13 AC1:AC13 AE1:AF13 AC18:AG1048576">
    <cfRule type="cellIs" dxfId="255" priority="7" operator="equal">
      <formula>0</formula>
    </cfRule>
  </conditionalFormatting>
  <conditionalFormatting sqref="AD1:AD13">
    <cfRule type="cellIs" dxfId="254" priority="6" operator="equal">
      <formula>0</formula>
    </cfRule>
  </conditionalFormatting>
  <conditionalFormatting sqref="AC14:AC15 AE14:AG15">
    <cfRule type="cellIs" dxfId="253" priority="5" operator="equal">
      <formula>0</formula>
    </cfRule>
  </conditionalFormatting>
  <conditionalFormatting sqref="AD14:AD15">
    <cfRule type="cellIs" dxfId="252" priority="4" operator="equal">
      <formula>0</formula>
    </cfRule>
  </conditionalFormatting>
  <conditionalFormatting sqref="AE16:AF17 AC16:AC17">
    <cfRule type="cellIs" dxfId="251" priority="3" operator="equal">
      <formula>0</formula>
    </cfRule>
  </conditionalFormatting>
  <conditionalFormatting sqref="AG16:AG17">
    <cfRule type="cellIs" dxfId="250" priority="2" operator="equal">
      <formula>0</formula>
    </cfRule>
  </conditionalFormatting>
  <conditionalFormatting sqref="AD16:AD17">
    <cfRule type="cellIs" dxfId="249" priority="1" operator="equal">
      <formula>0</formula>
    </cfRule>
  </conditionalFormatting>
  <printOptions horizontalCentered="1"/>
  <pageMargins left="0" right="0" top="0.94488188976377963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2"/>
  <sheetViews>
    <sheetView rightToLeft="1" topLeftCell="A10" workbookViewId="0">
      <selection activeCell="T20" sqref="T20"/>
    </sheetView>
  </sheetViews>
  <sheetFormatPr defaultColWidth="9.1796875" defaultRowHeight="14"/>
  <cols>
    <col min="1" max="3" width="4.1796875" style="353" customWidth="1"/>
    <col min="4" max="4" width="34.81640625" style="353" customWidth="1"/>
    <col min="5" max="5" width="30.453125" style="353" customWidth="1"/>
    <col min="6" max="6" width="10.81640625" style="353" customWidth="1"/>
    <col min="7" max="7" width="5.54296875" style="353" customWidth="1"/>
    <col min="8" max="9" width="12.1796875" style="353" customWidth="1"/>
    <col min="10" max="10" width="7.81640625" style="353" customWidth="1"/>
    <col min="11" max="16384" width="9.1796875" style="353"/>
  </cols>
  <sheetData>
    <row r="3" spans="1:17" ht="20.5">
      <c r="A3" s="352"/>
      <c r="C3" s="354" t="s">
        <v>362</v>
      </c>
      <c r="D3" s="352"/>
      <c r="E3" s="352"/>
      <c r="F3" s="352"/>
      <c r="G3" s="352"/>
      <c r="H3" s="352"/>
      <c r="I3" s="352"/>
      <c r="J3" s="352"/>
      <c r="K3" s="352"/>
      <c r="L3" s="352"/>
    </row>
    <row r="4" spans="1:17" ht="20.5">
      <c r="A4" s="352"/>
      <c r="C4" s="354"/>
      <c r="D4" s="352"/>
      <c r="E4" s="352"/>
      <c r="F4" s="352"/>
      <c r="G4" s="352"/>
      <c r="H4" s="352"/>
      <c r="I4" s="352"/>
      <c r="J4" s="352"/>
      <c r="K4" s="352"/>
      <c r="L4" s="352"/>
    </row>
    <row r="5" spans="1:17" ht="15.5">
      <c r="A5" s="352"/>
      <c r="C5" s="352" t="s">
        <v>568</v>
      </c>
      <c r="D5" s="352"/>
      <c r="E5" s="352"/>
      <c r="F5" s="352"/>
      <c r="G5" s="352"/>
      <c r="H5" s="352"/>
      <c r="I5" s="352"/>
      <c r="J5" s="352"/>
      <c r="K5" s="352"/>
      <c r="L5" s="352"/>
    </row>
    <row r="6" spans="1:17" ht="16" thickBot="1">
      <c r="A6" s="352"/>
      <c r="C6" s="352"/>
      <c r="D6" s="352"/>
      <c r="E6" s="352"/>
      <c r="F6" s="352"/>
      <c r="G6" s="352"/>
      <c r="H6" s="352"/>
      <c r="I6" s="352"/>
      <c r="J6" s="352"/>
      <c r="K6" s="352"/>
      <c r="L6" s="352"/>
    </row>
    <row r="7" spans="1:17" ht="16" thickBot="1">
      <c r="A7" s="352"/>
      <c r="B7" s="355" t="s">
        <v>344</v>
      </c>
      <c r="C7" s="352" t="s">
        <v>1205</v>
      </c>
      <c r="D7" s="352"/>
      <c r="E7" s="352"/>
      <c r="F7" s="356">
        <f>'תקציב אגף שאיפה  2019'!U49</f>
        <v>36405000</v>
      </c>
      <c r="I7" s="352"/>
      <c r="J7" s="352"/>
      <c r="K7" s="352"/>
      <c r="L7" s="352"/>
    </row>
    <row r="8" spans="1:17" ht="21" thickBot="1">
      <c r="A8" s="352"/>
      <c r="C8" s="354"/>
      <c r="D8" s="352"/>
      <c r="E8" s="352"/>
      <c r="F8" s="352"/>
      <c r="H8" s="352"/>
      <c r="I8" s="352"/>
      <c r="J8" s="352"/>
      <c r="K8" s="352"/>
      <c r="L8" s="352"/>
    </row>
    <row r="9" spans="1:17" ht="16" thickBot="1">
      <c r="B9" s="355" t="s">
        <v>344</v>
      </c>
      <c r="C9" s="352" t="s">
        <v>606</v>
      </c>
      <c r="D9" s="352"/>
      <c r="F9" s="364">
        <f>'תקציב אגף שאיפה  2019'!A49</f>
        <v>42</v>
      </c>
      <c r="I9" s="352"/>
      <c r="J9" s="352"/>
      <c r="K9" s="352"/>
      <c r="L9" s="352"/>
      <c r="M9" s="352"/>
      <c r="N9" s="352"/>
      <c r="O9" s="352"/>
      <c r="P9" s="352"/>
      <c r="Q9" s="352"/>
    </row>
    <row r="10" spans="1:17" ht="15.5">
      <c r="B10" s="355"/>
      <c r="C10" s="352"/>
      <c r="D10" s="352"/>
      <c r="F10" s="358"/>
      <c r="I10" s="352"/>
      <c r="J10" s="352"/>
      <c r="K10" s="352"/>
      <c r="L10" s="352"/>
      <c r="M10" s="352"/>
      <c r="N10" s="352"/>
      <c r="O10" s="352"/>
      <c r="P10" s="352"/>
      <c r="Q10" s="352"/>
    </row>
    <row r="11" spans="1:17" ht="15.5">
      <c r="B11" s="355"/>
      <c r="C11" s="352"/>
      <c r="D11" s="352"/>
      <c r="F11" s="358"/>
      <c r="I11" s="352"/>
      <c r="J11" s="352"/>
      <c r="K11" s="352"/>
      <c r="L11" s="352"/>
      <c r="M11" s="352"/>
      <c r="N11" s="352"/>
      <c r="O11" s="352"/>
      <c r="P11" s="352"/>
      <c r="Q11" s="352"/>
    </row>
    <row r="12" spans="1:17" ht="15.5">
      <c r="B12" s="355" t="s">
        <v>344</v>
      </c>
      <c r="C12" s="352" t="s">
        <v>547</v>
      </c>
      <c r="D12" s="352"/>
      <c r="E12" s="352"/>
      <c r="F12" s="352"/>
      <c r="G12" s="352"/>
      <c r="H12" s="352"/>
      <c r="I12" s="352"/>
      <c r="J12" s="352"/>
      <c r="K12" s="352"/>
      <c r="L12" s="352"/>
    </row>
    <row r="13" spans="1:17" ht="16" thickBot="1">
      <c r="B13" s="352"/>
      <c r="C13" s="352"/>
      <c r="D13" s="352"/>
      <c r="E13" s="352"/>
      <c r="F13" s="352"/>
      <c r="G13" s="352"/>
      <c r="H13" s="352"/>
      <c r="I13" s="352"/>
      <c r="J13" s="352"/>
      <c r="K13" s="352"/>
      <c r="L13" s="352"/>
      <c r="M13" s="352"/>
      <c r="N13" s="352"/>
      <c r="O13" s="352"/>
      <c r="P13" s="352"/>
      <c r="Q13" s="352"/>
    </row>
    <row r="14" spans="1:17" ht="15.5">
      <c r="D14" s="365" t="s">
        <v>548</v>
      </c>
      <c r="E14" s="366" t="s">
        <v>549</v>
      </c>
      <c r="F14" s="367" t="s">
        <v>551</v>
      </c>
      <c r="G14" s="352"/>
      <c r="H14" s="352"/>
      <c r="I14" s="352"/>
      <c r="J14" s="352"/>
      <c r="K14" s="352"/>
      <c r="L14" s="352"/>
      <c r="M14" s="352"/>
      <c r="N14" s="352"/>
      <c r="O14" s="352"/>
      <c r="P14" s="352"/>
      <c r="Q14" s="352"/>
    </row>
    <row r="15" spans="1:17" ht="15.5">
      <c r="C15" s="355"/>
      <c r="D15" s="359" t="s">
        <v>13</v>
      </c>
      <c r="E15" s="368">
        <f>'תקציב אגף שאיפה  2019'!V49</f>
        <v>10365000</v>
      </c>
      <c r="F15" s="376">
        <f>E15/$E$18</f>
        <v>0.28471363823650597</v>
      </c>
      <c r="G15" s="352"/>
      <c r="H15" s="352"/>
      <c r="I15" s="352"/>
      <c r="J15" s="352"/>
      <c r="K15" s="352"/>
      <c r="L15" s="352"/>
      <c r="M15" s="352"/>
      <c r="N15" s="352"/>
      <c r="O15" s="352"/>
      <c r="P15" s="352"/>
      <c r="Q15" s="352"/>
    </row>
    <row r="16" spans="1:17" ht="15.5">
      <c r="C16" s="355"/>
      <c r="D16" s="359" t="s">
        <v>14</v>
      </c>
      <c r="E16" s="368">
        <f>'תקציב אגף שאיפה  2019'!W49</f>
        <v>8550000</v>
      </c>
      <c r="F16" s="376">
        <f>E16/$E$18</f>
        <v>0.23485784919653893</v>
      </c>
      <c r="G16" s="352"/>
      <c r="H16" s="352"/>
      <c r="I16" s="352"/>
      <c r="J16" s="352"/>
      <c r="K16" s="352"/>
      <c r="L16" s="352"/>
      <c r="M16" s="352"/>
      <c r="N16" s="352"/>
      <c r="O16" s="352"/>
      <c r="P16" s="352"/>
      <c r="Q16" s="352"/>
    </row>
    <row r="17" spans="1:17" ht="15.5">
      <c r="C17" s="355"/>
      <c r="D17" s="359" t="s">
        <v>140</v>
      </c>
      <c r="E17" s="368">
        <f>'תקציב אגף שאיפה  2019'!Z49</f>
        <v>17490000</v>
      </c>
      <c r="F17" s="376">
        <f>E17/$E$18</f>
        <v>0.48042851256695507</v>
      </c>
      <c r="G17" s="352"/>
      <c r="H17" s="352"/>
      <c r="I17" s="352"/>
      <c r="J17" s="352"/>
      <c r="K17" s="352"/>
      <c r="L17" s="352"/>
      <c r="M17" s="352"/>
      <c r="N17" s="352"/>
      <c r="O17" s="352"/>
      <c r="P17" s="352"/>
      <c r="Q17" s="352"/>
    </row>
    <row r="18" spans="1:17" ht="16" thickBot="1">
      <c r="C18" s="355"/>
      <c r="D18" s="362" t="s">
        <v>160</v>
      </c>
      <c r="E18" s="370">
        <f>SUM(E15:E17)</f>
        <v>36405000</v>
      </c>
      <c r="F18" s="219">
        <f>SUM(F15:F17)</f>
        <v>1</v>
      </c>
      <c r="G18" s="352"/>
      <c r="H18" s="352"/>
      <c r="I18" s="352"/>
      <c r="J18" s="352"/>
      <c r="K18" s="352"/>
      <c r="L18" s="352"/>
      <c r="M18" s="352"/>
      <c r="N18" s="352"/>
      <c r="O18" s="352"/>
      <c r="P18" s="352"/>
      <c r="Q18" s="352"/>
    </row>
    <row r="19" spans="1:17" ht="15.5">
      <c r="C19" s="355"/>
      <c r="D19" s="358"/>
      <c r="E19" s="379"/>
      <c r="F19" s="383"/>
      <c r="G19" s="352"/>
      <c r="H19" s="352"/>
      <c r="I19" s="352"/>
      <c r="J19" s="352"/>
      <c r="K19" s="352"/>
      <c r="L19" s="352"/>
      <c r="M19" s="352"/>
      <c r="N19" s="352"/>
      <c r="O19" s="352"/>
      <c r="P19" s="352"/>
      <c r="Q19" s="352"/>
    </row>
    <row r="20" spans="1:17" ht="15.5">
      <c r="C20" s="355"/>
      <c r="D20" s="358"/>
      <c r="E20" s="379"/>
      <c r="F20" s="383"/>
      <c r="G20" s="352"/>
      <c r="H20" s="352"/>
      <c r="I20" s="352"/>
      <c r="J20" s="352"/>
      <c r="K20" s="352"/>
      <c r="L20" s="352"/>
      <c r="M20" s="352"/>
      <c r="N20" s="352"/>
      <c r="O20" s="352"/>
      <c r="P20" s="352"/>
      <c r="Q20" s="352"/>
    </row>
    <row r="21" spans="1:17" ht="15.5">
      <c r="B21" s="355"/>
      <c r="C21" s="352"/>
      <c r="D21" s="352"/>
      <c r="E21" s="352"/>
      <c r="F21" s="352"/>
      <c r="G21" s="352"/>
      <c r="H21" s="352"/>
      <c r="I21" s="352"/>
      <c r="J21" s="352"/>
      <c r="K21" s="352"/>
      <c r="L21" s="352"/>
      <c r="M21" s="352"/>
      <c r="N21" s="352"/>
      <c r="O21" s="352"/>
      <c r="P21" s="352"/>
      <c r="Q21" s="352"/>
    </row>
    <row r="22" spans="1:17" ht="20.5">
      <c r="C22" s="352"/>
      <c r="D22" s="638"/>
      <c r="E22" s="352"/>
      <c r="F22" s="352"/>
      <c r="H22" s="352"/>
      <c r="I22" s="352"/>
      <c r="J22" s="352"/>
      <c r="K22" s="352"/>
      <c r="L22" s="352"/>
    </row>
    <row r="23" spans="1:17" s="628" customFormat="1" ht="15.5">
      <c r="C23" s="630" t="s">
        <v>344</v>
      </c>
      <c r="D23" s="627" t="s">
        <v>1478</v>
      </c>
      <c r="E23" s="627"/>
      <c r="F23" s="627"/>
      <c r="G23" s="627"/>
      <c r="H23" s="627"/>
      <c r="I23" s="627"/>
      <c r="J23" s="627"/>
      <c r="K23" s="627"/>
      <c r="L23" s="627"/>
      <c r="M23" s="627"/>
      <c r="N23" s="627"/>
      <c r="O23" s="627"/>
      <c r="P23" s="627"/>
      <c r="Q23" s="627"/>
    </row>
    <row r="24" spans="1:17" s="628" customFormat="1" ht="15.5">
      <c r="A24" s="627"/>
      <c r="B24" s="627"/>
      <c r="C24" s="627"/>
      <c r="D24" s="627"/>
      <c r="E24" s="627"/>
      <c r="F24" s="627"/>
      <c r="G24" s="627"/>
      <c r="H24" s="627"/>
      <c r="I24" s="627"/>
      <c r="J24" s="627"/>
      <c r="K24" s="627"/>
      <c r="L24" s="627"/>
      <c r="M24" s="627"/>
      <c r="N24" s="627"/>
      <c r="O24" s="627"/>
      <c r="P24" s="627"/>
      <c r="Q24" s="627"/>
    </row>
    <row r="25" spans="1:17" s="628" customFormat="1" ht="15.5">
      <c r="A25" s="627"/>
      <c r="B25" s="627"/>
      <c r="C25" s="627"/>
      <c r="D25" s="627" t="s">
        <v>1222</v>
      </c>
      <c r="E25" s="627"/>
      <c r="F25" s="627"/>
      <c r="G25" s="627"/>
      <c r="H25" s="627"/>
      <c r="I25" s="627"/>
      <c r="J25" s="627"/>
      <c r="K25" s="627"/>
      <c r="L25" s="627"/>
      <c r="M25" s="627"/>
      <c r="N25" s="627"/>
      <c r="O25" s="627"/>
      <c r="P25" s="627"/>
      <c r="Q25" s="627"/>
    </row>
    <row r="26" spans="1:17" s="628" customFormat="1" ht="15.5">
      <c r="A26" s="627"/>
      <c r="B26" s="627"/>
      <c r="C26" s="627"/>
      <c r="D26" s="627"/>
      <c r="E26" s="627"/>
      <c r="F26" s="627"/>
      <c r="G26" s="627"/>
      <c r="H26" s="627"/>
      <c r="I26" s="627"/>
      <c r="J26" s="627"/>
      <c r="K26" s="627"/>
      <c r="L26" s="627"/>
      <c r="M26" s="627"/>
      <c r="N26" s="627"/>
      <c r="O26" s="627"/>
      <c r="P26" s="627"/>
      <c r="Q26" s="627"/>
    </row>
    <row r="27" spans="1:17" s="628" customFormat="1" ht="15.5">
      <c r="A27" s="627"/>
      <c r="B27" s="627"/>
      <c r="C27" s="627"/>
      <c r="D27" s="627" t="s">
        <v>1220</v>
      </c>
      <c r="E27" s="627"/>
      <c r="F27" s="627"/>
      <c r="G27" s="627"/>
      <c r="H27" s="627"/>
      <c r="I27" s="627"/>
      <c r="J27" s="627"/>
      <c r="K27" s="627"/>
      <c r="L27" s="627"/>
      <c r="M27" s="627"/>
      <c r="N27" s="627"/>
      <c r="O27" s="627"/>
      <c r="P27" s="627"/>
      <c r="Q27" s="627"/>
    </row>
    <row r="28" spans="1:17" ht="15.5">
      <c r="B28" s="355"/>
      <c r="C28" s="352"/>
      <c r="D28" s="352"/>
      <c r="E28" s="352"/>
      <c r="F28" s="352"/>
      <c r="G28" s="352"/>
      <c r="H28" s="352"/>
      <c r="I28" s="352"/>
      <c r="J28" s="352"/>
      <c r="K28" s="352"/>
      <c r="L28" s="352"/>
      <c r="M28" s="352"/>
      <c r="N28" s="352"/>
      <c r="O28" s="352"/>
      <c r="P28" s="352"/>
      <c r="Q28" s="352"/>
    </row>
    <row r="29" spans="1:17" ht="15.5">
      <c r="B29" s="355"/>
      <c r="C29" s="352"/>
      <c r="D29" s="627" t="s">
        <v>1221</v>
      </c>
      <c r="E29" s="352"/>
      <c r="F29" s="352"/>
      <c r="G29" s="352"/>
      <c r="H29" s="352"/>
      <c r="I29" s="352"/>
      <c r="J29" s="352"/>
      <c r="K29" s="352"/>
      <c r="L29" s="352"/>
      <c r="M29" s="352"/>
      <c r="N29" s="352"/>
      <c r="O29" s="352"/>
      <c r="P29" s="352"/>
      <c r="Q29" s="352"/>
    </row>
    <row r="32" spans="1:17" s="685" customFormat="1" ht="15.5">
      <c r="C32" s="686" t="s">
        <v>344</v>
      </c>
      <c r="D32" s="687" t="s">
        <v>1539</v>
      </c>
      <c r="E32" s="687"/>
      <c r="F32" s="687"/>
      <c r="G32" s="687"/>
      <c r="H32" s="687"/>
      <c r="I32" s="687"/>
      <c r="J32" s="687"/>
      <c r="K32" s="687"/>
      <c r="L32" s="687"/>
      <c r="M32" s="687"/>
      <c r="N32" s="687"/>
      <c r="O32" s="687"/>
      <c r="P32" s="687"/>
      <c r="Q32" s="687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5"/>
  <sheetViews>
    <sheetView rightToLeft="1" topLeftCell="A4" workbookViewId="0">
      <selection activeCell="T20" sqref="T20"/>
    </sheetView>
  </sheetViews>
  <sheetFormatPr defaultColWidth="9.1796875" defaultRowHeight="14"/>
  <cols>
    <col min="1" max="3" width="4.1796875" style="353" customWidth="1"/>
    <col min="4" max="4" width="34.81640625" style="353" customWidth="1"/>
    <col min="5" max="5" width="30.453125" style="353" customWidth="1"/>
    <col min="6" max="6" width="10.81640625" style="353" customWidth="1"/>
    <col min="7" max="7" width="5.54296875" style="353" customWidth="1"/>
    <col min="8" max="9" width="12.1796875" style="353" customWidth="1"/>
    <col min="10" max="10" width="7.81640625" style="353" customWidth="1"/>
    <col min="11" max="16384" width="9.1796875" style="353"/>
  </cols>
  <sheetData>
    <row r="3" spans="1:17" ht="20.5">
      <c r="A3" s="352"/>
      <c r="C3" s="354" t="s">
        <v>362</v>
      </c>
      <c r="D3" s="352"/>
      <c r="E3" s="352"/>
      <c r="F3" s="352"/>
      <c r="G3" s="352"/>
      <c r="H3" s="352"/>
      <c r="I3" s="352"/>
      <c r="J3" s="352"/>
      <c r="K3" s="352"/>
      <c r="L3" s="352"/>
    </row>
    <row r="4" spans="1:17" ht="20.5">
      <c r="A4" s="352"/>
      <c r="C4" s="354"/>
      <c r="D4" s="352"/>
      <c r="E4" s="352"/>
      <c r="F4" s="352"/>
      <c r="G4" s="352"/>
      <c r="H4" s="352"/>
      <c r="I4" s="352"/>
      <c r="J4" s="352"/>
      <c r="K4" s="352"/>
      <c r="L4" s="352"/>
    </row>
    <row r="5" spans="1:17" ht="15.5">
      <c r="C5" s="355"/>
      <c r="D5" s="358"/>
      <c r="E5" s="379"/>
      <c r="F5" s="383"/>
      <c r="G5" s="352"/>
      <c r="H5" s="352"/>
      <c r="I5" s="352"/>
      <c r="J5" s="352"/>
      <c r="K5" s="352"/>
      <c r="L5" s="352"/>
      <c r="M5" s="352"/>
      <c r="N5" s="352"/>
      <c r="O5" s="352"/>
      <c r="P5" s="352"/>
      <c r="Q5" s="352"/>
    </row>
    <row r="6" spans="1:17" ht="15.5">
      <c r="C6" s="355"/>
      <c r="D6" s="358"/>
      <c r="E6" s="379"/>
      <c r="F6" s="383"/>
      <c r="G6" s="352"/>
      <c r="H6" s="352"/>
      <c r="I6" s="352"/>
      <c r="J6" s="352"/>
      <c r="K6" s="352"/>
      <c r="L6" s="352"/>
      <c r="M6" s="352"/>
      <c r="N6" s="352"/>
      <c r="O6" s="352"/>
      <c r="P6" s="352"/>
      <c r="Q6" s="352"/>
    </row>
    <row r="7" spans="1:17" ht="15.5">
      <c r="B7" s="355"/>
      <c r="C7" s="352"/>
      <c r="D7" s="352"/>
      <c r="E7" s="352"/>
      <c r="F7" s="352"/>
      <c r="G7" s="352"/>
      <c r="H7" s="352"/>
      <c r="I7" s="352"/>
      <c r="J7" s="352"/>
      <c r="K7" s="352"/>
      <c r="L7" s="352"/>
      <c r="M7" s="352"/>
      <c r="N7" s="352"/>
      <c r="O7" s="352"/>
      <c r="P7" s="352"/>
      <c r="Q7" s="352"/>
    </row>
    <row r="8" spans="1:17" ht="15.5">
      <c r="B8" s="355" t="s">
        <v>344</v>
      </c>
      <c r="C8" s="352" t="s">
        <v>1200</v>
      </c>
      <c r="D8" s="352"/>
      <c r="F8" s="352"/>
      <c r="H8" s="361"/>
      <c r="I8" s="352"/>
      <c r="J8" s="352"/>
      <c r="K8" s="352"/>
      <c r="L8" s="352"/>
      <c r="M8" s="352"/>
      <c r="N8" s="352"/>
      <c r="O8" s="352"/>
      <c r="P8" s="352"/>
      <c r="Q8" s="352"/>
    </row>
    <row r="9" spans="1:17" ht="15.5">
      <c r="B9" s="355"/>
      <c r="C9" s="352"/>
      <c r="D9" s="352" t="s">
        <v>1464</v>
      </c>
      <c r="E9" s="352"/>
      <c r="F9" s="352"/>
      <c r="G9" s="352"/>
      <c r="I9" s="352"/>
      <c r="J9" s="352"/>
      <c r="K9" s="352"/>
      <c r="L9" s="352"/>
      <c r="M9" s="352"/>
      <c r="N9" s="352"/>
      <c r="O9" s="352"/>
      <c r="P9" s="352"/>
      <c r="Q9" s="352"/>
    </row>
    <row r="10" spans="1:17" ht="15.5">
      <c r="B10" s="355"/>
      <c r="C10" s="352"/>
      <c r="D10" s="352" t="s">
        <v>1463</v>
      </c>
      <c r="E10" s="352"/>
      <c r="F10" s="352"/>
      <c r="G10" s="352"/>
      <c r="I10" s="352"/>
      <c r="J10" s="352"/>
      <c r="K10" s="352"/>
      <c r="L10" s="352"/>
      <c r="M10" s="352"/>
      <c r="N10" s="352"/>
      <c r="O10" s="352"/>
      <c r="P10" s="352"/>
      <c r="Q10" s="352"/>
    </row>
    <row r="11" spans="1:17" ht="15.5">
      <c r="B11" s="355"/>
      <c r="C11" s="352"/>
      <c r="D11" s="352" t="s">
        <v>1465</v>
      </c>
      <c r="E11" s="352"/>
      <c r="F11" s="352"/>
      <c r="G11" s="352"/>
      <c r="H11" s="352"/>
      <c r="I11" s="352"/>
      <c r="J11" s="352"/>
      <c r="K11" s="352"/>
      <c r="L11" s="352"/>
      <c r="M11" s="352"/>
      <c r="N11" s="352"/>
      <c r="O11" s="352"/>
      <c r="P11" s="352"/>
      <c r="Q11" s="352"/>
    </row>
    <row r="12" spans="1:17" ht="15.5">
      <c r="D12" s="352" t="s">
        <v>1466</v>
      </c>
      <c r="E12" s="352"/>
    </row>
    <row r="13" spans="1:17" ht="15.5">
      <c r="B13" s="355"/>
      <c r="C13" s="352"/>
      <c r="D13" s="352" t="s">
        <v>1467</v>
      </c>
      <c r="E13" s="352"/>
      <c r="F13" s="352"/>
      <c r="G13" s="352"/>
      <c r="H13" s="352"/>
      <c r="I13" s="352"/>
      <c r="J13" s="352"/>
      <c r="K13" s="352"/>
      <c r="L13" s="352"/>
      <c r="M13" s="352"/>
      <c r="N13" s="352"/>
      <c r="O13" s="352"/>
      <c r="P13" s="352"/>
      <c r="Q13" s="352"/>
    </row>
    <row r="14" spans="1:17" ht="15.5">
      <c r="B14" s="355"/>
      <c r="C14" s="352"/>
      <c r="E14" s="352"/>
      <c r="F14" s="352"/>
      <c r="G14" s="352"/>
      <c r="H14" s="352"/>
      <c r="I14" s="352"/>
      <c r="J14" s="352"/>
      <c r="K14" s="352"/>
      <c r="L14" s="352"/>
      <c r="M14" s="352"/>
      <c r="N14" s="352"/>
      <c r="O14" s="352"/>
      <c r="P14" s="352"/>
      <c r="Q14" s="352"/>
    </row>
    <row r="15" spans="1:17" ht="15.5">
      <c r="B15" s="355"/>
      <c r="C15" s="352"/>
      <c r="D15" s="352"/>
      <c r="E15" s="352"/>
      <c r="F15" s="352"/>
      <c r="G15" s="352"/>
      <c r="H15" s="352"/>
      <c r="I15" s="352"/>
      <c r="J15" s="352"/>
      <c r="K15" s="352"/>
      <c r="L15" s="352"/>
      <c r="M15" s="352"/>
      <c r="N15" s="352"/>
      <c r="O15" s="352"/>
      <c r="P15" s="352"/>
      <c r="Q15" s="352"/>
    </row>
    <row r="16" spans="1:17" ht="15.5">
      <c r="B16" s="355"/>
      <c r="C16" s="352"/>
      <c r="D16" s="352"/>
      <c r="E16" s="352"/>
      <c r="F16" s="352"/>
      <c r="G16" s="352"/>
      <c r="H16" s="352"/>
      <c r="I16" s="352"/>
      <c r="J16" s="352"/>
      <c r="K16" s="352"/>
      <c r="L16" s="352"/>
      <c r="M16" s="352"/>
      <c r="N16" s="352"/>
      <c r="O16" s="352"/>
      <c r="P16" s="352"/>
      <c r="Q16" s="352"/>
    </row>
    <row r="17" spans="2:17" ht="15.5">
      <c r="B17" s="355"/>
      <c r="C17" s="352"/>
      <c r="D17" s="668" t="s">
        <v>1233</v>
      </c>
      <c r="E17" s="352"/>
      <c r="F17" s="352"/>
      <c r="G17" s="352"/>
      <c r="H17" s="352"/>
      <c r="I17" s="352"/>
      <c r="J17" s="352"/>
      <c r="K17" s="352"/>
      <c r="L17" s="352"/>
      <c r="M17" s="352"/>
      <c r="N17" s="352"/>
      <c r="O17" s="352"/>
      <c r="P17" s="352"/>
      <c r="Q17" s="352"/>
    </row>
    <row r="18" spans="2:17" ht="15.5">
      <c r="B18" s="355"/>
      <c r="C18" s="352"/>
      <c r="D18" s="352"/>
      <c r="E18" s="352"/>
      <c r="F18" s="352"/>
      <c r="G18" s="352"/>
      <c r="H18" s="352"/>
      <c r="I18" s="352"/>
      <c r="J18" s="352"/>
      <c r="K18" s="352"/>
      <c r="L18" s="352"/>
      <c r="M18" s="352"/>
      <c r="N18" s="352"/>
      <c r="O18" s="352"/>
      <c r="P18" s="352"/>
      <c r="Q18" s="352"/>
    </row>
    <row r="19" spans="2:17" ht="15.5">
      <c r="B19" s="355"/>
      <c r="C19" s="352"/>
      <c r="D19" s="352"/>
      <c r="E19" s="352"/>
      <c r="F19" s="352"/>
      <c r="G19" s="352"/>
      <c r="H19" s="352"/>
      <c r="I19" s="352"/>
      <c r="J19" s="352"/>
      <c r="K19" s="352"/>
      <c r="L19" s="352"/>
      <c r="M19" s="352"/>
      <c r="N19" s="352"/>
      <c r="O19" s="352"/>
      <c r="P19" s="352"/>
      <c r="Q19" s="352"/>
    </row>
    <row r="20" spans="2:17" ht="15.5">
      <c r="B20" s="355"/>
      <c r="C20" s="352"/>
      <c r="D20" s="352"/>
      <c r="E20" s="352"/>
      <c r="F20" s="352"/>
      <c r="G20" s="352"/>
      <c r="H20" s="352"/>
      <c r="I20" s="352"/>
      <c r="J20" s="352"/>
      <c r="K20" s="352"/>
      <c r="L20" s="352"/>
      <c r="M20" s="352"/>
      <c r="N20" s="352"/>
      <c r="O20" s="352"/>
      <c r="P20" s="352"/>
      <c r="Q20" s="352"/>
    </row>
    <row r="21" spans="2:17" ht="15.5">
      <c r="B21" s="355"/>
      <c r="C21" s="352"/>
      <c r="D21" s="352"/>
      <c r="E21" s="352"/>
      <c r="F21" s="352"/>
      <c r="G21" s="352"/>
      <c r="H21" s="352"/>
      <c r="I21" s="352"/>
      <c r="J21" s="352"/>
      <c r="K21" s="352"/>
      <c r="L21" s="352"/>
      <c r="M21" s="352"/>
      <c r="N21" s="352"/>
      <c r="O21" s="352"/>
      <c r="P21" s="352"/>
      <c r="Q21" s="352"/>
    </row>
    <row r="22" spans="2:17" ht="15.5">
      <c r="B22" s="355"/>
      <c r="C22" s="352"/>
      <c r="D22" s="352"/>
      <c r="E22" s="352"/>
      <c r="F22" s="352"/>
      <c r="G22" s="352"/>
      <c r="H22" s="352"/>
      <c r="I22" s="352"/>
      <c r="J22" s="352"/>
      <c r="K22" s="352"/>
      <c r="L22" s="352"/>
      <c r="M22" s="352"/>
      <c r="N22" s="352"/>
      <c r="O22" s="352"/>
      <c r="P22" s="352"/>
      <c r="Q22" s="352"/>
    </row>
    <row r="23" spans="2:17" ht="15.5">
      <c r="B23" s="355"/>
      <c r="C23" s="352"/>
      <c r="D23" s="352"/>
      <c r="E23" s="352"/>
      <c r="F23" s="352"/>
      <c r="G23" s="352"/>
      <c r="H23" s="352"/>
      <c r="I23" s="352"/>
      <c r="J23" s="352"/>
      <c r="K23" s="352"/>
      <c r="L23" s="352"/>
      <c r="M23" s="352"/>
      <c r="N23" s="352"/>
      <c r="O23" s="352"/>
      <c r="P23" s="352"/>
      <c r="Q23" s="352"/>
    </row>
    <row r="24" spans="2:17" ht="15.5">
      <c r="B24" s="355"/>
      <c r="C24" s="352"/>
      <c r="D24" s="352"/>
      <c r="E24" s="352"/>
      <c r="F24" s="352"/>
      <c r="G24" s="352"/>
      <c r="H24" s="352"/>
      <c r="I24" s="352"/>
      <c r="J24" s="352"/>
      <c r="K24" s="352"/>
      <c r="L24" s="352"/>
      <c r="M24" s="352"/>
      <c r="N24" s="352"/>
      <c r="O24" s="352"/>
      <c r="P24" s="352"/>
      <c r="Q24" s="352"/>
    </row>
    <row r="35" spans="4:4" ht="15.5">
      <c r="D35" s="352" t="s">
        <v>1234</v>
      </c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M63"/>
  <sheetViews>
    <sheetView showZeros="0" rightToLeft="1" zoomScaleNormal="100" workbookViewId="0">
      <pane xSplit="3" ySplit="5" topLeftCell="D45" activePane="bottomRight" state="frozen"/>
      <selection activeCell="T20" sqref="T20"/>
      <selection pane="topRight" activeCell="T20" sqref="T20"/>
      <selection pane="bottomLeft" activeCell="T20" sqref="T20"/>
      <selection pane="bottomRight" activeCell="T20" sqref="T20"/>
    </sheetView>
  </sheetViews>
  <sheetFormatPr defaultColWidth="9.1796875" defaultRowHeight="18"/>
  <cols>
    <col min="1" max="1" width="5.26953125" style="40" customWidth="1"/>
    <col min="2" max="2" width="6.7265625" style="15" customWidth="1"/>
    <col min="3" max="3" width="27.1796875" style="15" customWidth="1"/>
    <col min="4" max="4" width="11" style="17" customWidth="1"/>
    <col min="5" max="5" width="11.1796875" style="17" customWidth="1"/>
    <col min="6" max="6" width="11.7265625" style="17" customWidth="1"/>
    <col min="7" max="7" width="11.1796875" style="17" hidden="1" customWidth="1"/>
    <col min="8" max="10" width="12.7265625" style="17" hidden="1" customWidth="1"/>
    <col min="11" max="11" width="11.26953125" style="17" hidden="1" customWidth="1"/>
    <col min="12" max="12" width="11.1796875" style="17" customWidth="1"/>
    <col min="13" max="13" width="9.1796875" style="17" customWidth="1"/>
    <col min="14" max="15" width="10" style="17" customWidth="1"/>
    <col min="16" max="17" width="11.1796875" style="17" hidden="1" customWidth="1"/>
    <col min="18" max="19" width="12" style="17" hidden="1" customWidth="1"/>
    <col min="20" max="20" width="6.453125" style="17" customWidth="1"/>
    <col min="21" max="21" width="10" style="15" customWidth="1"/>
    <col min="22" max="22" width="10.26953125" style="15" customWidth="1"/>
    <col min="23" max="23" width="9.1796875" style="15" customWidth="1"/>
    <col min="24" max="25" width="5.26953125" style="15" hidden="1" customWidth="1"/>
    <col min="26" max="26" width="10.1796875" style="15" customWidth="1"/>
    <col min="27" max="27" width="31.81640625" style="40" hidden="1" customWidth="1"/>
    <col min="28" max="28" width="7.81640625" style="15" hidden="1" customWidth="1"/>
    <col min="29" max="29" width="22" style="418" customWidth="1"/>
    <col min="30" max="30" width="10.26953125" style="415" customWidth="1"/>
    <col min="31" max="31" width="10.54296875" style="415" customWidth="1"/>
    <col min="32" max="32" width="13.453125" style="415" customWidth="1"/>
    <col min="33" max="33" width="30.7265625" style="418" customWidth="1"/>
    <col min="34" max="34" width="9.1796875" style="20" customWidth="1"/>
    <col min="35" max="35" width="30.7265625" style="247" customWidth="1"/>
    <col min="36" max="36" width="9.1796875" style="20" customWidth="1"/>
    <col min="37" max="37" width="1.54296875" style="20" customWidth="1"/>
    <col min="38" max="39" width="9.1796875" style="20" customWidth="1"/>
    <col min="40" max="16384" width="9.1796875" style="15"/>
  </cols>
  <sheetData>
    <row r="2" spans="1:39" s="416" customFormat="1">
      <c r="A2" s="414"/>
      <c r="B2" s="414"/>
      <c r="C2" s="414"/>
      <c r="D2" s="414"/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414"/>
      <c r="R2" s="414"/>
      <c r="S2" s="414"/>
      <c r="T2" s="414"/>
      <c r="U2" s="414"/>
      <c r="V2" s="414"/>
      <c r="W2" s="414"/>
      <c r="X2" s="414"/>
      <c r="Y2" s="414"/>
      <c r="Z2" s="414"/>
      <c r="AA2" s="415"/>
      <c r="AC2" s="418"/>
      <c r="AD2" s="415"/>
      <c r="AE2" s="415"/>
      <c r="AF2" s="415"/>
      <c r="AG2" s="418"/>
      <c r="AI2" s="247"/>
    </row>
    <row r="3" spans="1:39" s="247" customFormat="1">
      <c r="A3" s="414" t="s">
        <v>362</v>
      </c>
      <c r="B3" s="414"/>
      <c r="C3" s="414"/>
      <c r="D3" s="414"/>
      <c r="E3" s="414"/>
      <c r="F3" s="414"/>
      <c r="G3" s="414"/>
      <c r="H3" s="414"/>
      <c r="I3" s="414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414"/>
      <c r="AA3" s="418"/>
      <c r="AC3" s="418"/>
      <c r="AD3" s="415"/>
      <c r="AE3" s="415"/>
      <c r="AF3" s="415"/>
      <c r="AG3" s="418"/>
    </row>
    <row r="5" spans="1:39" s="34" customFormat="1" ht="86.25" customHeight="1">
      <c r="A5" s="19" t="s">
        <v>0</v>
      </c>
      <c r="B5" s="19" t="s">
        <v>1</v>
      </c>
      <c r="C5" s="19" t="s">
        <v>2</v>
      </c>
      <c r="D5" s="19" t="s">
        <v>3</v>
      </c>
      <c r="E5" s="19" t="s">
        <v>4</v>
      </c>
      <c r="F5" s="19" t="s">
        <v>5</v>
      </c>
      <c r="G5" s="19" t="s">
        <v>6</v>
      </c>
      <c r="H5" s="19" t="s">
        <v>7</v>
      </c>
      <c r="I5" s="19" t="s">
        <v>9</v>
      </c>
      <c r="J5" s="19" t="s">
        <v>318</v>
      </c>
      <c r="K5" s="19" t="s">
        <v>10</v>
      </c>
      <c r="L5" s="19" t="s">
        <v>11</v>
      </c>
      <c r="M5" s="11" t="s">
        <v>627</v>
      </c>
      <c r="N5" s="19" t="s">
        <v>628</v>
      </c>
      <c r="O5" s="19" t="s">
        <v>629</v>
      </c>
      <c r="P5" s="19" t="s">
        <v>12</v>
      </c>
      <c r="Q5" s="19" t="s">
        <v>630</v>
      </c>
      <c r="R5" s="19" t="s">
        <v>631</v>
      </c>
      <c r="S5" s="19" t="s">
        <v>632</v>
      </c>
      <c r="T5" s="19" t="s">
        <v>633</v>
      </c>
      <c r="U5" s="19" t="s">
        <v>634</v>
      </c>
      <c r="V5" s="19" t="s">
        <v>13</v>
      </c>
      <c r="W5" s="19" t="s">
        <v>14</v>
      </c>
      <c r="X5" s="19" t="s">
        <v>15</v>
      </c>
      <c r="Y5" s="19" t="s">
        <v>523</v>
      </c>
      <c r="Z5" s="19" t="s">
        <v>140</v>
      </c>
      <c r="AA5" s="46" t="s">
        <v>635</v>
      </c>
      <c r="AB5" s="19" t="s">
        <v>16</v>
      </c>
      <c r="AC5" s="418"/>
      <c r="AD5" s="415"/>
      <c r="AE5" s="415"/>
      <c r="AF5" s="415"/>
      <c r="AI5" s="247"/>
    </row>
    <row r="6" spans="1:39" s="5" customFormat="1">
      <c r="A6" s="3"/>
      <c r="B6" s="3"/>
      <c r="C6" s="48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3"/>
      <c r="AA6" s="408"/>
      <c r="AB6" s="3"/>
      <c r="AC6" s="418"/>
      <c r="AD6" s="415"/>
      <c r="AE6" s="415"/>
      <c r="AF6" s="415"/>
      <c r="AG6" s="418"/>
      <c r="AH6" s="31"/>
      <c r="AI6" s="247"/>
      <c r="AJ6" s="31"/>
      <c r="AK6" s="31"/>
      <c r="AL6" s="31"/>
      <c r="AM6" s="31"/>
    </row>
    <row r="7" spans="1:39" s="5" customFormat="1" ht="35.15" customHeight="1">
      <c r="A7" s="3">
        <v>1</v>
      </c>
      <c r="B7" s="3">
        <v>135</v>
      </c>
      <c r="C7" s="3" t="s">
        <v>100</v>
      </c>
      <c r="D7" s="4">
        <f>4582000-3349000</f>
        <v>1233000</v>
      </c>
      <c r="E7" s="4">
        <v>4582000</v>
      </c>
      <c r="F7" s="4">
        <f t="shared" ref="F7:F45" si="0">D7-E7</f>
        <v>-3349000</v>
      </c>
      <c r="G7" s="4">
        <v>1233000</v>
      </c>
      <c r="H7" s="4">
        <v>1142424</v>
      </c>
      <c r="I7" s="4"/>
      <c r="J7" s="4">
        <v>6728</v>
      </c>
      <c r="K7" s="4">
        <f>I7+J7</f>
        <v>6728</v>
      </c>
      <c r="L7" s="4">
        <f t="shared" ref="L7:L45" si="1">H7+K7</f>
        <v>1149152</v>
      </c>
      <c r="M7" s="4">
        <f t="shared" ref="M7:M25" si="2">P7+S7</f>
        <v>83848</v>
      </c>
      <c r="N7" s="4">
        <v>0</v>
      </c>
      <c r="O7" s="4">
        <f t="shared" ref="O7:O45" si="3">D7-L7-M7-N7</f>
        <v>0</v>
      </c>
      <c r="P7" s="4">
        <f t="shared" ref="P7:P45" si="4">G7-L7</f>
        <v>83848</v>
      </c>
      <c r="Q7" s="4"/>
      <c r="R7" s="4"/>
      <c r="S7" s="4">
        <f t="shared" ref="S7:S45" si="5">SUM(Q7:R7)</f>
        <v>0</v>
      </c>
      <c r="T7" s="4">
        <f t="shared" ref="T7:T45" si="6">P7-M7+S7</f>
        <v>0</v>
      </c>
      <c r="U7" s="4">
        <f t="shared" ref="U7:U45" si="7">N7-T7</f>
        <v>0</v>
      </c>
      <c r="V7" s="12"/>
      <c r="W7" s="4">
        <f>U7-V7-Y7-Z7</f>
        <v>0</v>
      </c>
      <c r="X7" s="4"/>
      <c r="Y7" s="4"/>
      <c r="Z7" s="3"/>
      <c r="AA7" s="408"/>
      <c r="AB7" s="3">
        <v>747000</v>
      </c>
      <c r="AC7" s="418"/>
      <c r="AD7" s="415"/>
      <c r="AE7" s="584"/>
      <c r="AF7" s="415"/>
      <c r="AG7" s="20"/>
      <c r="AH7" s="20"/>
      <c r="AI7" s="30"/>
      <c r="AJ7" s="31"/>
      <c r="AK7" s="31"/>
      <c r="AL7" s="31"/>
      <c r="AM7" s="31"/>
    </row>
    <row r="8" spans="1:39" s="5" customFormat="1" ht="35.15" customHeight="1">
      <c r="A8" s="3">
        <f>A7+1</f>
        <v>2</v>
      </c>
      <c r="B8" s="3">
        <v>1134</v>
      </c>
      <c r="C8" s="3" t="s">
        <v>101</v>
      </c>
      <c r="D8" s="4">
        <v>2700000</v>
      </c>
      <c r="E8" s="4">
        <v>2700000</v>
      </c>
      <c r="F8" s="4">
        <f t="shared" si="0"/>
        <v>0</v>
      </c>
      <c r="G8" s="4">
        <v>2495000</v>
      </c>
      <c r="H8" s="4">
        <v>2297601</v>
      </c>
      <c r="I8" s="4"/>
      <c r="J8" s="4">
        <v>115724.71</v>
      </c>
      <c r="K8" s="4">
        <f>I8+J8</f>
        <v>115724.71</v>
      </c>
      <c r="L8" s="4">
        <f t="shared" si="1"/>
        <v>2413325.71</v>
      </c>
      <c r="M8" s="4">
        <f t="shared" si="2"/>
        <v>81674.290000000037</v>
      </c>
      <c r="N8" s="4">
        <v>100000</v>
      </c>
      <c r="O8" s="4">
        <f t="shared" si="3"/>
        <v>105000</v>
      </c>
      <c r="P8" s="4">
        <f t="shared" si="4"/>
        <v>81674.290000000037</v>
      </c>
      <c r="Q8" s="4"/>
      <c r="R8" s="4"/>
      <c r="S8" s="4">
        <f t="shared" si="5"/>
        <v>0</v>
      </c>
      <c r="T8" s="4">
        <f t="shared" si="6"/>
        <v>0</v>
      </c>
      <c r="U8" s="4">
        <f t="shared" si="7"/>
        <v>100000</v>
      </c>
      <c r="V8" s="12">
        <f>U8-W8-X8-Y8-Z8</f>
        <v>0</v>
      </c>
      <c r="W8" s="4">
        <v>100000</v>
      </c>
      <c r="X8" s="4"/>
      <c r="Y8" s="4"/>
      <c r="Z8" s="3"/>
      <c r="AA8" s="408" t="s">
        <v>1353</v>
      </c>
      <c r="AB8" s="3">
        <v>746000</v>
      </c>
      <c r="AC8" s="418"/>
      <c r="AD8" s="415"/>
      <c r="AE8" s="584"/>
      <c r="AF8" s="415"/>
      <c r="AG8" s="20"/>
      <c r="AH8" s="20"/>
      <c r="AI8" s="30"/>
      <c r="AJ8" s="31"/>
      <c r="AK8" s="31"/>
      <c r="AL8" s="31"/>
      <c r="AM8" s="31"/>
    </row>
    <row r="9" spans="1:39" s="5" customFormat="1" ht="35.15" customHeight="1">
      <c r="A9" s="3">
        <f t="shared" ref="A9:A48" si="8">A8+1</f>
        <v>3</v>
      </c>
      <c r="B9" s="3">
        <v>1165</v>
      </c>
      <c r="C9" s="3" t="s">
        <v>142</v>
      </c>
      <c r="D9" s="4">
        <f>16300000-4250000</f>
        <v>12050000</v>
      </c>
      <c r="E9" s="4">
        <v>16300000</v>
      </c>
      <c r="F9" s="4">
        <f t="shared" si="0"/>
        <v>-4250000</v>
      </c>
      <c r="G9" s="4">
        <v>12050000</v>
      </c>
      <c r="H9" s="4">
        <v>11376110</v>
      </c>
      <c r="I9" s="4"/>
      <c r="J9" s="4">
        <v>573442</v>
      </c>
      <c r="K9" s="4">
        <f>I9+J9</f>
        <v>573442</v>
      </c>
      <c r="L9" s="4">
        <f t="shared" si="1"/>
        <v>11949552</v>
      </c>
      <c r="M9" s="4">
        <f t="shared" si="2"/>
        <v>100448</v>
      </c>
      <c r="N9" s="4"/>
      <c r="O9" s="4">
        <f t="shared" si="3"/>
        <v>0</v>
      </c>
      <c r="P9" s="4">
        <f t="shared" si="4"/>
        <v>100448</v>
      </c>
      <c r="Q9" s="4"/>
      <c r="R9" s="4"/>
      <c r="S9" s="4">
        <f t="shared" si="5"/>
        <v>0</v>
      </c>
      <c r="T9" s="4">
        <f t="shared" si="6"/>
        <v>0</v>
      </c>
      <c r="U9" s="4">
        <f t="shared" si="7"/>
        <v>0</v>
      </c>
      <c r="V9" s="12"/>
      <c r="W9" s="4">
        <f>U9-V9-Y9-Z9</f>
        <v>0</v>
      </c>
      <c r="X9" s="4"/>
      <c r="Y9" s="4"/>
      <c r="Z9" s="3"/>
      <c r="AA9" s="408" t="s">
        <v>1354</v>
      </c>
      <c r="AB9" s="3">
        <v>746000</v>
      </c>
      <c r="AC9" s="418"/>
      <c r="AD9" s="415"/>
      <c r="AE9" s="584"/>
      <c r="AF9" s="415"/>
      <c r="AG9" s="418"/>
      <c r="AH9" s="30"/>
      <c r="AI9" s="247"/>
      <c r="AJ9" s="30"/>
      <c r="AK9" s="30"/>
      <c r="AL9" s="30"/>
      <c r="AM9" s="30"/>
    </row>
    <row r="10" spans="1:39" s="5" customFormat="1" ht="35.15" customHeight="1">
      <c r="A10" s="3">
        <f t="shared" si="8"/>
        <v>4</v>
      </c>
      <c r="B10" s="3">
        <v>1166</v>
      </c>
      <c r="C10" s="3" t="s">
        <v>791</v>
      </c>
      <c r="D10" s="4">
        <f>10615000-1500000</f>
        <v>9115000</v>
      </c>
      <c r="E10" s="4">
        <v>10615000</v>
      </c>
      <c r="F10" s="4">
        <f t="shared" si="0"/>
        <v>-1500000</v>
      </c>
      <c r="G10" s="4">
        <v>9115000</v>
      </c>
      <c r="H10" s="4">
        <v>8351629</v>
      </c>
      <c r="I10" s="4"/>
      <c r="J10" s="4">
        <v>590891</v>
      </c>
      <c r="K10" s="4">
        <f>I10+J10</f>
        <v>590891</v>
      </c>
      <c r="L10" s="4">
        <f t="shared" si="1"/>
        <v>8942520</v>
      </c>
      <c r="M10" s="4">
        <f t="shared" si="2"/>
        <v>172480</v>
      </c>
      <c r="N10" s="4"/>
      <c r="O10" s="4">
        <f t="shared" si="3"/>
        <v>0</v>
      </c>
      <c r="P10" s="4">
        <f t="shared" si="4"/>
        <v>172480</v>
      </c>
      <c r="Q10" s="4"/>
      <c r="R10" s="4"/>
      <c r="S10" s="4">
        <f t="shared" si="5"/>
        <v>0</v>
      </c>
      <c r="T10" s="4">
        <f t="shared" si="6"/>
        <v>0</v>
      </c>
      <c r="U10" s="4">
        <f t="shared" si="7"/>
        <v>0</v>
      </c>
      <c r="V10" s="4"/>
      <c r="W10" s="4">
        <f>U10-V10-Y10-Z10</f>
        <v>0</v>
      </c>
      <c r="X10" s="4"/>
      <c r="Y10" s="4"/>
      <c r="Z10" s="3"/>
      <c r="AA10" s="408" t="s">
        <v>1354</v>
      </c>
      <c r="AB10" s="3">
        <v>746000</v>
      </c>
      <c r="AC10" s="418"/>
      <c r="AD10" s="415"/>
      <c r="AE10" s="584"/>
      <c r="AF10" s="415"/>
      <c r="AG10" s="418"/>
      <c r="AH10" s="30"/>
      <c r="AI10" s="247"/>
      <c r="AJ10" s="30"/>
      <c r="AK10" s="30"/>
      <c r="AL10" s="30"/>
      <c r="AM10" s="30"/>
    </row>
    <row r="11" spans="1:39" s="5" customFormat="1" ht="35.15" customHeight="1">
      <c r="A11" s="3">
        <f t="shared" si="8"/>
        <v>5</v>
      </c>
      <c r="B11" s="3">
        <v>1192</v>
      </c>
      <c r="C11" s="3" t="s">
        <v>119</v>
      </c>
      <c r="D11" s="4">
        <f>1085000-600000</f>
        <v>485000</v>
      </c>
      <c r="E11" s="4">
        <v>1085000</v>
      </c>
      <c r="F11" s="4">
        <f t="shared" si="0"/>
        <v>-600000</v>
      </c>
      <c r="G11" s="4">
        <v>485000</v>
      </c>
      <c r="H11" s="4">
        <v>405559.85</v>
      </c>
      <c r="I11" s="4"/>
      <c r="J11" s="4"/>
      <c r="K11" s="4">
        <f>I11+J11</f>
        <v>0</v>
      </c>
      <c r="L11" s="4">
        <f t="shared" si="1"/>
        <v>405559.85</v>
      </c>
      <c r="M11" s="4">
        <f t="shared" si="2"/>
        <v>79440.150000000023</v>
      </c>
      <c r="N11" s="4"/>
      <c r="O11" s="4">
        <f t="shared" si="3"/>
        <v>0</v>
      </c>
      <c r="P11" s="4">
        <f t="shared" si="4"/>
        <v>79440.150000000023</v>
      </c>
      <c r="Q11" s="4"/>
      <c r="R11" s="4"/>
      <c r="S11" s="4">
        <f t="shared" si="5"/>
        <v>0</v>
      </c>
      <c r="T11" s="4">
        <f t="shared" si="6"/>
        <v>0</v>
      </c>
      <c r="U11" s="4">
        <f t="shared" si="7"/>
        <v>0</v>
      </c>
      <c r="V11" s="4"/>
      <c r="W11" s="4">
        <f>U11-V11-Y11-Z11</f>
        <v>0</v>
      </c>
      <c r="X11" s="4"/>
      <c r="Y11" s="4"/>
      <c r="Z11" s="3"/>
      <c r="AA11" s="408" t="s">
        <v>1355</v>
      </c>
      <c r="AB11" s="3">
        <v>810000</v>
      </c>
      <c r="AC11" s="418"/>
      <c r="AD11" s="415"/>
      <c r="AE11" s="584"/>
      <c r="AF11" s="415"/>
      <c r="AG11" s="418"/>
      <c r="AH11" s="30"/>
      <c r="AI11" s="247"/>
      <c r="AJ11" s="30"/>
      <c r="AK11" s="30"/>
      <c r="AL11" s="30"/>
      <c r="AM11" s="30"/>
    </row>
    <row r="12" spans="1:39" s="5" customFormat="1" ht="35.15" customHeight="1">
      <c r="A12" s="3">
        <f t="shared" si="8"/>
        <v>6</v>
      </c>
      <c r="B12" s="3">
        <v>1209</v>
      </c>
      <c r="C12" s="3" t="s">
        <v>108</v>
      </c>
      <c r="D12" s="4">
        <v>940000</v>
      </c>
      <c r="E12" s="4">
        <v>940000</v>
      </c>
      <c r="F12" s="4">
        <f t="shared" si="0"/>
        <v>0</v>
      </c>
      <c r="G12" s="4">
        <v>940000</v>
      </c>
      <c r="H12" s="4">
        <v>912429</v>
      </c>
      <c r="I12" s="4"/>
      <c r="J12" s="4"/>
      <c r="K12" s="4">
        <f>SUM(I12:J12)</f>
        <v>0</v>
      </c>
      <c r="L12" s="4">
        <f t="shared" si="1"/>
        <v>912429</v>
      </c>
      <c r="M12" s="4">
        <f t="shared" si="2"/>
        <v>27571</v>
      </c>
      <c r="N12" s="4"/>
      <c r="O12" s="4">
        <f t="shared" si="3"/>
        <v>0</v>
      </c>
      <c r="P12" s="4">
        <f t="shared" si="4"/>
        <v>27571</v>
      </c>
      <c r="Q12" s="4"/>
      <c r="R12" s="4"/>
      <c r="S12" s="4">
        <f t="shared" si="5"/>
        <v>0</v>
      </c>
      <c r="T12" s="4">
        <f t="shared" si="6"/>
        <v>0</v>
      </c>
      <c r="U12" s="4">
        <f t="shared" si="7"/>
        <v>0</v>
      </c>
      <c r="V12" s="12">
        <f>U12-W12-Y12-Z12</f>
        <v>0</v>
      </c>
      <c r="W12" s="4"/>
      <c r="X12" s="4"/>
      <c r="Y12" s="4"/>
      <c r="Z12" s="4"/>
      <c r="AA12" s="408"/>
      <c r="AB12" s="3">
        <v>870000</v>
      </c>
      <c r="AC12" s="418"/>
      <c r="AD12" s="415"/>
      <c r="AE12" s="584"/>
      <c r="AF12" s="415"/>
      <c r="AG12" s="418"/>
      <c r="AH12" s="15"/>
      <c r="AI12" s="247"/>
    </row>
    <row r="13" spans="1:39" s="5" customFormat="1" ht="35.15" customHeight="1">
      <c r="A13" s="3">
        <f t="shared" si="8"/>
        <v>7</v>
      </c>
      <c r="B13" s="3">
        <v>1210</v>
      </c>
      <c r="C13" s="3" t="s">
        <v>109</v>
      </c>
      <c r="D13" s="4">
        <f>120000000-32000000</f>
        <v>88000000</v>
      </c>
      <c r="E13" s="4">
        <v>88000000</v>
      </c>
      <c r="F13" s="4">
        <f t="shared" si="0"/>
        <v>0</v>
      </c>
      <c r="G13" s="4">
        <v>65250000</v>
      </c>
      <c r="H13" s="4">
        <v>65137184</v>
      </c>
      <c r="I13" s="4"/>
      <c r="J13" s="4">
        <v>1</v>
      </c>
      <c r="K13" s="4">
        <f>SUM(I13:J13)</f>
        <v>1</v>
      </c>
      <c r="L13" s="4">
        <f t="shared" si="1"/>
        <v>65137185</v>
      </c>
      <c r="M13" s="4">
        <f t="shared" si="2"/>
        <v>2112815</v>
      </c>
      <c r="N13" s="4">
        <f>26350000-10000000</f>
        <v>16350000</v>
      </c>
      <c r="O13" s="4">
        <f t="shared" si="3"/>
        <v>4400000</v>
      </c>
      <c r="P13" s="4">
        <f t="shared" si="4"/>
        <v>112815</v>
      </c>
      <c r="Q13" s="4">
        <v>2000000</v>
      </c>
      <c r="R13" s="4"/>
      <c r="S13" s="4">
        <f t="shared" si="5"/>
        <v>2000000</v>
      </c>
      <c r="T13" s="4">
        <f t="shared" si="6"/>
        <v>0</v>
      </c>
      <c r="U13" s="4">
        <f t="shared" si="7"/>
        <v>16350000</v>
      </c>
      <c r="V13" s="12"/>
      <c r="W13" s="4"/>
      <c r="X13" s="4"/>
      <c r="Y13" s="4"/>
      <c r="Z13" s="4">
        <f>N13-V13-W13-Y13</f>
        <v>16350000</v>
      </c>
      <c r="AA13" s="408" t="s">
        <v>792</v>
      </c>
      <c r="AB13" s="3">
        <v>870000</v>
      </c>
      <c r="AC13" s="418"/>
      <c r="AD13" s="415"/>
      <c r="AE13" s="584"/>
      <c r="AF13" s="415"/>
      <c r="AG13" s="418"/>
      <c r="AH13" s="15"/>
      <c r="AI13" s="247"/>
    </row>
    <row r="14" spans="1:39" s="5" customFormat="1" ht="35.15" customHeight="1">
      <c r="A14" s="3">
        <f t="shared" si="8"/>
        <v>8</v>
      </c>
      <c r="B14" s="3">
        <v>1254</v>
      </c>
      <c r="C14" s="3" t="s">
        <v>793</v>
      </c>
      <c r="D14" s="4">
        <f>42000000+5000000-9010000</f>
        <v>37990000</v>
      </c>
      <c r="E14" s="4">
        <v>37000000</v>
      </c>
      <c r="F14" s="4">
        <f t="shared" si="0"/>
        <v>990000</v>
      </c>
      <c r="G14" s="4">
        <v>31990000</v>
      </c>
      <c r="H14" s="4">
        <v>30104408</v>
      </c>
      <c r="I14" s="4"/>
      <c r="J14" s="4">
        <v>1556900</v>
      </c>
      <c r="K14" s="4">
        <f t="shared" ref="K14:K45" si="9">I14+J14</f>
        <v>1556900</v>
      </c>
      <c r="L14" s="4">
        <f t="shared" si="1"/>
        <v>31661308</v>
      </c>
      <c r="M14" s="4">
        <f t="shared" si="2"/>
        <v>328692</v>
      </c>
      <c r="N14" s="4">
        <f>5000000+2000000+1000000+2500000-2500000-2000000</f>
        <v>6000000</v>
      </c>
      <c r="O14" s="4">
        <f t="shared" si="3"/>
        <v>0</v>
      </c>
      <c r="P14" s="4">
        <f t="shared" si="4"/>
        <v>328692</v>
      </c>
      <c r="Q14" s="4"/>
      <c r="R14" s="4"/>
      <c r="S14" s="4">
        <f t="shared" si="5"/>
        <v>0</v>
      </c>
      <c r="T14" s="4">
        <f t="shared" si="6"/>
        <v>0</v>
      </c>
      <c r="U14" s="4">
        <f t="shared" si="7"/>
        <v>6000000</v>
      </c>
      <c r="V14" s="12">
        <f>U14*0.5</f>
        <v>3000000</v>
      </c>
      <c r="W14" s="4">
        <f t="shared" ref="W14:W45" si="10">U14-V14-Y14-Z14</f>
        <v>3000000</v>
      </c>
      <c r="X14" s="4"/>
      <c r="Y14" s="4"/>
      <c r="Z14" s="3"/>
      <c r="AA14" s="408" t="s">
        <v>1138</v>
      </c>
      <c r="AB14" s="3">
        <v>746000</v>
      </c>
      <c r="AC14" s="418"/>
      <c r="AD14" s="415"/>
      <c r="AE14" s="584"/>
      <c r="AF14" s="415"/>
      <c r="AG14" s="418"/>
      <c r="AH14" s="30"/>
      <c r="AI14" s="247"/>
      <c r="AJ14" s="30"/>
      <c r="AK14" s="30"/>
      <c r="AL14" s="30"/>
      <c r="AM14" s="30"/>
    </row>
    <row r="15" spans="1:39" s="5" customFormat="1" ht="35.15" customHeight="1">
      <c r="A15" s="3">
        <f t="shared" si="8"/>
        <v>9</v>
      </c>
      <c r="B15" s="3">
        <v>1341</v>
      </c>
      <c r="C15" s="3" t="s">
        <v>120</v>
      </c>
      <c r="D15" s="4">
        <v>550000</v>
      </c>
      <c r="E15" s="4">
        <v>550000</v>
      </c>
      <c r="F15" s="4">
        <f t="shared" si="0"/>
        <v>0</v>
      </c>
      <c r="G15" s="4">
        <v>550000</v>
      </c>
      <c r="H15" s="4">
        <v>465234.28</v>
      </c>
      <c r="I15" s="4"/>
      <c r="J15" s="4">
        <v>1711.52</v>
      </c>
      <c r="K15" s="4">
        <f t="shared" si="9"/>
        <v>1711.52</v>
      </c>
      <c r="L15" s="4">
        <f t="shared" si="1"/>
        <v>466945.80000000005</v>
      </c>
      <c r="M15" s="4">
        <f t="shared" si="2"/>
        <v>83054.199999999953</v>
      </c>
      <c r="N15" s="4"/>
      <c r="O15" s="4">
        <f t="shared" si="3"/>
        <v>0</v>
      </c>
      <c r="P15" s="4">
        <f t="shared" si="4"/>
        <v>83054.199999999953</v>
      </c>
      <c r="Q15" s="4"/>
      <c r="R15" s="4"/>
      <c r="S15" s="4">
        <f t="shared" si="5"/>
        <v>0</v>
      </c>
      <c r="T15" s="4">
        <f t="shared" si="6"/>
        <v>0</v>
      </c>
      <c r="U15" s="4">
        <f t="shared" si="7"/>
        <v>0</v>
      </c>
      <c r="V15" s="12"/>
      <c r="W15" s="4">
        <f t="shared" si="10"/>
        <v>0</v>
      </c>
      <c r="X15" s="4"/>
      <c r="Y15" s="4"/>
      <c r="Z15" s="3"/>
      <c r="AA15" s="408"/>
      <c r="AB15" s="3">
        <v>746000</v>
      </c>
      <c r="AC15" s="418"/>
      <c r="AD15" s="415"/>
      <c r="AE15" s="584"/>
      <c r="AF15" s="415"/>
      <c r="AG15" s="418"/>
      <c r="AH15" s="30"/>
      <c r="AI15" s="247"/>
      <c r="AJ15" s="30"/>
      <c r="AK15" s="30"/>
      <c r="AL15" s="30"/>
      <c r="AM15" s="30"/>
    </row>
    <row r="16" spans="1:39" s="5" customFormat="1" ht="35.15" customHeight="1">
      <c r="A16" s="3">
        <f t="shared" si="8"/>
        <v>10</v>
      </c>
      <c r="B16" s="3">
        <v>1342</v>
      </c>
      <c r="C16" s="3" t="s">
        <v>121</v>
      </c>
      <c r="D16" s="4">
        <f>4500000-500000</f>
        <v>4000000</v>
      </c>
      <c r="E16" s="4">
        <v>4000000</v>
      </c>
      <c r="F16" s="4">
        <f t="shared" si="0"/>
        <v>0</v>
      </c>
      <c r="G16" s="4">
        <v>2700000</v>
      </c>
      <c r="H16" s="4">
        <v>1986870.56</v>
      </c>
      <c r="I16" s="4"/>
      <c r="J16" s="4">
        <v>299393.09999999998</v>
      </c>
      <c r="K16" s="4">
        <f t="shared" si="9"/>
        <v>299393.09999999998</v>
      </c>
      <c r="L16" s="4">
        <f t="shared" si="1"/>
        <v>2286263.66</v>
      </c>
      <c r="M16" s="4">
        <f t="shared" si="2"/>
        <v>663736.33999999985</v>
      </c>
      <c r="N16" s="4">
        <f>750000-250000</f>
        <v>500000</v>
      </c>
      <c r="O16" s="4">
        <f t="shared" si="3"/>
        <v>550000</v>
      </c>
      <c r="P16" s="4">
        <f t="shared" si="4"/>
        <v>413736.33999999985</v>
      </c>
      <c r="Q16" s="4">
        <v>250000</v>
      </c>
      <c r="R16" s="4"/>
      <c r="S16" s="4">
        <f t="shared" si="5"/>
        <v>250000</v>
      </c>
      <c r="T16" s="4">
        <f t="shared" si="6"/>
        <v>0</v>
      </c>
      <c r="U16" s="4">
        <f t="shared" si="7"/>
        <v>500000</v>
      </c>
      <c r="V16" s="12">
        <f>U16-W16-X16-Y16-Z16</f>
        <v>500000</v>
      </c>
      <c r="W16" s="4"/>
      <c r="X16" s="4"/>
      <c r="Y16" s="4"/>
      <c r="Z16" s="3"/>
      <c r="AA16" s="408" t="s">
        <v>794</v>
      </c>
      <c r="AB16" s="3">
        <v>746000</v>
      </c>
      <c r="AC16" s="418"/>
      <c r="AD16" s="415"/>
      <c r="AE16" s="584"/>
      <c r="AF16" s="415"/>
      <c r="AG16" s="418"/>
      <c r="AH16" s="30"/>
      <c r="AI16" s="247"/>
      <c r="AJ16" s="30"/>
      <c r="AK16" s="30"/>
      <c r="AL16" s="30"/>
      <c r="AM16" s="30"/>
    </row>
    <row r="17" spans="1:39" s="5" customFormat="1" ht="35.15" customHeight="1">
      <c r="A17" s="3">
        <f t="shared" si="8"/>
        <v>11</v>
      </c>
      <c r="B17" s="3">
        <v>1343</v>
      </c>
      <c r="C17" s="3" t="s">
        <v>122</v>
      </c>
      <c r="D17" s="4">
        <v>8320000</v>
      </c>
      <c r="E17" s="4">
        <v>8320000</v>
      </c>
      <c r="F17" s="4">
        <f t="shared" si="0"/>
        <v>0</v>
      </c>
      <c r="G17" s="4">
        <v>6020000</v>
      </c>
      <c r="H17" s="4">
        <v>4544185</v>
      </c>
      <c r="I17" s="4"/>
      <c r="J17" s="4">
        <v>1460307</v>
      </c>
      <c r="K17" s="4">
        <f t="shared" si="9"/>
        <v>1460307</v>
      </c>
      <c r="L17" s="4">
        <f t="shared" si="1"/>
        <v>6004492</v>
      </c>
      <c r="M17" s="4">
        <f t="shared" si="2"/>
        <v>15508</v>
      </c>
      <c r="N17" s="4">
        <v>1000000</v>
      </c>
      <c r="O17" s="4">
        <f t="shared" si="3"/>
        <v>1300000</v>
      </c>
      <c r="P17" s="4">
        <f t="shared" si="4"/>
        <v>15508</v>
      </c>
      <c r="Q17" s="4"/>
      <c r="R17" s="4"/>
      <c r="S17" s="4">
        <f t="shared" si="5"/>
        <v>0</v>
      </c>
      <c r="T17" s="4">
        <f t="shared" si="6"/>
        <v>0</v>
      </c>
      <c r="U17" s="4">
        <f t="shared" si="7"/>
        <v>1000000</v>
      </c>
      <c r="V17" s="12">
        <f>U17-W17-X17-Y17-Z17</f>
        <v>1000000</v>
      </c>
      <c r="W17" s="4"/>
      <c r="X17" s="4"/>
      <c r="Y17" s="4"/>
      <c r="Z17" s="3"/>
      <c r="AA17" s="408" t="s">
        <v>795</v>
      </c>
      <c r="AB17" s="3">
        <v>746000</v>
      </c>
      <c r="AC17" s="418"/>
      <c r="AD17" s="415"/>
      <c r="AE17" s="584"/>
      <c r="AF17" s="415"/>
      <c r="AG17" s="418"/>
      <c r="AH17" s="30"/>
      <c r="AI17" s="247"/>
      <c r="AJ17" s="30"/>
      <c r="AK17" s="30"/>
      <c r="AL17" s="30"/>
      <c r="AM17" s="30"/>
    </row>
    <row r="18" spans="1:39" s="5" customFormat="1" ht="35.15" customHeight="1">
      <c r="A18" s="3">
        <f t="shared" si="8"/>
        <v>12</v>
      </c>
      <c r="B18" s="3">
        <v>1345</v>
      </c>
      <c r="C18" s="3" t="s">
        <v>1356</v>
      </c>
      <c r="D18" s="4">
        <v>1739000</v>
      </c>
      <c r="E18" s="4">
        <v>1739000</v>
      </c>
      <c r="F18" s="4">
        <f t="shared" si="0"/>
        <v>0</v>
      </c>
      <c r="G18" s="4">
        <v>815000</v>
      </c>
      <c r="H18" s="4">
        <v>725760.94</v>
      </c>
      <c r="I18" s="4"/>
      <c r="J18" s="4">
        <v>60680</v>
      </c>
      <c r="K18" s="4">
        <f t="shared" si="9"/>
        <v>60680</v>
      </c>
      <c r="L18" s="4">
        <f t="shared" si="1"/>
        <v>786440.94</v>
      </c>
      <c r="M18" s="4">
        <f t="shared" si="2"/>
        <v>48559.060000000056</v>
      </c>
      <c r="N18" s="4">
        <v>80000</v>
      </c>
      <c r="O18" s="4">
        <f t="shared" si="3"/>
        <v>824000</v>
      </c>
      <c r="P18" s="4">
        <f t="shared" si="4"/>
        <v>28559.060000000056</v>
      </c>
      <c r="Q18" s="4">
        <v>20000</v>
      </c>
      <c r="R18" s="4"/>
      <c r="S18" s="4">
        <f t="shared" si="5"/>
        <v>20000</v>
      </c>
      <c r="T18" s="4">
        <f t="shared" si="6"/>
        <v>0</v>
      </c>
      <c r="U18" s="4">
        <f t="shared" si="7"/>
        <v>80000</v>
      </c>
      <c r="V18" s="12"/>
      <c r="W18" s="4">
        <f t="shared" si="10"/>
        <v>80000</v>
      </c>
      <c r="X18" s="4"/>
      <c r="Y18" s="4"/>
      <c r="Z18" s="3"/>
      <c r="AA18" s="408" t="s">
        <v>796</v>
      </c>
      <c r="AB18" s="3">
        <v>870000</v>
      </c>
      <c r="AC18" s="418"/>
      <c r="AD18" s="415"/>
      <c r="AE18" s="584"/>
      <c r="AF18" s="415"/>
      <c r="AG18" s="20"/>
      <c r="AH18" s="20"/>
      <c r="AI18" s="30"/>
      <c r="AJ18" s="31"/>
      <c r="AK18" s="31"/>
      <c r="AL18" s="31"/>
      <c r="AM18" s="31"/>
    </row>
    <row r="19" spans="1:39" s="5" customFormat="1" ht="28">
      <c r="A19" s="3">
        <f t="shared" si="8"/>
        <v>13</v>
      </c>
      <c r="B19" s="3">
        <v>1435</v>
      </c>
      <c r="C19" s="42" t="s">
        <v>1275</v>
      </c>
      <c r="D19" s="4">
        <f>30000000-2700000</f>
        <v>27300000</v>
      </c>
      <c r="E19" s="4">
        <v>26300000</v>
      </c>
      <c r="F19" s="4">
        <f t="shared" si="0"/>
        <v>1000000</v>
      </c>
      <c r="G19" s="4">
        <f>21674320+400000+200000</f>
        <v>22274320</v>
      </c>
      <c r="H19" s="4">
        <v>20025245</v>
      </c>
      <c r="I19" s="4"/>
      <c r="J19" s="4">
        <v>2197843</v>
      </c>
      <c r="K19" s="4">
        <f t="shared" si="9"/>
        <v>2197843</v>
      </c>
      <c r="L19" s="4">
        <f t="shared" si="1"/>
        <v>22223088</v>
      </c>
      <c r="M19" s="4">
        <f t="shared" si="2"/>
        <v>51232</v>
      </c>
      <c r="N19" s="4">
        <v>4000000</v>
      </c>
      <c r="O19" s="4">
        <f t="shared" si="3"/>
        <v>1025680</v>
      </c>
      <c r="P19" s="4">
        <f t="shared" si="4"/>
        <v>51232</v>
      </c>
      <c r="Q19" s="4"/>
      <c r="R19" s="4"/>
      <c r="S19" s="4">
        <f t="shared" si="5"/>
        <v>0</v>
      </c>
      <c r="T19" s="4">
        <f t="shared" si="6"/>
        <v>0</v>
      </c>
      <c r="U19" s="4">
        <f t="shared" si="7"/>
        <v>4000000</v>
      </c>
      <c r="V19" s="12">
        <f>3000000-3000000</f>
        <v>0</v>
      </c>
      <c r="W19" s="4">
        <f t="shared" si="10"/>
        <v>4000000</v>
      </c>
      <c r="X19" s="4"/>
      <c r="Y19" s="4"/>
      <c r="Z19" s="3"/>
      <c r="AA19" s="708" t="s">
        <v>1139</v>
      </c>
      <c r="AB19" s="3">
        <v>848500</v>
      </c>
      <c r="AC19" s="418"/>
      <c r="AD19" s="415"/>
      <c r="AE19" s="584"/>
      <c r="AF19" s="415"/>
      <c r="AG19" s="418"/>
      <c r="AH19" s="30"/>
      <c r="AI19" s="247"/>
      <c r="AJ19" s="30"/>
      <c r="AK19" s="30"/>
      <c r="AL19" s="30"/>
      <c r="AM19" s="30"/>
    </row>
    <row r="20" spans="1:39" s="5" customFormat="1" ht="35.15" customHeight="1">
      <c r="A20" s="3">
        <f t="shared" si="8"/>
        <v>14</v>
      </c>
      <c r="B20" s="3">
        <v>1491</v>
      </c>
      <c r="C20" s="3" t="s">
        <v>123</v>
      </c>
      <c r="D20" s="4">
        <f>13700000-6830000</f>
        <v>6870000</v>
      </c>
      <c r="E20" s="4">
        <v>13700000</v>
      </c>
      <c r="F20" s="4">
        <f t="shared" si="0"/>
        <v>-6830000</v>
      </c>
      <c r="G20" s="4">
        <v>6870000</v>
      </c>
      <c r="H20" s="4">
        <v>5602803</v>
      </c>
      <c r="I20" s="4"/>
      <c r="J20" s="4">
        <v>1163977</v>
      </c>
      <c r="K20" s="4">
        <f t="shared" si="9"/>
        <v>1163977</v>
      </c>
      <c r="L20" s="4">
        <f t="shared" si="1"/>
        <v>6766780</v>
      </c>
      <c r="M20" s="4">
        <f t="shared" si="2"/>
        <v>103220</v>
      </c>
      <c r="N20" s="4"/>
      <c r="O20" s="4">
        <f t="shared" si="3"/>
        <v>0</v>
      </c>
      <c r="P20" s="4">
        <f t="shared" si="4"/>
        <v>103220</v>
      </c>
      <c r="Q20" s="4"/>
      <c r="R20" s="4"/>
      <c r="S20" s="4">
        <f t="shared" si="5"/>
        <v>0</v>
      </c>
      <c r="T20" s="4">
        <f t="shared" si="6"/>
        <v>0</v>
      </c>
      <c r="U20" s="4">
        <f t="shared" si="7"/>
        <v>0</v>
      </c>
      <c r="V20" s="12"/>
      <c r="W20" s="4">
        <f t="shared" si="10"/>
        <v>0</v>
      </c>
      <c r="X20" s="4"/>
      <c r="Y20" s="4"/>
      <c r="Z20" s="3"/>
      <c r="AA20" s="408" t="s">
        <v>1354</v>
      </c>
      <c r="AB20" s="3">
        <v>746000</v>
      </c>
      <c r="AC20" s="418"/>
      <c r="AD20" s="415"/>
      <c r="AE20" s="584"/>
      <c r="AF20" s="415"/>
      <c r="AG20" s="418"/>
      <c r="AH20" s="30"/>
      <c r="AI20" s="247"/>
      <c r="AJ20" s="30"/>
      <c r="AK20" s="30"/>
      <c r="AL20" s="30"/>
      <c r="AM20" s="30"/>
    </row>
    <row r="21" spans="1:39" s="5" customFormat="1" ht="35.15" customHeight="1">
      <c r="A21" s="3">
        <f t="shared" si="8"/>
        <v>15</v>
      </c>
      <c r="B21" s="3">
        <v>1504</v>
      </c>
      <c r="C21" s="3" t="s">
        <v>124</v>
      </c>
      <c r="D21" s="4">
        <v>1700000</v>
      </c>
      <c r="E21" s="4">
        <v>1700000</v>
      </c>
      <c r="F21" s="4">
        <f t="shared" si="0"/>
        <v>0</v>
      </c>
      <c r="G21" s="4">
        <v>1400000</v>
      </c>
      <c r="H21" s="4">
        <v>1352205</v>
      </c>
      <c r="I21" s="4"/>
      <c r="J21" s="4">
        <v>37919</v>
      </c>
      <c r="K21" s="4">
        <f t="shared" si="9"/>
        <v>37919</v>
      </c>
      <c r="L21" s="4">
        <f t="shared" si="1"/>
        <v>1390124</v>
      </c>
      <c r="M21" s="4">
        <f t="shared" si="2"/>
        <v>9876</v>
      </c>
      <c r="N21" s="4">
        <v>100000</v>
      </c>
      <c r="O21" s="4">
        <f t="shared" si="3"/>
        <v>200000</v>
      </c>
      <c r="P21" s="4">
        <f t="shared" si="4"/>
        <v>9876</v>
      </c>
      <c r="Q21" s="4"/>
      <c r="R21" s="4"/>
      <c r="S21" s="4">
        <f t="shared" si="5"/>
        <v>0</v>
      </c>
      <c r="T21" s="4">
        <f t="shared" si="6"/>
        <v>0</v>
      </c>
      <c r="U21" s="4">
        <f t="shared" si="7"/>
        <v>100000</v>
      </c>
      <c r="V21" s="12">
        <f>U21-W21-X21-Y21-Z21</f>
        <v>100000</v>
      </c>
      <c r="W21" s="4"/>
      <c r="X21" s="4"/>
      <c r="Y21" s="4"/>
      <c r="Z21" s="3"/>
      <c r="AA21" s="408" t="s">
        <v>1361</v>
      </c>
      <c r="AB21" s="3">
        <v>746000</v>
      </c>
      <c r="AC21" s="418"/>
      <c r="AD21" s="415"/>
      <c r="AE21" s="584"/>
      <c r="AF21" s="415"/>
      <c r="AG21" s="418"/>
      <c r="AH21" s="30"/>
      <c r="AI21" s="247"/>
      <c r="AJ21" s="30"/>
      <c r="AK21" s="30"/>
      <c r="AL21" s="30"/>
      <c r="AM21" s="30"/>
    </row>
    <row r="22" spans="1:39" s="5" customFormat="1" ht="35.15" customHeight="1">
      <c r="A22" s="3">
        <f t="shared" si="8"/>
        <v>16</v>
      </c>
      <c r="B22" s="3">
        <v>1579</v>
      </c>
      <c r="C22" s="3" t="s">
        <v>1089</v>
      </c>
      <c r="D22" s="4">
        <v>170000</v>
      </c>
      <c r="E22" s="4">
        <v>170000</v>
      </c>
      <c r="F22" s="4">
        <f t="shared" si="0"/>
        <v>0</v>
      </c>
      <c r="G22" s="4">
        <v>170000</v>
      </c>
      <c r="H22" s="4">
        <v>145723.28</v>
      </c>
      <c r="I22" s="4"/>
      <c r="J22" s="4">
        <v>918.98</v>
      </c>
      <c r="K22" s="4">
        <f t="shared" si="9"/>
        <v>918.98</v>
      </c>
      <c r="L22" s="4">
        <f t="shared" si="1"/>
        <v>146642.26</v>
      </c>
      <c r="M22" s="4">
        <f t="shared" si="2"/>
        <v>23357.739999999991</v>
      </c>
      <c r="N22" s="4">
        <v>0</v>
      </c>
      <c r="O22" s="4">
        <f t="shared" si="3"/>
        <v>0</v>
      </c>
      <c r="P22" s="4">
        <f t="shared" si="4"/>
        <v>23357.739999999991</v>
      </c>
      <c r="Q22" s="4"/>
      <c r="R22" s="4"/>
      <c r="S22" s="4">
        <f t="shared" si="5"/>
        <v>0</v>
      </c>
      <c r="T22" s="4">
        <f t="shared" si="6"/>
        <v>0</v>
      </c>
      <c r="U22" s="4">
        <f t="shared" si="7"/>
        <v>0</v>
      </c>
      <c r="V22" s="12"/>
      <c r="W22" s="4">
        <f t="shared" si="10"/>
        <v>0</v>
      </c>
      <c r="X22" s="4"/>
      <c r="Y22" s="4"/>
      <c r="Z22" s="3"/>
      <c r="AA22" s="408"/>
      <c r="AB22" s="3">
        <v>870000</v>
      </c>
      <c r="AC22" s="418"/>
      <c r="AD22" s="415"/>
      <c r="AE22" s="584"/>
      <c r="AF22" s="415"/>
      <c r="AG22" s="20"/>
      <c r="AH22" s="20"/>
      <c r="AI22" s="30"/>
      <c r="AJ22" s="31"/>
      <c r="AK22" s="31"/>
      <c r="AL22" s="31"/>
      <c r="AM22" s="31"/>
    </row>
    <row r="23" spans="1:39" s="5" customFormat="1" ht="35.15" customHeight="1">
      <c r="A23" s="3">
        <f t="shared" si="8"/>
        <v>17</v>
      </c>
      <c r="B23" s="3">
        <v>1598</v>
      </c>
      <c r="C23" s="3" t="s">
        <v>104</v>
      </c>
      <c r="D23" s="4">
        <f>414500+35000+140000</f>
        <v>589500</v>
      </c>
      <c r="E23" s="4">
        <v>414500</v>
      </c>
      <c r="F23" s="4">
        <f t="shared" si="0"/>
        <v>175000</v>
      </c>
      <c r="G23" s="4">
        <v>334500</v>
      </c>
      <c r="H23" s="4">
        <v>222879</v>
      </c>
      <c r="I23" s="4"/>
      <c r="J23" s="4">
        <v>57353</v>
      </c>
      <c r="K23" s="4">
        <f t="shared" si="9"/>
        <v>57353</v>
      </c>
      <c r="L23" s="4">
        <f t="shared" si="1"/>
        <v>280232</v>
      </c>
      <c r="M23" s="4">
        <f t="shared" si="2"/>
        <v>134268</v>
      </c>
      <c r="N23" s="4">
        <f>35000+140000</f>
        <v>175000</v>
      </c>
      <c r="O23" s="4">
        <f t="shared" si="3"/>
        <v>0</v>
      </c>
      <c r="P23" s="4">
        <f t="shared" si="4"/>
        <v>54268</v>
      </c>
      <c r="Q23" s="4">
        <v>80000</v>
      </c>
      <c r="R23" s="4"/>
      <c r="S23" s="4">
        <f t="shared" si="5"/>
        <v>80000</v>
      </c>
      <c r="T23" s="4">
        <f t="shared" si="6"/>
        <v>0</v>
      </c>
      <c r="U23" s="4">
        <f t="shared" si="7"/>
        <v>175000</v>
      </c>
      <c r="V23" s="12"/>
      <c r="W23" s="4">
        <f t="shared" si="10"/>
        <v>35000</v>
      </c>
      <c r="X23" s="4"/>
      <c r="Y23" s="4"/>
      <c r="Z23" s="4">
        <v>140000</v>
      </c>
      <c r="AA23" s="408" t="s">
        <v>1362</v>
      </c>
      <c r="AB23" s="3">
        <v>870000</v>
      </c>
      <c r="AC23" s="418"/>
      <c r="AD23" s="415"/>
      <c r="AE23" s="584"/>
      <c r="AF23" s="415"/>
      <c r="AG23" s="20"/>
      <c r="AH23" s="20"/>
      <c r="AI23" s="30"/>
      <c r="AJ23" s="31"/>
      <c r="AK23" s="31"/>
      <c r="AL23" s="31"/>
      <c r="AM23" s="31"/>
    </row>
    <row r="24" spans="1:39" s="5" customFormat="1" ht="35.15" customHeight="1">
      <c r="A24" s="3">
        <f t="shared" si="8"/>
        <v>18</v>
      </c>
      <c r="B24" s="3">
        <v>1629</v>
      </c>
      <c r="C24" s="3" t="s">
        <v>125</v>
      </c>
      <c r="D24" s="4">
        <f>1400000-950000</f>
        <v>450000</v>
      </c>
      <c r="E24" s="4">
        <v>1400000</v>
      </c>
      <c r="F24" s="4">
        <f t="shared" si="0"/>
        <v>-950000</v>
      </c>
      <c r="G24" s="4">
        <v>450000</v>
      </c>
      <c r="H24" s="4">
        <v>349830.63</v>
      </c>
      <c r="I24" s="4"/>
      <c r="J24" s="4"/>
      <c r="K24" s="4">
        <f t="shared" si="9"/>
        <v>0</v>
      </c>
      <c r="L24" s="4">
        <f t="shared" si="1"/>
        <v>349830.63</v>
      </c>
      <c r="M24" s="4">
        <f t="shared" si="2"/>
        <v>100169.37</v>
      </c>
      <c r="N24" s="4">
        <f>500000-400000-100000</f>
        <v>0</v>
      </c>
      <c r="O24" s="4">
        <f t="shared" si="3"/>
        <v>0</v>
      </c>
      <c r="P24" s="4">
        <f t="shared" si="4"/>
        <v>100169.37</v>
      </c>
      <c r="Q24" s="4"/>
      <c r="R24" s="4"/>
      <c r="S24" s="4">
        <f t="shared" si="5"/>
        <v>0</v>
      </c>
      <c r="T24" s="4">
        <f t="shared" si="6"/>
        <v>0</v>
      </c>
      <c r="U24" s="4">
        <f t="shared" si="7"/>
        <v>0</v>
      </c>
      <c r="V24" s="12"/>
      <c r="W24" s="4">
        <f t="shared" si="10"/>
        <v>0</v>
      </c>
      <c r="X24" s="4"/>
      <c r="Y24" s="4"/>
      <c r="Z24" s="3"/>
      <c r="AA24" s="408"/>
      <c r="AB24" s="3">
        <v>746000</v>
      </c>
      <c r="AC24" s="418"/>
      <c r="AD24" s="415"/>
      <c r="AE24" s="584"/>
      <c r="AF24" s="415"/>
      <c r="AG24" s="418"/>
      <c r="AH24" s="30"/>
      <c r="AI24" s="247"/>
      <c r="AJ24" s="30"/>
      <c r="AK24" s="31"/>
      <c r="AL24" s="31"/>
      <c r="AM24" s="31"/>
    </row>
    <row r="25" spans="1:39" s="5" customFormat="1" ht="35.15" customHeight="1">
      <c r="A25" s="3">
        <f t="shared" si="8"/>
        <v>19</v>
      </c>
      <c r="B25" s="3">
        <v>1680</v>
      </c>
      <c r="C25" s="3" t="s">
        <v>126</v>
      </c>
      <c r="D25" s="4">
        <v>950000</v>
      </c>
      <c r="E25" s="4">
        <v>950000</v>
      </c>
      <c r="F25" s="4">
        <f t="shared" si="0"/>
        <v>0</v>
      </c>
      <c r="G25" s="4">
        <v>300000</v>
      </c>
      <c r="H25" s="4">
        <v>88803</v>
      </c>
      <c r="I25" s="4"/>
      <c r="J25" s="4">
        <v>49440</v>
      </c>
      <c r="K25" s="4">
        <f t="shared" si="9"/>
        <v>49440</v>
      </c>
      <c r="L25" s="4">
        <f t="shared" si="1"/>
        <v>138243</v>
      </c>
      <c r="M25" s="4">
        <f t="shared" si="2"/>
        <v>161757</v>
      </c>
      <c r="N25" s="4">
        <f>400000-200000</f>
        <v>200000</v>
      </c>
      <c r="O25" s="4">
        <f t="shared" si="3"/>
        <v>450000</v>
      </c>
      <c r="P25" s="4">
        <f t="shared" si="4"/>
        <v>161757</v>
      </c>
      <c r="Q25" s="4">
        <v>0</v>
      </c>
      <c r="R25" s="4"/>
      <c r="S25" s="4">
        <f t="shared" si="5"/>
        <v>0</v>
      </c>
      <c r="T25" s="4">
        <f t="shared" si="6"/>
        <v>0</v>
      </c>
      <c r="U25" s="4">
        <f t="shared" si="7"/>
        <v>200000</v>
      </c>
      <c r="V25" s="12"/>
      <c r="W25" s="4">
        <f t="shared" si="10"/>
        <v>200000</v>
      </c>
      <c r="X25" s="4"/>
      <c r="Y25" s="4"/>
      <c r="Z25" s="3"/>
      <c r="AA25" s="408" t="s">
        <v>1363</v>
      </c>
      <c r="AB25" s="3">
        <v>746000</v>
      </c>
      <c r="AC25" s="418"/>
      <c r="AD25" s="415"/>
      <c r="AE25" s="584"/>
      <c r="AF25" s="415"/>
      <c r="AG25" s="418"/>
      <c r="AH25" s="30"/>
      <c r="AI25" s="247"/>
      <c r="AJ25" s="30"/>
      <c r="AK25" s="31"/>
      <c r="AL25" s="31"/>
      <c r="AM25" s="31"/>
    </row>
    <row r="26" spans="1:39" s="5" customFormat="1" ht="35.15" customHeight="1">
      <c r="A26" s="3">
        <f t="shared" si="8"/>
        <v>20</v>
      </c>
      <c r="B26" s="3">
        <v>1831</v>
      </c>
      <c r="C26" s="3" t="s">
        <v>240</v>
      </c>
      <c r="D26" s="4">
        <f>166059-20000</f>
        <v>146059</v>
      </c>
      <c r="E26" s="4">
        <v>166059</v>
      </c>
      <c r="F26" s="4">
        <f t="shared" si="0"/>
        <v>-20000</v>
      </c>
      <c r="G26" s="4">
        <v>146059</v>
      </c>
      <c r="H26" s="4">
        <v>38025</v>
      </c>
      <c r="I26" s="4"/>
      <c r="J26" s="4"/>
      <c r="K26" s="4">
        <f t="shared" si="9"/>
        <v>0</v>
      </c>
      <c r="L26" s="4">
        <f t="shared" si="1"/>
        <v>38025</v>
      </c>
      <c r="M26" s="4">
        <f t="shared" ref="M26:M45" si="11">P26+S26</f>
        <v>108034</v>
      </c>
      <c r="N26" s="4"/>
      <c r="O26" s="4">
        <f t="shared" si="3"/>
        <v>0</v>
      </c>
      <c r="P26" s="4">
        <f t="shared" si="4"/>
        <v>108034</v>
      </c>
      <c r="Q26" s="4"/>
      <c r="R26" s="4"/>
      <c r="S26" s="4">
        <f t="shared" si="5"/>
        <v>0</v>
      </c>
      <c r="T26" s="4">
        <f t="shared" si="6"/>
        <v>0</v>
      </c>
      <c r="U26" s="4">
        <f t="shared" si="7"/>
        <v>0</v>
      </c>
      <c r="V26" s="12"/>
      <c r="W26" s="4">
        <f t="shared" si="10"/>
        <v>0</v>
      </c>
      <c r="X26" s="4"/>
      <c r="Y26" s="4"/>
      <c r="Z26" s="3"/>
      <c r="AA26" s="518"/>
      <c r="AB26" s="3">
        <v>870000</v>
      </c>
      <c r="AC26" s="418"/>
      <c r="AD26" s="415"/>
      <c r="AE26" s="584"/>
      <c r="AF26" s="415"/>
      <c r="AG26" s="20"/>
      <c r="AH26" s="20"/>
      <c r="AI26" s="30"/>
      <c r="AJ26" s="31"/>
      <c r="AK26" s="31"/>
      <c r="AL26" s="31"/>
      <c r="AM26" s="31"/>
    </row>
    <row r="27" spans="1:39" s="5" customFormat="1" ht="35.15" customHeight="1">
      <c r="A27" s="3">
        <f t="shared" si="8"/>
        <v>21</v>
      </c>
      <c r="B27" s="3">
        <v>1861</v>
      </c>
      <c r="C27" s="3" t="s">
        <v>241</v>
      </c>
      <c r="D27" s="4">
        <v>270000</v>
      </c>
      <c r="E27" s="4">
        <v>270000</v>
      </c>
      <c r="F27" s="4">
        <f t="shared" si="0"/>
        <v>0</v>
      </c>
      <c r="G27" s="4">
        <v>270000</v>
      </c>
      <c r="H27" s="4">
        <v>138589.71</v>
      </c>
      <c r="I27" s="4"/>
      <c r="J27" s="4">
        <v>131407.82</v>
      </c>
      <c r="K27" s="4">
        <f t="shared" si="9"/>
        <v>131407.82</v>
      </c>
      <c r="L27" s="4">
        <f t="shared" si="1"/>
        <v>269997.53000000003</v>
      </c>
      <c r="M27" s="4">
        <f t="shared" si="11"/>
        <v>2.4699999999720603</v>
      </c>
      <c r="N27" s="4"/>
      <c r="O27" s="4">
        <f t="shared" si="3"/>
        <v>0</v>
      </c>
      <c r="P27" s="4">
        <f t="shared" si="4"/>
        <v>2.4699999999720603</v>
      </c>
      <c r="Q27" s="4"/>
      <c r="R27" s="4"/>
      <c r="S27" s="4">
        <f t="shared" si="5"/>
        <v>0</v>
      </c>
      <c r="T27" s="4">
        <f t="shared" si="6"/>
        <v>0</v>
      </c>
      <c r="U27" s="4">
        <f t="shared" si="7"/>
        <v>0</v>
      </c>
      <c r="V27" s="12"/>
      <c r="W27" s="4">
        <f t="shared" si="10"/>
        <v>0</v>
      </c>
      <c r="X27" s="4"/>
      <c r="Y27" s="4"/>
      <c r="Z27" s="3"/>
      <c r="AA27" s="708"/>
      <c r="AB27" s="3">
        <v>714000</v>
      </c>
      <c r="AC27" s="418"/>
      <c r="AD27" s="415"/>
      <c r="AE27" s="584"/>
      <c r="AF27" s="415"/>
      <c r="AG27" s="418"/>
      <c r="AH27" s="30"/>
      <c r="AI27" s="247"/>
      <c r="AJ27" s="30"/>
      <c r="AK27" s="31"/>
      <c r="AL27" s="31"/>
      <c r="AM27" s="31"/>
    </row>
    <row r="28" spans="1:39" s="5" customFormat="1" ht="35.15" customHeight="1">
      <c r="A28" s="3">
        <f t="shared" si="8"/>
        <v>22</v>
      </c>
      <c r="B28" s="3">
        <v>1866</v>
      </c>
      <c r="C28" s="3" t="s">
        <v>245</v>
      </c>
      <c r="D28" s="4">
        <v>300000</v>
      </c>
      <c r="E28" s="4">
        <v>300000</v>
      </c>
      <c r="F28" s="4">
        <f t="shared" si="0"/>
        <v>0</v>
      </c>
      <c r="G28" s="4">
        <v>150000</v>
      </c>
      <c r="H28" s="4">
        <v>94624</v>
      </c>
      <c r="I28" s="4"/>
      <c r="J28" s="4">
        <v>51739</v>
      </c>
      <c r="K28" s="4">
        <f t="shared" si="9"/>
        <v>51739</v>
      </c>
      <c r="L28" s="4">
        <f t="shared" si="1"/>
        <v>146363</v>
      </c>
      <c r="M28" s="4">
        <f t="shared" si="11"/>
        <v>3637</v>
      </c>
      <c r="N28" s="4">
        <v>75000</v>
      </c>
      <c r="O28" s="4">
        <f t="shared" si="3"/>
        <v>75000</v>
      </c>
      <c r="P28" s="4">
        <f t="shared" si="4"/>
        <v>3637</v>
      </c>
      <c r="Q28" s="4"/>
      <c r="R28" s="4"/>
      <c r="S28" s="4">
        <f t="shared" si="5"/>
        <v>0</v>
      </c>
      <c r="T28" s="4">
        <f t="shared" si="6"/>
        <v>0</v>
      </c>
      <c r="U28" s="4">
        <f t="shared" si="7"/>
        <v>75000</v>
      </c>
      <c r="V28" s="12"/>
      <c r="W28" s="4">
        <f t="shared" si="10"/>
        <v>75000</v>
      </c>
      <c r="X28" s="4"/>
      <c r="Y28" s="4"/>
      <c r="Z28" s="3"/>
      <c r="AA28" s="708" t="s">
        <v>797</v>
      </c>
      <c r="AB28" s="3">
        <v>870000</v>
      </c>
      <c r="AC28" s="418"/>
      <c r="AD28" s="415"/>
      <c r="AE28" s="584"/>
      <c r="AF28" s="415"/>
      <c r="AG28" s="20"/>
      <c r="AH28" s="20"/>
      <c r="AI28" s="30"/>
      <c r="AJ28" s="31"/>
      <c r="AK28" s="31"/>
      <c r="AL28" s="31"/>
      <c r="AM28" s="31"/>
    </row>
    <row r="29" spans="1:39" s="5" customFormat="1" ht="35.15" customHeight="1">
      <c r="A29" s="3">
        <f t="shared" si="8"/>
        <v>23</v>
      </c>
      <c r="B29" s="3">
        <v>1899</v>
      </c>
      <c r="C29" s="3" t="s">
        <v>274</v>
      </c>
      <c r="D29" s="4">
        <f>1000000-500000</f>
        <v>500000</v>
      </c>
      <c r="E29" s="4">
        <v>500000</v>
      </c>
      <c r="F29" s="4">
        <f t="shared" si="0"/>
        <v>0</v>
      </c>
      <c r="G29" s="4">
        <v>170000</v>
      </c>
      <c r="H29" s="4">
        <v>169983.45</v>
      </c>
      <c r="I29" s="4"/>
      <c r="J29" s="4"/>
      <c r="K29" s="4">
        <f t="shared" si="9"/>
        <v>0</v>
      </c>
      <c r="L29" s="4">
        <f t="shared" si="1"/>
        <v>169983.45</v>
      </c>
      <c r="M29" s="4">
        <f t="shared" si="11"/>
        <v>16.549999999988358</v>
      </c>
      <c r="N29" s="4">
        <f>500000-250000+50000</f>
        <v>300000</v>
      </c>
      <c r="O29" s="4">
        <f t="shared" si="3"/>
        <v>30000</v>
      </c>
      <c r="P29" s="4">
        <f t="shared" si="4"/>
        <v>16.549999999988358</v>
      </c>
      <c r="Q29" s="4"/>
      <c r="R29" s="4"/>
      <c r="S29" s="4">
        <f t="shared" si="5"/>
        <v>0</v>
      </c>
      <c r="T29" s="4">
        <f t="shared" si="6"/>
        <v>0</v>
      </c>
      <c r="U29" s="4">
        <f t="shared" si="7"/>
        <v>300000</v>
      </c>
      <c r="V29" s="12"/>
      <c r="W29" s="4">
        <f t="shared" si="10"/>
        <v>300000</v>
      </c>
      <c r="X29" s="4"/>
      <c r="Y29" s="4"/>
      <c r="Z29" s="3"/>
      <c r="AA29" s="408" t="s">
        <v>798</v>
      </c>
      <c r="AB29" s="3">
        <v>870000</v>
      </c>
      <c r="AC29" s="418"/>
      <c r="AD29" s="415"/>
      <c r="AE29" s="584"/>
      <c r="AF29" s="415"/>
      <c r="AG29" s="418"/>
      <c r="AH29" s="30"/>
      <c r="AI29" s="247"/>
      <c r="AJ29" s="30"/>
      <c r="AK29" s="31"/>
      <c r="AL29" s="31"/>
      <c r="AM29" s="31"/>
    </row>
    <row r="30" spans="1:39" s="5" customFormat="1" ht="35.15" customHeight="1">
      <c r="A30" s="3">
        <f t="shared" si="8"/>
        <v>24</v>
      </c>
      <c r="B30" s="3">
        <v>1922</v>
      </c>
      <c r="C30" s="3" t="s">
        <v>242</v>
      </c>
      <c r="D30" s="4">
        <v>330000</v>
      </c>
      <c r="E30" s="4">
        <v>330000</v>
      </c>
      <c r="F30" s="4">
        <f t="shared" si="0"/>
        <v>0</v>
      </c>
      <c r="G30" s="4">
        <v>150000</v>
      </c>
      <c r="H30" s="4">
        <v>22669</v>
      </c>
      <c r="I30" s="4"/>
      <c r="J30" s="4">
        <v>0</v>
      </c>
      <c r="K30" s="4">
        <f t="shared" si="9"/>
        <v>0</v>
      </c>
      <c r="L30" s="4">
        <f t="shared" si="1"/>
        <v>22669</v>
      </c>
      <c r="M30" s="4">
        <f t="shared" si="11"/>
        <v>177331</v>
      </c>
      <c r="N30" s="4"/>
      <c r="O30" s="4">
        <f t="shared" si="3"/>
        <v>130000</v>
      </c>
      <c r="P30" s="4">
        <f t="shared" si="4"/>
        <v>127331</v>
      </c>
      <c r="Q30" s="4">
        <v>50000</v>
      </c>
      <c r="R30" s="4"/>
      <c r="S30" s="4">
        <f t="shared" si="5"/>
        <v>50000</v>
      </c>
      <c r="T30" s="4">
        <f t="shared" si="6"/>
        <v>0</v>
      </c>
      <c r="U30" s="4">
        <f t="shared" si="7"/>
        <v>0</v>
      </c>
      <c r="V30" s="12"/>
      <c r="W30" s="4">
        <f t="shared" si="10"/>
        <v>0</v>
      </c>
      <c r="X30" s="4"/>
      <c r="Y30" s="4"/>
      <c r="Z30" s="3"/>
      <c r="AA30" s="518"/>
      <c r="AB30" s="3">
        <v>870000</v>
      </c>
      <c r="AC30" s="418"/>
      <c r="AD30" s="415"/>
      <c r="AE30" s="584"/>
      <c r="AF30" s="415"/>
      <c r="AG30" s="20"/>
      <c r="AH30" s="20"/>
      <c r="AI30" s="30"/>
      <c r="AJ30" s="31"/>
      <c r="AK30" s="31"/>
      <c r="AL30" s="31"/>
      <c r="AM30" s="31"/>
    </row>
    <row r="31" spans="1:39" s="5" customFormat="1" ht="35.15" customHeight="1">
      <c r="A31" s="3">
        <f t="shared" si="8"/>
        <v>25</v>
      </c>
      <c r="B31" s="3">
        <v>1971</v>
      </c>
      <c r="C31" s="3" t="s">
        <v>275</v>
      </c>
      <c r="D31" s="4">
        <v>500000</v>
      </c>
      <c r="E31" s="4">
        <v>2500000</v>
      </c>
      <c r="F31" s="4">
        <f t="shared" si="0"/>
        <v>-2000000</v>
      </c>
      <c r="G31" s="4">
        <v>500000</v>
      </c>
      <c r="H31" s="4">
        <v>11700</v>
      </c>
      <c r="I31" s="4"/>
      <c r="J31" s="4">
        <v>175849.65</v>
      </c>
      <c r="K31" s="4">
        <f t="shared" si="9"/>
        <v>175849.65</v>
      </c>
      <c r="L31" s="4">
        <f t="shared" si="1"/>
        <v>187549.65</v>
      </c>
      <c r="M31" s="4">
        <f t="shared" si="11"/>
        <v>312450.34999999998</v>
      </c>
      <c r="N31" s="4"/>
      <c r="O31" s="4">
        <f t="shared" si="3"/>
        <v>0</v>
      </c>
      <c r="P31" s="4">
        <f t="shared" si="4"/>
        <v>312450.34999999998</v>
      </c>
      <c r="Q31" s="4"/>
      <c r="R31" s="4"/>
      <c r="S31" s="4">
        <f t="shared" si="5"/>
        <v>0</v>
      </c>
      <c r="T31" s="4">
        <f t="shared" si="6"/>
        <v>0</v>
      </c>
      <c r="U31" s="4">
        <f t="shared" si="7"/>
        <v>0</v>
      </c>
      <c r="V31" s="12"/>
      <c r="W31" s="4">
        <f t="shared" si="10"/>
        <v>0</v>
      </c>
      <c r="X31" s="4"/>
      <c r="Y31" s="4"/>
      <c r="Z31" s="3"/>
      <c r="AA31" s="518"/>
      <c r="AB31" s="3">
        <v>746000</v>
      </c>
      <c r="AC31" s="418"/>
      <c r="AD31" s="415"/>
      <c r="AE31" s="584"/>
      <c r="AF31" s="415"/>
      <c r="AG31" s="418"/>
      <c r="AH31" s="30"/>
      <c r="AI31" s="247"/>
      <c r="AJ31" s="30"/>
      <c r="AK31" s="31"/>
      <c r="AL31" s="31"/>
      <c r="AM31" s="31"/>
    </row>
    <row r="32" spans="1:39" s="5" customFormat="1" ht="35.15" customHeight="1">
      <c r="A32" s="3">
        <f t="shared" si="8"/>
        <v>26</v>
      </c>
      <c r="B32" s="3">
        <v>1973</v>
      </c>
      <c r="C32" s="3" t="s">
        <v>276</v>
      </c>
      <c r="D32" s="4">
        <v>1800000</v>
      </c>
      <c r="E32" s="4">
        <v>1800000</v>
      </c>
      <c r="F32" s="4">
        <f t="shared" si="0"/>
        <v>0</v>
      </c>
      <c r="G32" s="4">
        <v>900000</v>
      </c>
      <c r="H32" s="4">
        <v>239713.26</v>
      </c>
      <c r="I32" s="4"/>
      <c r="J32" s="4">
        <v>30771</v>
      </c>
      <c r="K32" s="4">
        <f t="shared" si="9"/>
        <v>30771</v>
      </c>
      <c r="L32" s="4">
        <f t="shared" si="1"/>
        <v>270484.26</v>
      </c>
      <c r="M32" s="4">
        <f t="shared" si="11"/>
        <v>629515.74</v>
      </c>
      <c r="N32" s="4">
        <f>300000-200000</f>
        <v>100000</v>
      </c>
      <c r="O32" s="4">
        <f t="shared" si="3"/>
        <v>800000</v>
      </c>
      <c r="P32" s="4">
        <f t="shared" si="4"/>
        <v>629515.74</v>
      </c>
      <c r="Q32" s="4"/>
      <c r="R32" s="4"/>
      <c r="S32" s="4">
        <f t="shared" si="5"/>
        <v>0</v>
      </c>
      <c r="T32" s="4">
        <f t="shared" si="6"/>
        <v>0</v>
      </c>
      <c r="U32" s="4">
        <f t="shared" si="7"/>
        <v>100000</v>
      </c>
      <c r="V32" s="12"/>
      <c r="W32" s="4">
        <f t="shared" si="10"/>
        <v>100000</v>
      </c>
      <c r="X32" s="4"/>
      <c r="Y32" s="4"/>
      <c r="Z32" s="3"/>
      <c r="AA32" s="408" t="s">
        <v>1364</v>
      </c>
      <c r="AB32" s="3">
        <v>742000</v>
      </c>
      <c r="AC32" s="418"/>
      <c r="AD32" s="415"/>
      <c r="AE32" s="584"/>
      <c r="AF32" s="415"/>
      <c r="AG32" s="418"/>
      <c r="AH32" s="30"/>
      <c r="AI32" s="247"/>
      <c r="AJ32" s="30"/>
      <c r="AK32" s="31"/>
      <c r="AL32" s="31"/>
      <c r="AM32" s="31"/>
    </row>
    <row r="33" spans="1:39" s="5" customFormat="1" ht="35.15" customHeight="1">
      <c r="A33" s="3">
        <f t="shared" si="8"/>
        <v>27</v>
      </c>
      <c r="B33" s="3">
        <v>1974</v>
      </c>
      <c r="C33" s="3" t="s">
        <v>799</v>
      </c>
      <c r="D33" s="4">
        <f>500000-400000-40000</f>
        <v>60000</v>
      </c>
      <c r="E33" s="4">
        <v>500000</v>
      </c>
      <c r="F33" s="4">
        <f t="shared" si="0"/>
        <v>-440000</v>
      </c>
      <c r="G33" s="4">
        <v>100000</v>
      </c>
      <c r="H33" s="4">
        <v>45565.72</v>
      </c>
      <c r="I33" s="4"/>
      <c r="J33" s="4">
        <v>9977.16</v>
      </c>
      <c r="K33" s="4">
        <f t="shared" si="9"/>
        <v>9977.16</v>
      </c>
      <c r="L33" s="4">
        <f t="shared" si="1"/>
        <v>55542.880000000005</v>
      </c>
      <c r="M33" s="4">
        <f>P33+S33-40000</f>
        <v>4457.1199999999953</v>
      </c>
      <c r="N33" s="4"/>
      <c r="O33" s="4">
        <f t="shared" si="3"/>
        <v>0</v>
      </c>
      <c r="P33" s="4">
        <f t="shared" si="4"/>
        <v>44457.119999999995</v>
      </c>
      <c r="Q33" s="4"/>
      <c r="R33" s="4"/>
      <c r="S33" s="4">
        <f t="shared" si="5"/>
        <v>0</v>
      </c>
      <c r="T33" s="4">
        <f t="shared" si="6"/>
        <v>40000</v>
      </c>
      <c r="U33" s="4">
        <f t="shared" si="7"/>
        <v>-40000</v>
      </c>
      <c r="V33" s="12"/>
      <c r="W33" s="4">
        <f t="shared" si="10"/>
        <v>-40000</v>
      </c>
      <c r="X33" s="4"/>
      <c r="Y33" s="4"/>
      <c r="Z33" s="3"/>
      <c r="AA33" s="518"/>
      <c r="AB33" s="3">
        <v>746000</v>
      </c>
      <c r="AC33" s="418"/>
      <c r="AD33" s="415"/>
      <c r="AE33" s="584"/>
      <c r="AF33" s="415"/>
      <c r="AG33" s="418"/>
      <c r="AH33" s="30"/>
      <c r="AI33" s="247"/>
      <c r="AJ33" s="30"/>
      <c r="AK33" s="31"/>
      <c r="AL33" s="31"/>
      <c r="AM33" s="31"/>
    </row>
    <row r="34" spans="1:39" s="5" customFormat="1" ht="35.15" customHeight="1">
      <c r="A34" s="3">
        <f t="shared" si="8"/>
        <v>28</v>
      </c>
      <c r="B34" s="3">
        <v>1989</v>
      </c>
      <c r="C34" s="3" t="s">
        <v>1357</v>
      </c>
      <c r="D34" s="4">
        <v>860000</v>
      </c>
      <c r="E34" s="4">
        <v>860000</v>
      </c>
      <c r="F34" s="4">
        <f t="shared" si="0"/>
        <v>0</v>
      </c>
      <c r="G34" s="4">
        <v>505000</v>
      </c>
      <c r="H34" s="4">
        <v>0</v>
      </c>
      <c r="I34" s="4"/>
      <c r="J34" s="4">
        <v>501538.51</v>
      </c>
      <c r="K34" s="4">
        <f t="shared" si="9"/>
        <v>501538.51</v>
      </c>
      <c r="L34" s="4">
        <f t="shared" si="1"/>
        <v>501538.51</v>
      </c>
      <c r="M34" s="4">
        <f t="shared" si="11"/>
        <v>3461.4899999999907</v>
      </c>
      <c r="N34" s="4">
        <v>355000</v>
      </c>
      <c r="O34" s="4">
        <f t="shared" si="3"/>
        <v>0</v>
      </c>
      <c r="P34" s="4">
        <f t="shared" si="4"/>
        <v>3461.4899999999907</v>
      </c>
      <c r="Q34" s="4"/>
      <c r="R34" s="4"/>
      <c r="S34" s="4">
        <f t="shared" si="5"/>
        <v>0</v>
      </c>
      <c r="T34" s="4">
        <f t="shared" si="6"/>
        <v>0</v>
      </c>
      <c r="U34" s="4">
        <f t="shared" si="7"/>
        <v>355000</v>
      </c>
      <c r="V34" s="12">
        <f>U34-W34-X34-Y34-Z34</f>
        <v>355000</v>
      </c>
      <c r="W34" s="4"/>
      <c r="X34" s="4"/>
      <c r="Y34" s="4"/>
      <c r="Z34" s="3"/>
      <c r="AA34" s="708" t="s">
        <v>801</v>
      </c>
      <c r="AB34" s="3">
        <v>746000</v>
      </c>
      <c r="AC34" s="418"/>
      <c r="AD34" s="415"/>
      <c r="AE34" s="584"/>
      <c r="AF34" s="415"/>
      <c r="AG34" s="418"/>
      <c r="AH34" s="30"/>
      <c r="AI34" s="247"/>
      <c r="AJ34" s="30"/>
      <c r="AK34" s="31"/>
      <c r="AL34" s="31"/>
      <c r="AM34" s="31"/>
    </row>
    <row r="35" spans="1:39" s="5" customFormat="1" ht="35.15" customHeight="1">
      <c r="A35" s="3">
        <f t="shared" si="8"/>
        <v>29</v>
      </c>
      <c r="B35" s="3">
        <v>1998</v>
      </c>
      <c r="C35" s="3" t="s">
        <v>517</v>
      </c>
      <c r="D35" s="4">
        <v>4630000</v>
      </c>
      <c r="E35" s="4">
        <v>4630000</v>
      </c>
      <c r="F35" s="4">
        <f t="shared" si="0"/>
        <v>0</v>
      </c>
      <c r="G35" s="4">
        <v>0</v>
      </c>
      <c r="H35" s="4">
        <v>0</v>
      </c>
      <c r="I35" s="4"/>
      <c r="J35" s="4"/>
      <c r="K35" s="4">
        <f t="shared" si="9"/>
        <v>0</v>
      </c>
      <c r="L35" s="4">
        <f t="shared" si="1"/>
        <v>0</v>
      </c>
      <c r="M35" s="4">
        <f t="shared" si="11"/>
        <v>0</v>
      </c>
      <c r="N35" s="4">
        <v>2000000</v>
      </c>
      <c r="O35" s="4">
        <f t="shared" si="3"/>
        <v>2630000</v>
      </c>
      <c r="P35" s="4">
        <f t="shared" si="4"/>
        <v>0</v>
      </c>
      <c r="Q35" s="4"/>
      <c r="R35" s="4"/>
      <c r="S35" s="4">
        <f t="shared" si="5"/>
        <v>0</v>
      </c>
      <c r="T35" s="4">
        <f t="shared" si="6"/>
        <v>0</v>
      </c>
      <c r="U35" s="4">
        <f t="shared" si="7"/>
        <v>2000000</v>
      </c>
      <c r="V35" s="12">
        <f>700000-400000</f>
        <v>300000</v>
      </c>
      <c r="W35" s="4">
        <f t="shared" si="10"/>
        <v>700000</v>
      </c>
      <c r="X35" s="4"/>
      <c r="Y35" s="4"/>
      <c r="Z35" s="4">
        <v>1000000</v>
      </c>
      <c r="AA35" s="708" t="s">
        <v>1365</v>
      </c>
      <c r="AB35" s="3">
        <v>870000</v>
      </c>
      <c r="AC35" s="418"/>
      <c r="AD35" s="415"/>
      <c r="AE35" s="584"/>
      <c r="AF35" s="415"/>
      <c r="AG35" s="20"/>
      <c r="AH35" s="20"/>
      <c r="AI35" s="30"/>
      <c r="AJ35" s="31"/>
      <c r="AK35" s="31"/>
      <c r="AL35" s="31"/>
      <c r="AM35" s="31"/>
    </row>
    <row r="36" spans="1:39" s="5" customFormat="1" ht="35.15" customHeight="1">
      <c r="A36" s="3">
        <f t="shared" si="8"/>
        <v>30</v>
      </c>
      <c r="B36" s="3">
        <v>2035</v>
      </c>
      <c r="C36" s="3" t="s">
        <v>363</v>
      </c>
      <c r="D36" s="4">
        <v>953000</v>
      </c>
      <c r="E36" s="4">
        <v>953000</v>
      </c>
      <c r="F36" s="4">
        <f t="shared" si="0"/>
        <v>0</v>
      </c>
      <c r="G36" s="4">
        <v>953000</v>
      </c>
      <c r="H36" s="4">
        <v>0</v>
      </c>
      <c r="I36" s="4"/>
      <c r="J36" s="4">
        <v>647934.81000000006</v>
      </c>
      <c r="K36" s="4">
        <f t="shared" si="9"/>
        <v>647934.81000000006</v>
      </c>
      <c r="L36" s="4">
        <f t="shared" si="1"/>
        <v>647934.81000000006</v>
      </c>
      <c r="M36" s="4">
        <f t="shared" si="11"/>
        <v>305065.18999999994</v>
      </c>
      <c r="N36" s="4"/>
      <c r="O36" s="4">
        <f t="shared" si="3"/>
        <v>0</v>
      </c>
      <c r="P36" s="4">
        <f t="shared" si="4"/>
        <v>305065.18999999994</v>
      </c>
      <c r="Q36" s="4"/>
      <c r="R36" s="4"/>
      <c r="S36" s="4">
        <f t="shared" si="5"/>
        <v>0</v>
      </c>
      <c r="T36" s="4">
        <f t="shared" si="6"/>
        <v>0</v>
      </c>
      <c r="U36" s="4">
        <f t="shared" si="7"/>
        <v>0</v>
      </c>
      <c r="V36" s="12"/>
      <c r="W36" s="4">
        <f t="shared" si="10"/>
        <v>0</v>
      </c>
      <c r="X36" s="4"/>
      <c r="Y36" s="4"/>
      <c r="Z36" s="3"/>
      <c r="AA36" s="408"/>
      <c r="AB36" s="3">
        <v>746000</v>
      </c>
      <c r="AC36" s="418"/>
      <c r="AD36" s="415"/>
      <c r="AE36" s="584"/>
      <c r="AF36" s="415"/>
      <c r="AG36" s="418"/>
      <c r="AH36" s="30"/>
      <c r="AI36" s="247"/>
      <c r="AJ36" s="30"/>
      <c r="AK36" s="30"/>
      <c r="AL36" s="30"/>
      <c r="AM36" s="30"/>
    </row>
    <row r="37" spans="1:39" s="5" customFormat="1" ht="35.15" customHeight="1">
      <c r="A37" s="3">
        <f t="shared" si="8"/>
        <v>31</v>
      </c>
      <c r="B37" s="3">
        <v>2036</v>
      </c>
      <c r="C37" s="3" t="s">
        <v>802</v>
      </c>
      <c r="D37" s="4">
        <v>1120000</v>
      </c>
      <c r="E37" s="4">
        <v>950000</v>
      </c>
      <c r="F37" s="4">
        <f t="shared" si="0"/>
        <v>170000</v>
      </c>
      <c r="G37" s="4">
        <v>500000</v>
      </c>
      <c r="H37" s="4">
        <v>0</v>
      </c>
      <c r="I37" s="4">
        <v>474201</v>
      </c>
      <c r="J37" s="4">
        <v>25798.5</v>
      </c>
      <c r="K37" s="4">
        <f t="shared" si="9"/>
        <v>499999.5</v>
      </c>
      <c r="L37" s="4">
        <f t="shared" si="1"/>
        <v>499999.5</v>
      </c>
      <c r="M37" s="4">
        <f t="shared" si="11"/>
        <v>0.5</v>
      </c>
      <c r="N37" s="4">
        <v>620000</v>
      </c>
      <c r="O37" s="4">
        <f t="shared" si="3"/>
        <v>0</v>
      </c>
      <c r="P37" s="4">
        <f t="shared" si="4"/>
        <v>0.5</v>
      </c>
      <c r="Q37" s="4"/>
      <c r="R37" s="4"/>
      <c r="S37" s="4">
        <f t="shared" si="5"/>
        <v>0</v>
      </c>
      <c r="T37" s="4">
        <f t="shared" si="6"/>
        <v>0</v>
      </c>
      <c r="U37" s="4">
        <f t="shared" si="7"/>
        <v>620000</v>
      </c>
      <c r="V37" s="12">
        <f>U37-W37-X37-Y37-Z37</f>
        <v>620000</v>
      </c>
      <c r="W37" s="4"/>
      <c r="X37" s="4"/>
      <c r="Y37" s="4"/>
      <c r="Z37" s="3"/>
      <c r="AA37" s="408" t="s">
        <v>1140</v>
      </c>
      <c r="AB37" s="3">
        <v>810000</v>
      </c>
      <c r="AC37" s="418"/>
      <c r="AD37" s="415"/>
      <c r="AE37" s="584"/>
      <c r="AF37" s="415"/>
      <c r="AG37" s="418"/>
      <c r="AH37" s="30"/>
      <c r="AI37" s="247"/>
      <c r="AJ37" s="30"/>
      <c r="AK37" s="30"/>
      <c r="AL37" s="30"/>
      <c r="AM37" s="30"/>
    </row>
    <row r="38" spans="1:39" s="5" customFormat="1" ht="35.15" customHeight="1">
      <c r="A38" s="3">
        <f t="shared" si="8"/>
        <v>32</v>
      </c>
      <c r="B38" s="3">
        <v>2037</v>
      </c>
      <c r="C38" s="3" t="s">
        <v>1276</v>
      </c>
      <c r="D38" s="4">
        <v>5000000</v>
      </c>
      <c r="E38" s="4">
        <v>5000000</v>
      </c>
      <c r="F38" s="4">
        <f t="shared" si="0"/>
        <v>0</v>
      </c>
      <c r="G38" s="4">
        <v>500000</v>
      </c>
      <c r="H38" s="4">
        <v>7020</v>
      </c>
      <c r="I38" s="4"/>
      <c r="J38" s="4">
        <v>492980</v>
      </c>
      <c r="K38" s="4">
        <f t="shared" si="9"/>
        <v>492980</v>
      </c>
      <c r="L38" s="4">
        <f t="shared" si="1"/>
        <v>500000</v>
      </c>
      <c r="M38" s="4">
        <f t="shared" si="11"/>
        <v>0</v>
      </c>
      <c r="N38" s="4">
        <f>1000000-500000</f>
        <v>500000</v>
      </c>
      <c r="O38" s="4">
        <f t="shared" si="3"/>
        <v>4000000</v>
      </c>
      <c r="P38" s="4">
        <f t="shared" si="4"/>
        <v>0</v>
      </c>
      <c r="Q38" s="4">
        <v>0</v>
      </c>
      <c r="R38" s="4"/>
      <c r="S38" s="4">
        <f t="shared" si="5"/>
        <v>0</v>
      </c>
      <c r="T38" s="4">
        <f t="shared" si="6"/>
        <v>0</v>
      </c>
      <c r="U38" s="4">
        <f t="shared" si="7"/>
        <v>500000</v>
      </c>
      <c r="V38" s="12">
        <f>U38-W38-X38-Y38-Z38</f>
        <v>500000</v>
      </c>
      <c r="W38" s="4"/>
      <c r="X38" s="4"/>
      <c r="Y38" s="4"/>
      <c r="Z38" s="3"/>
      <c r="AA38" s="408" t="s">
        <v>804</v>
      </c>
      <c r="AB38" s="3">
        <v>870000</v>
      </c>
      <c r="AC38" s="418"/>
      <c r="AD38" s="415"/>
      <c r="AE38" s="584"/>
      <c r="AF38" s="415"/>
      <c r="AG38" s="418"/>
      <c r="AH38" s="30"/>
      <c r="AI38" s="247"/>
      <c r="AJ38" s="30"/>
      <c r="AK38" s="31"/>
      <c r="AL38" s="31"/>
      <c r="AM38" s="31"/>
    </row>
    <row r="39" spans="1:39" s="5" customFormat="1" ht="35.15" customHeight="1">
      <c r="A39" s="3">
        <f t="shared" si="8"/>
        <v>33</v>
      </c>
      <c r="B39" s="3">
        <v>2038</v>
      </c>
      <c r="C39" s="3" t="s">
        <v>805</v>
      </c>
      <c r="D39" s="4">
        <f>4000000-1500000-250000</f>
        <v>2250000</v>
      </c>
      <c r="E39" s="4">
        <v>1500000</v>
      </c>
      <c r="F39" s="4">
        <f t="shared" si="0"/>
        <v>750000</v>
      </c>
      <c r="G39" s="4">
        <f>800000+700000</f>
        <v>1500000</v>
      </c>
      <c r="H39" s="4">
        <v>88254</v>
      </c>
      <c r="I39" s="4"/>
      <c r="J39" s="4">
        <v>1366897</v>
      </c>
      <c r="K39" s="4">
        <f t="shared" si="9"/>
        <v>1366897</v>
      </c>
      <c r="L39" s="4">
        <f t="shared" si="1"/>
        <v>1455151</v>
      </c>
      <c r="M39" s="4">
        <f t="shared" si="11"/>
        <v>44849</v>
      </c>
      <c r="N39" s="4">
        <f>2500000-1000000-750000</f>
        <v>750000</v>
      </c>
      <c r="O39" s="4">
        <f t="shared" si="3"/>
        <v>0</v>
      </c>
      <c r="P39" s="4">
        <f t="shared" si="4"/>
        <v>44849</v>
      </c>
      <c r="Q39" s="4"/>
      <c r="R39" s="4"/>
      <c r="S39" s="4">
        <f t="shared" si="5"/>
        <v>0</v>
      </c>
      <c r="T39" s="4">
        <f t="shared" si="6"/>
        <v>0</v>
      </c>
      <c r="U39" s="4">
        <f t="shared" si="7"/>
        <v>750000</v>
      </c>
      <c r="V39" s="12">
        <f>U39-W39-X39-Y39-Z39</f>
        <v>750000</v>
      </c>
      <c r="W39" s="4"/>
      <c r="X39" s="4"/>
      <c r="Y39" s="4"/>
      <c r="Z39" s="3"/>
      <c r="AA39" s="408" t="s">
        <v>1366</v>
      </c>
      <c r="AB39" s="3">
        <v>810000</v>
      </c>
      <c r="AC39" s="418"/>
      <c r="AD39" s="415"/>
      <c r="AE39" s="584"/>
      <c r="AF39" s="415"/>
      <c r="AG39" s="418"/>
      <c r="AH39" s="30"/>
      <c r="AI39" s="247"/>
      <c r="AJ39" s="30"/>
      <c r="AK39" s="31"/>
      <c r="AL39" s="31"/>
      <c r="AM39" s="31"/>
    </row>
    <row r="40" spans="1:39" s="5" customFormat="1" ht="35.15" customHeight="1">
      <c r="A40" s="3">
        <f t="shared" si="8"/>
        <v>34</v>
      </c>
      <c r="B40" s="3">
        <v>2039</v>
      </c>
      <c r="C40" s="3" t="s">
        <v>367</v>
      </c>
      <c r="D40" s="4">
        <v>285000</v>
      </c>
      <c r="E40" s="4">
        <v>285000</v>
      </c>
      <c r="F40" s="4">
        <f t="shared" si="0"/>
        <v>0</v>
      </c>
      <c r="G40" s="4">
        <v>285000</v>
      </c>
      <c r="H40" s="4">
        <v>0</v>
      </c>
      <c r="I40" s="4"/>
      <c r="J40" s="4">
        <v>10000</v>
      </c>
      <c r="K40" s="4">
        <f t="shared" si="9"/>
        <v>10000</v>
      </c>
      <c r="L40" s="4">
        <f t="shared" si="1"/>
        <v>10000</v>
      </c>
      <c r="M40" s="4">
        <f t="shared" si="11"/>
        <v>275000</v>
      </c>
      <c r="N40" s="4"/>
      <c r="O40" s="4">
        <f t="shared" si="3"/>
        <v>0</v>
      </c>
      <c r="P40" s="4">
        <f t="shared" si="4"/>
        <v>275000</v>
      </c>
      <c r="Q40" s="4"/>
      <c r="R40" s="4"/>
      <c r="S40" s="4">
        <f t="shared" si="5"/>
        <v>0</v>
      </c>
      <c r="T40" s="4">
        <f t="shared" si="6"/>
        <v>0</v>
      </c>
      <c r="U40" s="4">
        <f t="shared" si="7"/>
        <v>0</v>
      </c>
      <c r="V40" s="12"/>
      <c r="W40" s="4">
        <f t="shared" si="10"/>
        <v>0</v>
      </c>
      <c r="X40" s="4"/>
      <c r="Y40" s="4"/>
      <c r="Z40" s="3"/>
      <c r="AA40" s="518"/>
      <c r="AB40" s="3">
        <v>760000</v>
      </c>
      <c r="AC40" s="418"/>
      <c r="AD40" s="415"/>
      <c r="AE40" s="584"/>
      <c r="AF40" s="415"/>
      <c r="AG40" s="418"/>
      <c r="AH40" s="30"/>
      <c r="AI40" s="247"/>
      <c r="AJ40" s="30"/>
      <c r="AK40" s="31"/>
      <c r="AL40" s="31"/>
      <c r="AM40" s="31"/>
    </row>
    <row r="41" spans="1:39" s="5" customFormat="1" ht="35.15" customHeight="1">
      <c r="A41" s="3">
        <f t="shared" si="8"/>
        <v>35</v>
      </c>
      <c r="B41" s="3">
        <v>2040</v>
      </c>
      <c r="C41" s="3" t="s">
        <v>806</v>
      </c>
      <c r="D41" s="4">
        <v>410000</v>
      </c>
      <c r="E41" s="4">
        <v>410000</v>
      </c>
      <c r="F41" s="4">
        <f t="shared" si="0"/>
        <v>0</v>
      </c>
      <c r="G41" s="4">
        <v>410000</v>
      </c>
      <c r="H41" s="4">
        <v>339613</v>
      </c>
      <c r="I41" s="4"/>
      <c r="J41" s="4">
        <v>49861.02</v>
      </c>
      <c r="K41" s="4">
        <f t="shared" si="9"/>
        <v>49861.02</v>
      </c>
      <c r="L41" s="4">
        <f t="shared" si="1"/>
        <v>389474.02</v>
      </c>
      <c r="M41" s="4">
        <f t="shared" si="11"/>
        <v>20525.979999999981</v>
      </c>
      <c r="N41" s="4"/>
      <c r="O41" s="4">
        <f t="shared" si="3"/>
        <v>0</v>
      </c>
      <c r="P41" s="4">
        <f t="shared" si="4"/>
        <v>20525.979999999981</v>
      </c>
      <c r="Q41" s="4"/>
      <c r="R41" s="4"/>
      <c r="S41" s="4">
        <f t="shared" si="5"/>
        <v>0</v>
      </c>
      <c r="T41" s="4">
        <f t="shared" si="6"/>
        <v>0</v>
      </c>
      <c r="U41" s="4">
        <f t="shared" si="7"/>
        <v>0</v>
      </c>
      <c r="V41" s="12"/>
      <c r="W41" s="4">
        <f t="shared" si="10"/>
        <v>0</v>
      </c>
      <c r="X41" s="4"/>
      <c r="Y41" s="4"/>
      <c r="Z41" s="3"/>
      <c r="AA41" s="408"/>
      <c r="AB41" s="3">
        <v>829000</v>
      </c>
      <c r="AC41" s="418"/>
      <c r="AD41" s="415"/>
      <c r="AE41" s="584"/>
      <c r="AF41" s="415"/>
      <c r="AG41" s="418"/>
      <c r="AH41" s="30"/>
      <c r="AI41" s="247"/>
      <c r="AJ41" s="30"/>
      <c r="AK41" s="31"/>
      <c r="AL41" s="31"/>
      <c r="AM41" s="31"/>
    </row>
    <row r="42" spans="1:39" s="5" customFormat="1" ht="35.15" customHeight="1">
      <c r="A42" s="3">
        <f t="shared" si="8"/>
        <v>36</v>
      </c>
      <c r="B42" s="3">
        <v>2041</v>
      </c>
      <c r="C42" s="3" t="s">
        <v>807</v>
      </c>
      <c r="D42" s="4">
        <v>650000</v>
      </c>
      <c r="E42" s="4">
        <v>650000</v>
      </c>
      <c r="F42" s="4">
        <f t="shared" si="0"/>
        <v>0</v>
      </c>
      <c r="G42" s="4">
        <v>650000</v>
      </c>
      <c r="H42" s="4">
        <v>23807</v>
      </c>
      <c r="I42" s="4"/>
      <c r="J42" s="4">
        <v>573450</v>
      </c>
      <c r="K42" s="4">
        <f t="shared" si="9"/>
        <v>573450</v>
      </c>
      <c r="L42" s="4">
        <f t="shared" si="1"/>
        <v>597257</v>
      </c>
      <c r="M42" s="4">
        <f t="shared" si="11"/>
        <v>52743</v>
      </c>
      <c r="N42" s="4"/>
      <c r="O42" s="4">
        <f t="shared" si="3"/>
        <v>0</v>
      </c>
      <c r="P42" s="4">
        <f t="shared" si="4"/>
        <v>52743</v>
      </c>
      <c r="Q42" s="4"/>
      <c r="R42" s="4"/>
      <c r="S42" s="4">
        <f t="shared" si="5"/>
        <v>0</v>
      </c>
      <c r="T42" s="4">
        <f t="shared" si="6"/>
        <v>0</v>
      </c>
      <c r="U42" s="4">
        <f t="shared" si="7"/>
        <v>0</v>
      </c>
      <c r="V42" s="12"/>
      <c r="W42" s="4">
        <f t="shared" si="10"/>
        <v>0</v>
      </c>
      <c r="X42" s="4"/>
      <c r="Y42" s="4"/>
      <c r="Z42" s="3"/>
      <c r="AA42" s="518"/>
      <c r="AB42" s="3">
        <v>810000</v>
      </c>
      <c r="AC42" s="418"/>
      <c r="AD42" s="415"/>
      <c r="AE42" s="584"/>
      <c r="AF42" s="415"/>
      <c r="AG42" s="418"/>
      <c r="AH42" s="30"/>
      <c r="AI42" s="247"/>
      <c r="AJ42" s="30"/>
      <c r="AK42" s="31"/>
      <c r="AL42" s="31"/>
      <c r="AM42" s="31"/>
    </row>
    <row r="43" spans="1:39" s="5" customFormat="1" ht="35.15" customHeight="1">
      <c r="A43" s="3">
        <f t="shared" si="8"/>
        <v>37</v>
      </c>
      <c r="B43" s="3">
        <v>2042</v>
      </c>
      <c r="C43" s="3" t="s">
        <v>1358</v>
      </c>
      <c r="D43" s="4">
        <v>740000</v>
      </c>
      <c r="E43" s="4">
        <v>740000</v>
      </c>
      <c r="F43" s="4">
        <f t="shared" si="0"/>
        <v>0</v>
      </c>
      <c r="G43" s="4">
        <v>250000</v>
      </c>
      <c r="H43" s="4">
        <v>181745</v>
      </c>
      <c r="I43" s="4"/>
      <c r="J43" s="4"/>
      <c r="K43" s="4">
        <f t="shared" si="9"/>
        <v>0</v>
      </c>
      <c r="L43" s="4">
        <f t="shared" si="1"/>
        <v>181745</v>
      </c>
      <c r="M43" s="4">
        <f t="shared" si="11"/>
        <v>68255</v>
      </c>
      <c r="N43" s="4">
        <v>490000</v>
      </c>
      <c r="O43" s="4">
        <f t="shared" si="3"/>
        <v>0</v>
      </c>
      <c r="P43" s="4">
        <f t="shared" si="4"/>
        <v>68255</v>
      </c>
      <c r="Q43" s="4"/>
      <c r="R43" s="4"/>
      <c r="S43" s="4">
        <f t="shared" si="5"/>
        <v>0</v>
      </c>
      <c r="T43" s="4">
        <f t="shared" si="6"/>
        <v>0</v>
      </c>
      <c r="U43" s="4">
        <f t="shared" si="7"/>
        <v>490000</v>
      </c>
      <c r="V43" s="12">
        <f>U43-W43-X43-Y43-Z43</f>
        <v>490000</v>
      </c>
      <c r="W43" s="4"/>
      <c r="X43" s="4"/>
      <c r="Y43" s="4"/>
      <c r="Z43" s="3"/>
      <c r="AA43" s="408" t="s">
        <v>809</v>
      </c>
      <c r="AB43" s="3">
        <v>746000</v>
      </c>
      <c r="AC43" s="418"/>
      <c r="AD43" s="415"/>
      <c r="AE43" s="584"/>
      <c r="AF43" s="415"/>
      <c r="AG43" s="418"/>
      <c r="AH43" s="30"/>
      <c r="AI43" s="247"/>
      <c r="AJ43" s="30"/>
      <c r="AK43" s="31"/>
      <c r="AL43" s="31"/>
      <c r="AM43" s="31"/>
    </row>
    <row r="44" spans="1:39" s="5" customFormat="1" ht="35.15" customHeight="1">
      <c r="A44" s="3">
        <f t="shared" si="8"/>
        <v>38</v>
      </c>
      <c r="B44" s="3">
        <v>2051</v>
      </c>
      <c r="C44" s="3" t="s">
        <v>810</v>
      </c>
      <c r="D44" s="4">
        <v>2600000</v>
      </c>
      <c r="E44" s="4">
        <v>2600000</v>
      </c>
      <c r="F44" s="4">
        <f t="shared" si="0"/>
        <v>0</v>
      </c>
      <c r="G44" s="4">
        <v>100000</v>
      </c>
      <c r="H44" s="4">
        <v>0</v>
      </c>
      <c r="I44" s="4"/>
      <c r="J44" s="4">
        <v>80352</v>
      </c>
      <c r="K44" s="4">
        <f t="shared" si="9"/>
        <v>80352</v>
      </c>
      <c r="L44" s="4">
        <f t="shared" si="1"/>
        <v>80352</v>
      </c>
      <c r="M44" s="4">
        <f t="shared" si="11"/>
        <v>319648</v>
      </c>
      <c r="N44" s="4">
        <v>350000</v>
      </c>
      <c r="O44" s="4">
        <f t="shared" si="3"/>
        <v>1850000</v>
      </c>
      <c r="P44" s="4">
        <f t="shared" si="4"/>
        <v>19648</v>
      </c>
      <c r="Q44" s="4">
        <v>300000</v>
      </c>
      <c r="R44" s="4"/>
      <c r="S44" s="4">
        <f t="shared" si="5"/>
        <v>300000</v>
      </c>
      <c r="T44" s="4">
        <f t="shared" si="6"/>
        <v>0</v>
      </c>
      <c r="U44" s="4">
        <f t="shared" si="7"/>
        <v>350000</v>
      </c>
      <c r="V44" s="12">
        <f>U44-W44-X44-Y44-Z44</f>
        <v>350000</v>
      </c>
      <c r="W44" s="4"/>
      <c r="X44" s="4"/>
      <c r="Y44" s="4"/>
      <c r="Z44" s="3"/>
      <c r="AA44" s="708" t="s">
        <v>811</v>
      </c>
      <c r="AB44" s="3">
        <v>746000</v>
      </c>
      <c r="AC44" s="418"/>
      <c r="AD44" s="415"/>
      <c r="AE44" s="584"/>
      <c r="AF44" s="415"/>
      <c r="AG44" s="20"/>
      <c r="AH44" s="20"/>
      <c r="AI44" s="30"/>
      <c r="AJ44" s="31"/>
      <c r="AK44" s="31"/>
      <c r="AL44" s="31"/>
      <c r="AM44" s="31"/>
    </row>
    <row r="45" spans="1:39" s="5" customFormat="1" ht="35.15" customHeight="1">
      <c r="A45" s="3">
        <f t="shared" si="8"/>
        <v>39</v>
      </c>
      <c r="B45" s="3">
        <v>2066</v>
      </c>
      <c r="C45" s="3" t="s">
        <v>812</v>
      </c>
      <c r="D45" s="4">
        <v>112500</v>
      </c>
      <c r="E45" s="4">
        <v>112500</v>
      </c>
      <c r="F45" s="4">
        <f t="shared" si="0"/>
        <v>0</v>
      </c>
      <c r="G45" s="4">
        <v>112500</v>
      </c>
      <c r="H45" s="4">
        <v>0</v>
      </c>
      <c r="I45" s="4"/>
      <c r="J45" s="4">
        <v>97500</v>
      </c>
      <c r="K45" s="4">
        <f t="shared" si="9"/>
        <v>97500</v>
      </c>
      <c r="L45" s="4">
        <f t="shared" si="1"/>
        <v>97500</v>
      </c>
      <c r="M45" s="4">
        <f t="shared" si="11"/>
        <v>15000</v>
      </c>
      <c r="N45" s="4"/>
      <c r="O45" s="4">
        <f t="shared" si="3"/>
        <v>0</v>
      </c>
      <c r="P45" s="4">
        <f t="shared" si="4"/>
        <v>15000</v>
      </c>
      <c r="Q45" s="4"/>
      <c r="R45" s="4"/>
      <c r="S45" s="4">
        <f t="shared" si="5"/>
        <v>0</v>
      </c>
      <c r="T45" s="4">
        <f t="shared" si="6"/>
        <v>0</v>
      </c>
      <c r="U45" s="4">
        <f t="shared" si="7"/>
        <v>0</v>
      </c>
      <c r="V45" s="12"/>
      <c r="W45" s="4">
        <f t="shared" si="10"/>
        <v>0</v>
      </c>
      <c r="X45" s="4"/>
      <c r="Y45" s="4"/>
      <c r="Z45" s="3"/>
      <c r="AA45" s="518"/>
      <c r="AB45" s="3">
        <v>732000</v>
      </c>
      <c r="AC45" s="418"/>
      <c r="AD45" s="415"/>
      <c r="AE45" s="584"/>
      <c r="AF45" s="415"/>
      <c r="AG45" s="417"/>
      <c r="AH45" s="67"/>
      <c r="AI45" s="30"/>
      <c r="AJ45" s="30"/>
      <c r="AK45" s="31"/>
      <c r="AL45" s="31"/>
      <c r="AM45" s="31"/>
    </row>
    <row r="46" spans="1:39" s="5" customFormat="1" ht="35.15" customHeight="1">
      <c r="A46" s="3">
        <f t="shared" si="8"/>
        <v>40</v>
      </c>
      <c r="B46" s="3">
        <v>2075</v>
      </c>
      <c r="C46" s="3" t="s">
        <v>813</v>
      </c>
      <c r="D46" s="4">
        <v>800000</v>
      </c>
      <c r="E46" s="4">
        <v>800000</v>
      </c>
      <c r="F46" s="4">
        <f>D46-E46</f>
        <v>0</v>
      </c>
      <c r="G46" s="4">
        <v>772200</v>
      </c>
      <c r="H46" s="4">
        <v>110682</v>
      </c>
      <c r="I46" s="4"/>
      <c r="J46" s="4">
        <v>174852</v>
      </c>
      <c r="K46" s="4">
        <f>I46+J46</f>
        <v>174852</v>
      </c>
      <c r="L46" s="4">
        <f>H46+K46</f>
        <v>285534</v>
      </c>
      <c r="M46" s="4">
        <f>P46+S46</f>
        <v>514466</v>
      </c>
      <c r="N46" s="4"/>
      <c r="O46" s="4">
        <f>D46-L46-M46-N46</f>
        <v>0</v>
      </c>
      <c r="P46" s="4">
        <f>G46-L46</f>
        <v>486666</v>
      </c>
      <c r="Q46" s="4"/>
      <c r="R46" s="4">
        <v>27800</v>
      </c>
      <c r="S46" s="4">
        <f>SUM(Q46:R46)</f>
        <v>27800</v>
      </c>
      <c r="T46" s="4">
        <f>P46-M46+S46</f>
        <v>0</v>
      </c>
      <c r="U46" s="4">
        <f>N46-T46</f>
        <v>0</v>
      </c>
      <c r="V46" s="12"/>
      <c r="W46" s="4">
        <f>U46-V46-Y46-Z46</f>
        <v>0</v>
      </c>
      <c r="X46" s="4"/>
      <c r="Y46" s="4"/>
      <c r="Z46" s="3"/>
      <c r="AA46" s="708" t="s">
        <v>1359</v>
      </c>
      <c r="AB46" s="3">
        <v>742000</v>
      </c>
      <c r="AC46" s="418"/>
      <c r="AD46" s="415"/>
      <c r="AE46" s="584"/>
      <c r="AF46" s="415"/>
      <c r="AG46" s="418"/>
      <c r="AH46" s="30"/>
      <c r="AI46" s="247"/>
      <c r="AJ46" s="30"/>
      <c r="AK46" s="31"/>
      <c r="AL46" s="31"/>
      <c r="AM46" s="31"/>
    </row>
    <row r="47" spans="1:39" s="5" customFormat="1" ht="35.15" customHeight="1">
      <c r="A47" s="3">
        <f t="shared" si="8"/>
        <v>41</v>
      </c>
      <c r="B47" s="42">
        <v>2087</v>
      </c>
      <c r="C47" s="3" t="s">
        <v>814</v>
      </c>
      <c r="D47" s="4">
        <v>1200000</v>
      </c>
      <c r="E47" s="4"/>
      <c r="F47" s="4">
        <f>D47-E47</f>
        <v>1200000</v>
      </c>
      <c r="G47" s="4">
        <v>0</v>
      </c>
      <c r="H47" s="4">
        <v>0</v>
      </c>
      <c r="I47" s="4">
        <v>0</v>
      </c>
      <c r="J47" s="4"/>
      <c r="K47" s="4">
        <f>I47+J47</f>
        <v>0</v>
      </c>
      <c r="L47" s="4">
        <f>H47+K47</f>
        <v>0</v>
      </c>
      <c r="M47" s="4">
        <f>P47+S47</f>
        <v>0</v>
      </c>
      <c r="N47" s="4">
        <v>1200000</v>
      </c>
      <c r="O47" s="4">
        <f>D47-L47-M47-N47</f>
        <v>0</v>
      </c>
      <c r="P47" s="4">
        <f>G47-L47</f>
        <v>0</v>
      </c>
      <c r="Q47" s="4"/>
      <c r="R47" s="4"/>
      <c r="S47" s="4">
        <f>SUM(Q47:R47)</f>
        <v>0</v>
      </c>
      <c r="T47" s="4">
        <f>P47-M47+S47</f>
        <v>0</v>
      </c>
      <c r="U47" s="4">
        <f>N47-T47</f>
        <v>1200000</v>
      </c>
      <c r="V47" s="12">
        <f>U47-W47-X47-Y47-Z47</f>
        <v>1200000</v>
      </c>
      <c r="W47" s="4"/>
      <c r="X47" s="4"/>
      <c r="Y47" s="4"/>
      <c r="Z47" s="3"/>
      <c r="AA47" s="408" t="s">
        <v>1360</v>
      </c>
      <c r="AB47" s="3">
        <v>746000</v>
      </c>
      <c r="AC47" s="418"/>
      <c r="AD47" s="415"/>
      <c r="AE47" s="415"/>
      <c r="AF47" s="415"/>
      <c r="AG47" s="418"/>
      <c r="AH47" s="30"/>
      <c r="AI47" s="247"/>
      <c r="AJ47" s="30"/>
      <c r="AK47" s="31"/>
      <c r="AL47" s="31"/>
      <c r="AM47" s="31"/>
    </row>
    <row r="48" spans="1:39" s="5" customFormat="1" ht="35.15" customHeight="1">
      <c r="A48" s="3">
        <f t="shared" si="8"/>
        <v>42</v>
      </c>
      <c r="B48" s="42">
        <v>2088</v>
      </c>
      <c r="C48" s="3" t="s">
        <v>815</v>
      </c>
      <c r="D48" s="4">
        <f>2000000-800000</f>
        <v>1200000</v>
      </c>
      <c r="E48" s="4"/>
      <c r="F48" s="4">
        <f>D48-E48</f>
        <v>1200000</v>
      </c>
      <c r="G48" s="4">
        <v>0</v>
      </c>
      <c r="H48" s="4">
        <v>0</v>
      </c>
      <c r="I48" s="4"/>
      <c r="J48" s="4"/>
      <c r="K48" s="4">
        <f>I48+J48</f>
        <v>0</v>
      </c>
      <c r="L48" s="4">
        <f>H48+K48</f>
        <v>0</v>
      </c>
      <c r="M48" s="4">
        <f>P48+S48</f>
        <v>0</v>
      </c>
      <c r="N48" s="4">
        <f>2000000-800000</f>
        <v>1200000</v>
      </c>
      <c r="O48" s="4">
        <f>D48-L48-M48-N48</f>
        <v>0</v>
      </c>
      <c r="P48" s="4">
        <f>G48-L48</f>
        <v>0</v>
      </c>
      <c r="Q48" s="4"/>
      <c r="R48" s="4"/>
      <c r="S48" s="4">
        <f>SUM(Q48:R48)</f>
        <v>0</v>
      </c>
      <c r="T48" s="4">
        <f>P48-M48+S48</f>
        <v>0</v>
      </c>
      <c r="U48" s="4">
        <f>N48-T48</f>
        <v>1200000</v>
      </c>
      <c r="V48" s="12">
        <f>U48-W48-X48-Y48-Z48</f>
        <v>1200000</v>
      </c>
      <c r="W48" s="4"/>
      <c r="X48" s="4"/>
      <c r="Y48" s="4"/>
      <c r="Z48" s="3"/>
      <c r="AA48" s="408" t="s">
        <v>1367</v>
      </c>
      <c r="AB48" s="3">
        <v>746000</v>
      </c>
      <c r="AC48" s="418"/>
      <c r="AD48" s="415"/>
      <c r="AE48" s="415"/>
      <c r="AF48" s="415"/>
      <c r="AG48" s="418"/>
      <c r="AH48" s="30"/>
      <c r="AI48" s="247"/>
      <c r="AJ48" s="30"/>
      <c r="AK48" s="31"/>
      <c r="AL48" s="31"/>
      <c r="AM48" s="31"/>
    </row>
    <row r="49" spans="1:39" s="6" customFormat="1" ht="35.15" customHeight="1">
      <c r="A49" s="9">
        <f>A48</f>
        <v>42</v>
      </c>
      <c r="B49" s="9"/>
      <c r="C49" s="260" t="s">
        <v>1193</v>
      </c>
      <c r="D49" s="10">
        <f t="shared" ref="D49:Z49" si="12">SUM(D7:D48)</f>
        <v>231868059</v>
      </c>
      <c r="E49" s="10">
        <f t="shared" si="12"/>
        <v>246322059</v>
      </c>
      <c r="F49" s="10">
        <f t="shared" si="12"/>
        <v>-14454000</v>
      </c>
      <c r="G49" s="10">
        <f t="shared" si="12"/>
        <v>174365579</v>
      </c>
      <c r="H49" s="10">
        <f t="shared" si="12"/>
        <v>156748875.67999998</v>
      </c>
      <c r="I49" s="10">
        <f t="shared" si="12"/>
        <v>474201</v>
      </c>
      <c r="J49" s="10">
        <f t="shared" si="12"/>
        <v>12594137.780000001</v>
      </c>
      <c r="K49" s="10">
        <f t="shared" si="12"/>
        <v>13068338.780000001</v>
      </c>
      <c r="L49" s="10">
        <f t="shared" si="12"/>
        <v>169817214.45999995</v>
      </c>
      <c r="M49" s="10">
        <f t="shared" si="12"/>
        <v>7236164.5399999991</v>
      </c>
      <c r="N49" s="10">
        <f t="shared" si="12"/>
        <v>36445000</v>
      </c>
      <c r="O49" s="10">
        <f t="shared" si="12"/>
        <v>18369680</v>
      </c>
      <c r="P49" s="10">
        <f t="shared" si="12"/>
        <v>4548364.54</v>
      </c>
      <c r="Q49" s="10">
        <f t="shared" si="12"/>
        <v>2700000</v>
      </c>
      <c r="R49" s="10">
        <f t="shared" si="12"/>
        <v>27800</v>
      </c>
      <c r="S49" s="10">
        <f t="shared" si="12"/>
        <v>2727800</v>
      </c>
      <c r="T49" s="10">
        <f t="shared" si="12"/>
        <v>40000</v>
      </c>
      <c r="U49" s="10">
        <f t="shared" si="12"/>
        <v>36405000</v>
      </c>
      <c r="V49" s="10">
        <f t="shared" si="12"/>
        <v>10365000</v>
      </c>
      <c r="W49" s="10">
        <f t="shared" si="12"/>
        <v>8550000</v>
      </c>
      <c r="X49" s="10">
        <f t="shared" si="12"/>
        <v>0</v>
      </c>
      <c r="Y49" s="10">
        <f t="shared" si="12"/>
        <v>0</v>
      </c>
      <c r="Z49" s="10">
        <f t="shared" si="12"/>
        <v>17490000</v>
      </c>
      <c r="AA49" s="393"/>
      <c r="AB49" s="10"/>
      <c r="AC49" s="418"/>
      <c r="AD49" s="415"/>
      <c r="AE49" s="415"/>
      <c r="AF49" s="415"/>
      <c r="AG49" s="418"/>
      <c r="AH49" s="30"/>
      <c r="AI49" s="247"/>
      <c r="AJ49" s="32"/>
      <c r="AK49" s="32"/>
      <c r="AL49" s="32"/>
      <c r="AM49" s="32"/>
    </row>
    <row r="50" spans="1:39" s="56" customFormat="1" hidden="1">
      <c r="A50" s="62"/>
      <c r="B50" s="62"/>
      <c r="C50" s="62"/>
      <c r="D50" s="36"/>
      <c r="E50" s="36"/>
      <c r="F50" s="36"/>
      <c r="G50" s="36"/>
      <c r="H50" s="36"/>
      <c r="I50" s="36"/>
      <c r="J50" s="36"/>
      <c r="K50" s="36"/>
      <c r="L50" s="24">
        <f>H49+K49</f>
        <v>169817214.45999998</v>
      </c>
      <c r="M50" s="24">
        <f>P49+S49-T49</f>
        <v>7236164.54</v>
      </c>
      <c r="N50" s="51"/>
      <c r="O50" s="27"/>
      <c r="P50" s="24">
        <f>G49-L49</f>
        <v>4548364.5400000513</v>
      </c>
      <c r="Q50" s="27"/>
      <c r="R50" s="27"/>
      <c r="S50" s="27"/>
      <c r="T50" s="27"/>
      <c r="U50" s="24">
        <f>N49-T49</f>
        <v>36405000</v>
      </c>
      <c r="V50" s="36"/>
      <c r="W50" s="36"/>
      <c r="X50" s="36"/>
      <c r="Y50" s="36"/>
      <c r="Z50" s="36"/>
      <c r="AA50" s="709"/>
      <c r="AB50" s="62"/>
      <c r="AC50" s="418"/>
      <c r="AD50" s="415"/>
      <c r="AE50" s="415"/>
      <c r="AF50" s="415"/>
      <c r="AG50" s="418"/>
      <c r="AH50" s="30"/>
      <c r="AI50" s="247"/>
      <c r="AJ50" s="62"/>
      <c r="AK50" s="62"/>
      <c r="AL50" s="62"/>
      <c r="AM50" s="62"/>
    </row>
    <row r="51" spans="1:39" s="56" customFormat="1">
      <c r="A51" s="62"/>
      <c r="B51" s="62"/>
      <c r="C51" s="62"/>
      <c r="D51" s="36"/>
      <c r="E51" s="36"/>
      <c r="F51" s="36"/>
      <c r="G51" s="36"/>
      <c r="H51" s="36"/>
      <c r="I51" s="36"/>
      <c r="J51" s="36"/>
      <c r="K51" s="36"/>
      <c r="L51" s="27"/>
      <c r="M51" s="27"/>
      <c r="N51" s="36"/>
      <c r="O51" s="36"/>
      <c r="P51" s="17"/>
      <c r="Q51" s="36"/>
      <c r="R51" s="36"/>
      <c r="S51" s="36"/>
      <c r="T51" s="36"/>
      <c r="U51" s="27"/>
      <c r="V51" s="36"/>
      <c r="W51" s="36"/>
      <c r="X51" s="36"/>
      <c r="Y51" s="36"/>
      <c r="Z51" s="36"/>
      <c r="AA51" s="709"/>
      <c r="AB51" s="62"/>
      <c r="AC51" s="418"/>
      <c r="AD51" s="415"/>
      <c r="AE51" s="415"/>
      <c r="AF51" s="415"/>
      <c r="AG51" s="418"/>
      <c r="AH51" s="30"/>
      <c r="AI51" s="247"/>
      <c r="AJ51" s="62"/>
      <c r="AK51" s="62"/>
      <c r="AL51" s="62"/>
      <c r="AM51" s="62"/>
    </row>
    <row r="52" spans="1:39" s="45" customForma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7"/>
      <c r="O52" s="17"/>
      <c r="P52" s="17"/>
      <c r="Q52" s="17"/>
      <c r="R52" s="17"/>
      <c r="S52" s="17"/>
      <c r="T52" s="17"/>
      <c r="U52" s="15"/>
      <c r="V52" s="15"/>
      <c r="W52" s="15"/>
      <c r="X52" s="15"/>
      <c r="Y52" s="15"/>
      <c r="Z52" s="15"/>
      <c r="AA52" s="40"/>
      <c r="AB52" s="15"/>
      <c r="AC52" s="418"/>
      <c r="AD52" s="415"/>
      <c r="AE52" s="415"/>
      <c r="AF52" s="415"/>
      <c r="AG52" s="418"/>
      <c r="AH52" s="20"/>
      <c r="AI52" s="247"/>
      <c r="AJ52" s="20"/>
      <c r="AK52" s="20"/>
      <c r="AL52" s="20"/>
      <c r="AM52" s="20"/>
    </row>
    <row r="53" spans="1:39" s="45" customForma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7"/>
      <c r="O53" s="17"/>
      <c r="P53" s="17"/>
      <c r="Q53" s="17"/>
      <c r="R53" s="17"/>
      <c r="S53" s="17"/>
      <c r="T53" s="17"/>
      <c r="U53" s="15"/>
      <c r="V53" s="15"/>
      <c r="W53" s="15"/>
      <c r="X53" s="15"/>
      <c r="Y53" s="15"/>
      <c r="Z53" s="15"/>
      <c r="AA53" s="40"/>
      <c r="AB53" s="15"/>
      <c r="AC53" s="418"/>
      <c r="AD53" s="415"/>
      <c r="AE53" s="415"/>
      <c r="AF53" s="415"/>
      <c r="AG53" s="418"/>
      <c r="AH53" s="20"/>
      <c r="AI53" s="247"/>
      <c r="AJ53" s="20"/>
      <c r="AK53" s="20"/>
      <c r="AL53" s="20"/>
      <c r="AM53" s="20"/>
    </row>
    <row r="54" spans="1:39" s="45" customForma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7"/>
      <c r="O54" s="17"/>
      <c r="P54" s="17"/>
      <c r="Q54" s="17"/>
      <c r="R54" s="17"/>
      <c r="S54" s="17"/>
      <c r="T54" s="17"/>
      <c r="U54" s="15"/>
      <c r="V54" s="15"/>
      <c r="W54" s="15"/>
      <c r="X54" s="15"/>
      <c r="Y54" s="15"/>
      <c r="Z54" s="15"/>
      <c r="AA54" s="40"/>
      <c r="AB54" s="15"/>
      <c r="AC54" s="418"/>
      <c r="AD54" s="415"/>
      <c r="AE54" s="415"/>
      <c r="AF54" s="415"/>
      <c r="AG54" s="418"/>
      <c r="AH54" s="20"/>
      <c r="AI54" s="247"/>
      <c r="AJ54" s="20"/>
      <c r="AK54" s="20"/>
      <c r="AL54" s="20"/>
      <c r="AM54" s="20"/>
    </row>
    <row r="55" spans="1:39" s="45" customFormat="1">
      <c r="A55" s="40"/>
      <c r="B55" s="15"/>
      <c r="C55" s="15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5"/>
      <c r="V55" s="15"/>
      <c r="W55" s="15"/>
      <c r="X55" s="15"/>
      <c r="Y55" s="15"/>
      <c r="Z55" s="15"/>
      <c r="AA55" s="40"/>
      <c r="AB55" s="15"/>
      <c r="AC55" s="418"/>
      <c r="AD55" s="415"/>
      <c r="AE55" s="415"/>
      <c r="AF55" s="415"/>
      <c r="AG55" s="418"/>
      <c r="AH55" s="20"/>
      <c r="AI55" s="247"/>
      <c r="AJ55" s="20"/>
      <c r="AK55" s="20"/>
      <c r="AL55" s="20"/>
      <c r="AM55" s="20"/>
    </row>
    <row r="56" spans="1:39" hidden="1"/>
    <row r="57" spans="1:39" s="45" customFormat="1" hidden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7"/>
      <c r="O57" s="17"/>
      <c r="P57" s="17"/>
      <c r="Q57" s="17"/>
      <c r="R57" s="17"/>
      <c r="S57" s="17"/>
      <c r="T57" s="17"/>
      <c r="U57" s="15"/>
      <c r="V57" s="15"/>
      <c r="W57" s="15"/>
      <c r="X57" s="15"/>
      <c r="Y57" s="15"/>
      <c r="Z57" s="15"/>
      <c r="AA57" s="40"/>
      <c r="AB57" s="15"/>
      <c r="AC57" s="418"/>
      <c r="AD57" s="415"/>
      <c r="AE57" s="415"/>
      <c r="AF57" s="415"/>
      <c r="AG57" s="418"/>
      <c r="AH57" s="20"/>
      <c r="AI57" s="247"/>
      <c r="AJ57" s="20"/>
      <c r="AK57" s="20"/>
      <c r="AL57" s="20"/>
      <c r="AM57" s="20"/>
    </row>
    <row r="58" spans="1:39" s="45" customFormat="1" hidden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7"/>
      <c r="O58" s="17"/>
      <c r="P58" s="17"/>
      <c r="Q58" s="17"/>
      <c r="R58" s="17"/>
      <c r="S58" s="17"/>
      <c r="T58" s="17"/>
      <c r="U58" s="15"/>
      <c r="V58" s="15"/>
      <c r="W58" s="15"/>
      <c r="X58" s="15"/>
      <c r="Y58" s="15"/>
      <c r="Z58" s="15"/>
      <c r="AA58" s="40"/>
      <c r="AB58" s="15"/>
      <c r="AC58" s="418"/>
      <c r="AD58" s="415"/>
      <c r="AE58" s="415"/>
      <c r="AF58" s="415"/>
      <c r="AG58" s="418"/>
      <c r="AH58" s="20"/>
      <c r="AI58" s="247"/>
      <c r="AJ58" s="20"/>
      <c r="AK58" s="20"/>
      <c r="AL58" s="20"/>
      <c r="AM58" s="20"/>
    </row>
    <row r="59" spans="1:39" s="45" customFormat="1" hidden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7"/>
      <c r="O59" s="17"/>
      <c r="P59" s="17"/>
      <c r="Q59" s="17"/>
      <c r="R59" s="17"/>
      <c r="S59" s="17"/>
      <c r="T59" s="17"/>
      <c r="U59" s="15"/>
      <c r="V59" s="15"/>
      <c r="W59" s="15"/>
      <c r="X59" s="15"/>
      <c r="Y59" s="15"/>
      <c r="Z59" s="15"/>
      <c r="AA59" s="40"/>
      <c r="AB59" s="15"/>
      <c r="AC59" s="418"/>
      <c r="AD59" s="415"/>
      <c r="AE59" s="415"/>
      <c r="AF59" s="415"/>
      <c r="AG59" s="418"/>
      <c r="AH59" s="20"/>
      <c r="AI59" s="247"/>
      <c r="AJ59" s="20"/>
      <c r="AK59" s="20"/>
      <c r="AL59" s="20"/>
      <c r="AM59" s="20"/>
    </row>
    <row r="60" spans="1:39" s="45" customFormat="1" hidden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7"/>
      <c r="S60" s="15"/>
      <c r="T60" s="15"/>
      <c r="U60" s="15"/>
      <c r="V60" s="15"/>
      <c r="W60" s="15"/>
      <c r="X60" s="15"/>
      <c r="Y60" s="15"/>
      <c r="Z60" s="15"/>
      <c r="AA60" s="40"/>
      <c r="AB60" s="15"/>
      <c r="AC60" s="418"/>
      <c r="AD60" s="415"/>
      <c r="AE60" s="415"/>
      <c r="AF60" s="415"/>
      <c r="AG60" s="418"/>
      <c r="AH60" s="20"/>
      <c r="AI60" s="247"/>
      <c r="AJ60" s="20"/>
      <c r="AK60" s="20"/>
      <c r="AL60" s="20"/>
      <c r="AM60" s="20"/>
    </row>
    <row r="61" spans="1:39" hidden="1"/>
    <row r="62" spans="1:39" hidden="1"/>
    <row r="63" spans="1:39" s="40" customFormat="1" hidden="1">
      <c r="B63" s="15"/>
      <c r="C63" s="15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5"/>
      <c r="V63" s="15"/>
      <c r="W63" s="15"/>
      <c r="X63" s="15"/>
      <c r="Y63" s="15"/>
      <c r="Z63" s="15"/>
      <c r="AB63" s="15"/>
      <c r="AC63" s="418"/>
      <c r="AD63" s="415"/>
      <c r="AE63" s="415"/>
      <c r="AF63" s="415"/>
      <c r="AG63" s="418"/>
      <c r="AH63" s="20"/>
      <c r="AI63" s="247"/>
      <c r="AJ63" s="20"/>
      <c r="AK63" s="20"/>
      <c r="AL63" s="20"/>
      <c r="AM63" s="20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71"/>
  <sheetViews>
    <sheetView showZeros="0" rightToLeft="1" zoomScaleNormal="100" workbookViewId="0">
      <pane xSplit="3" ySplit="4" topLeftCell="D51" activePane="bottomRight" state="frozen"/>
      <selection activeCell="C19" sqref="C19"/>
      <selection pane="topRight" activeCell="C19" sqref="C19"/>
      <selection pane="bottomLeft" activeCell="C19" sqref="C19"/>
      <selection pane="bottomRight" activeCell="C19" sqref="C19"/>
    </sheetView>
  </sheetViews>
  <sheetFormatPr defaultColWidth="9.1796875" defaultRowHeight="18"/>
  <cols>
    <col min="1" max="1" width="5.26953125" style="40" customWidth="1"/>
    <col min="2" max="2" width="6.7265625" style="15" customWidth="1"/>
    <col min="3" max="3" width="27.1796875" style="21" customWidth="1"/>
    <col min="4" max="4" width="11" style="17" customWidth="1"/>
    <col min="5" max="5" width="11.1796875" style="17" customWidth="1"/>
    <col min="6" max="6" width="11.453125" style="17" customWidth="1"/>
    <col min="7" max="7" width="11.1796875" style="17" hidden="1" customWidth="1"/>
    <col min="8" max="10" width="12.7265625" style="17" hidden="1" customWidth="1"/>
    <col min="11" max="11" width="11.26953125" style="17" hidden="1" customWidth="1"/>
    <col min="12" max="12" width="11.1796875" style="17" customWidth="1"/>
    <col min="13" max="13" width="9.1796875" style="17" customWidth="1"/>
    <col min="14" max="15" width="10" style="17" customWidth="1"/>
    <col min="16" max="17" width="11.1796875" style="17" hidden="1" customWidth="1"/>
    <col min="18" max="19" width="12" style="17" hidden="1" customWidth="1"/>
    <col min="20" max="20" width="6.453125" style="17" customWidth="1"/>
    <col min="21" max="21" width="10" style="15" customWidth="1"/>
    <col min="22" max="22" width="10.26953125" style="15" customWidth="1"/>
    <col min="23" max="23" width="9.1796875" style="15" customWidth="1"/>
    <col min="24" max="25" width="5.26953125" style="15" hidden="1" customWidth="1"/>
    <col min="26" max="26" width="10.1796875" style="15" customWidth="1"/>
    <col min="27" max="27" width="31.81640625" style="612" hidden="1" customWidth="1"/>
    <col min="28" max="28" width="7.81640625" style="15" customWidth="1"/>
    <col min="29" max="29" width="22" style="418" customWidth="1"/>
    <col min="30" max="30" width="10.26953125" style="415" customWidth="1"/>
    <col min="31" max="31" width="10.54296875" style="415" customWidth="1"/>
    <col min="32" max="32" width="13.453125" style="415" customWidth="1"/>
    <col min="33" max="33" width="30.7265625" style="418" customWidth="1"/>
    <col min="34" max="34" width="9.1796875" style="20" customWidth="1"/>
    <col min="35" max="35" width="30.7265625" style="247" customWidth="1"/>
    <col min="36" max="36" width="9.1796875" style="20" customWidth="1"/>
    <col min="37" max="37" width="1.54296875" style="20" customWidth="1"/>
    <col min="38" max="39" width="9.1796875" style="20" customWidth="1"/>
    <col min="40" max="16384" width="9.1796875" style="15"/>
  </cols>
  <sheetData>
    <row r="1" spans="1:39" s="416" customFormat="1">
      <c r="A1" s="414"/>
      <c r="B1" s="414"/>
      <c r="C1" s="593"/>
      <c r="D1" s="414"/>
      <c r="E1" s="414"/>
      <c r="F1" s="414"/>
      <c r="G1" s="414"/>
      <c r="H1" s="414"/>
      <c r="I1" s="414"/>
      <c r="J1" s="414"/>
      <c r="K1" s="414"/>
      <c r="L1" s="414"/>
      <c r="M1" s="414"/>
      <c r="N1" s="414"/>
      <c r="O1" s="414"/>
      <c r="P1" s="414"/>
      <c r="Q1" s="414"/>
      <c r="R1" s="414"/>
      <c r="S1" s="414"/>
      <c r="T1" s="414"/>
      <c r="U1" s="414"/>
      <c r="V1" s="414"/>
      <c r="W1" s="414"/>
      <c r="X1" s="414"/>
      <c r="Y1" s="414"/>
      <c r="Z1" s="414"/>
      <c r="AA1" s="599"/>
      <c r="AC1" s="418"/>
      <c r="AD1" s="415"/>
      <c r="AE1" s="415"/>
      <c r="AF1" s="415"/>
      <c r="AG1" s="418"/>
      <c r="AI1" s="247"/>
    </row>
    <row r="2" spans="1:39" s="247" customFormat="1">
      <c r="A2" s="414" t="s">
        <v>362</v>
      </c>
      <c r="B2" s="414"/>
      <c r="C2" s="593"/>
      <c r="D2" s="414"/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414"/>
      <c r="R2" s="414"/>
      <c r="S2" s="414"/>
      <c r="T2" s="414"/>
      <c r="U2" s="414"/>
      <c r="V2" s="414"/>
      <c r="W2" s="414"/>
      <c r="X2" s="414"/>
      <c r="Y2" s="414"/>
      <c r="Z2" s="414"/>
      <c r="AA2" s="588"/>
      <c r="AC2" s="418"/>
      <c r="AD2" s="415"/>
      <c r="AE2" s="415"/>
      <c r="AF2" s="415"/>
      <c r="AG2" s="418"/>
    </row>
    <row r="4" spans="1:39" s="34" customFormat="1" ht="86.25" customHeight="1">
      <c r="A4" s="19" t="s">
        <v>0</v>
      </c>
      <c r="B4" s="19" t="s">
        <v>1</v>
      </c>
      <c r="C4" s="19" t="s">
        <v>2</v>
      </c>
      <c r="D4" s="19" t="s">
        <v>3</v>
      </c>
      <c r="E4" s="19" t="s">
        <v>4</v>
      </c>
      <c r="F4" s="19" t="s">
        <v>5</v>
      </c>
      <c r="G4" s="19" t="s">
        <v>6</v>
      </c>
      <c r="H4" s="19" t="s">
        <v>7</v>
      </c>
      <c r="I4" s="19" t="s">
        <v>9</v>
      </c>
      <c r="J4" s="19" t="s">
        <v>318</v>
      </c>
      <c r="K4" s="19" t="s">
        <v>10</v>
      </c>
      <c r="L4" s="19" t="s">
        <v>11</v>
      </c>
      <c r="M4" s="11" t="s">
        <v>627</v>
      </c>
      <c r="N4" s="19" t="s">
        <v>628</v>
      </c>
      <c r="O4" s="19" t="s">
        <v>629</v>
      </c>
      <c r="P4" s="19" t="s">
        <v>12</v>
      </c>
      <c r="Q4" s="19" t="s">
        <v>630</v>
      </c>
      <c r="R4" s="19" t="s">
        <v>631</v>
      </c>
      <c r="S4" s="19" t="s">
        <v>632</v>
      </c>
      <c r="T4" s="19" t="s">
        <v>633</v>
      </c>
      <c r="U4" s="19" t="s">
        <v>634</v>
      </c>
      <c r="V4" s="19" t="s">
        <v>13</v>
      </c>
      <c r="W4" s="19" t="s">
        <v>14</v>
      </c>
      <c r="X4" s="19" t="s">
        <v>15</v>
      </c>
      <c r="Y4" s="19" t="s">
        <v>523</v>
      </c>
      <c r="Z4" s="19" t="s">
        <v>140</v>
      </c>
      <c r="AA4" s="19" t="s">
        <v>635</v>
      </c>
      <c r="AB4" s="19" t="s">
        <v>16</v>
      </c>
      <c r="AC4" s="418"/>
      <c r="AD4" s="415"/>
      <c r="AE4" s="415"/>
      <c r="AF4" s="415"/>
      <c r="AI4" s="247"/>
    </row>
    <row r="5" spans="1:39" s="5" customFormat="1">
      <c r="A5" s="3"/>
      <c r="B5" s="3"/>
      <c r="C5" s="48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3"/>
      <c r="AA5" s="410"/>
      <c r="AB5" s="3"/>
      <c r="AC5" s="418"/>
      <c r="AD5" s="415"/>
      <c r="AE5" s="415"/>
      <c r="AF5" s="415"/>
      <c r="AG5" s="418"/>
      <c r="AH5" s="31"/>
      <c r="AI5" s="247"/>
      <c r="AJ5" s="31"/>
      <c r="AK5" s="31"/>
      <c r="AL5" s="31"/>
      <c r="AM5" s="31"/>
    </row>
    <row r="6" spans="1:39" s="5" customFormat="1">
      <c r="A6" s="3">
        <f>A5+1</f>
        <v>1</v>
      </c>
      <c r="B6" s="3">
        <v>1861</v>
      </c>
      <c r="C6" s="3" t="s">
        <v>241</v>
      </c>
      <c r="D6" s="4">
        <f>'תקציב אגף שאיפה  2019'!D27</f>
        <v>270000</v>
      </c>
      <c r="E6" s="4">
        <f>'תקציב אגף שאיפה  2019'!E27</f>
        <v>270000</v>
      </c>
      <c r="F6" s="4">
        <f>'תקציב אגף שאיפה  2019'!F27</f>
        <v>0</v>
      </c>
      <c r="G6" s="4">
        <f>'תקציב אגף שאיפה  2019'!G27</f>
        <v>270000</v>
      </c>
      <c r="H6" s="4">
        <f>'תקציב אגף שאיפה  2019'!H27</f>
        <v>138589.71</v>
      </c>
      <c r="I6" s="4">
        <f>'תקציב אגף שאיפה  2019'!I27</f>
        <v>0</v>
      </c>
      <c r="J6" s="4">
        <f>'תקציב אגף שאיפה  2019'!J27</f>
        <v>131407.82</v>
      </c>
      <c r="K6" s="4">
        <f>'תקציב אגף שאיפה  2019'!K27</f>
        <v>131407.82</v>
      </c>
      <c r="L6" s="4">
        <f>'תקציב אגף שאיפה  2019'!L27</f>
        <v>269997.53000000003</v>
      </c>
      <c r="M6" s="4">
        <f>'תקציב אגף שאיפה  2019'!M27</f>
        <v>2.4699999999720603</v>
      </c>
      <c r="N6" s="4">
        <f>'תקציב אגף שאיפה  2019'!N27</f>
        <v>0</v>
      </c>
      <c r="O6" s="4">
        <f>'תקציב אגף שאיפה  2019'!O27</f>
        <v>0</v>
      </c>
      <c r="P6" s="4">
        <f>'תקציב אגף שאיפה  2019'!P27</f>
        <v>2.4699999999720603</v>
      </c>
      <c r="Q6" s="4">
        <f>'תקציב אגף שאיפה  2019'!Q27</f>
        <v>0</v>
      </c>
      <c r="R6" s="4">
        <f>'תקציב אגף שאיפה  2019'!R27</f>
        <v>0</v>
      </c>
      <c r="S6" s="4">
        <f>'תקציב אגף שאיפה  2019'!S27</f>
        <v>0</v>
      </c>
      <c r="T6" s="4">
        <f>'תקציב אגף שאיפה  2019'!T27</f>
        <v>0</v>
      </c>
      <c r="U6" s="4">
        <f>'תקציב אגף שאיפה  2019'!U27</f>
        <v>0</v>
      </c>
      <c r="V6" s="4">
        <f>'תקציב אגף שאיפה  2019'!V27</f>
        <v>0</v>
      </c>
      <c r="W6" s="4">
        <f>'תקציב אגף שאיפה  2019'!W27</f>
        <v>0</v>
      </c>
      <c r="X6" s="4">
        <f>'תקציב אגף שאיפה  2019'!X27</f>
        <v>0</v>
      </c>
      <c r="Y6" s="4">
        <f>'תקציב אגף שאיפה  2019'!Y27</f>
        <v>0</v>
      </c>
      <c r="Z6" s="4">
        <f>'תקציב אגף שאיפה  2019'!Z27</f>
        <v>0</v>
      </c>
      <c r="AA6" s="124">
        <f>'תקציב אגף שאיפה  2019'!AA27</f>
        <v>0</v>
      </c>
      <c r="AB6" s="3">
        <f>'תקציב אגף שאיפה  2019'!AB27</f>
        <v>714000</v>
      </c>
      <c r="AC6" s="418"/>
      <c r="AD6" s="415"/>
      <c r="AE6" s="584"/>
      <c r="AF6" s="415"/>
      <c r="AG6" s="418"/>
      <c r="AH6" s="30"/>
      <c r="AI6" s="247"/>
      <c r="AJ6" s="30"/>
      <c r="AK6" s="31"/>
      <c r="AL6" s="31"/>
      <c r="AM6" s="31"/>
    </row>
    <row r="7" spans="1:39" s="101" customFormat="1">
      <c r="A7" s="44"/>
      <c r="B7" s="44"/>
      <c r="C7" s="44" t="s">
        <v>1216</v>
      </c>
      <c r="D7" s="125">
        <f>SUM(D6)</f>
        <v>270000</v>
      </c>
      <c r="E7" s="125">
        <f t="shared" ref="E7:Z7" si="0">SUM(E6)</f>
        <v>270000</v>
      </c>
      <c r="F7" s="125">
        <f t="shared" si="0"/>
        <v>0</v>
      </c>
      <c r="G7" s="125">
        <f t="shared" si="0"/>
        <v>270000</v>
      </c>
      <c r="H7" s="125">
        <f t="shared" si="0"/>
        <v>138589.71</v>
      </c>
      <c r="I7" s="125">
        <f t="shared" si="0"/>
        <v>0</v>
      </c>
      <c r="J7" s="125">
        <f t="shared" si="0"/>
        <v>131407.82</v>
      </c>
      <c r="K7" s="125">
        <f t="shared" si="0"/>
        <v>131407.82</v>
      </c>
      <c r="L7" s="125">
        <f t="shared" si="0"/>
        <v>269997.53000000003</v>
      </c>
      <c r="M7" s="125">
        <f t="shared" si="0"/>
        <v>2.4699999999720603</v>
      </c>
      <c r="N7" s="125">
        <f t="shared" si="0"/>
        <v>0</v>
      </c>
      <c r="O7" s="125">
        <f t="shared" si="0"/>
        <v>0</v>
      </c>
      <c r="P7" s="125">
        <f t="shared" si="0"/>
        <v>2.4699999999720603</v>
      </c>
      <c r="Q7" s="125">
        <f t="shared" si="0"/>
        <v>0</v>
      </c>
      <c r="R7" s="125">
        <f t="shared" si="0"/>
        <v>0</v>
      </c>
      <c r="S7" s="125">
        <f t="shared" si="0"/>
        <v>0</v>
      </c>
      <c r="T7" s="125">
        <f t="shared" si="0"/>
        <v>0</v>
      </c>
      <c r="U7" s="125">
        <f t="shared" si="0"/>
        <v>0</v>
      </c>
      <c r="V7" s="125">
        <f t="shared" si="0"/>
        <v>0</v>
      </c>
      <c r="W7" s="125">
        <f t="shared" si="0"/>
        <v>0</v>
      </c>
      <c r="X7" s="125">
        <f t="shared" si="0"/>
        <v>0</v>
      </c>
      <c r="Y7" s="125">
        <f t="shared" si="0"/>
        <v>0</v>
      </c>
      <c r="Z7" s="125">
        <f t="shared" si="0"/>
        <v>0</v>
      </c>
      <c r="AA7" s="620"/>
      <c r="AB7" s="44"/>
      <c r="AC7" s="639"/>
      <c r="AD7" s="640"/>
      <c r="AE7" s="641"/>
      <c r="AF7" s="640"/>
      <c r="AG7" s="639"/>
      <c r="AH7" s="390"/>
      <c r="AI7" s="642"/>
      <c r="AJ7" s="390"/>
      <c r="AK7" s="391"/>
      <c r="AL7" s="391"/>
      <c r="AM7" s="391"/>
    </row>
    <row r="8" spans="1:39" s="5" customFormat="1">
      <c r="A8" s="3">
        <f>A6+1</f>
        <v>2</v>
      </c>
      <c r="B8" s="3">
        <v>2066</v>
      </c>
      <c r="C8" s="3" t="s">
        <v>812</v>
      </c>
      <c r="D8" s="4">
        <f>'תקציב אגף שאיפה  2019'!D45</f>
        <v>112500</v>
      </c>
      <c r="E8" s="4">
        <f>'תקציב אגף שאיפה  2019'!E45</f>
        <v>112500</v>
      </c>
      <c r="F8" s="4">
        <f>'תקציב אגף שאיפה  2019'!F45</f>
        <v>0</v>
      </c>
      <c r="G8" s="4">
        <f>'תקציב אגף שאיפה  2019'!G45</f>
        <v>112500</v>
      </c>
      <c r="H8" s="4">
        <f>'תקציב אגף שאיפה  2019'!H45</f>
        <v>0</v>
      </c>
      <c r="I8" s="4">
        <f>'תקציב אגף שאיפה  2019'!I45</f>
        <v>0</v>
      </c>
      <c r="J8" s="4">
        <f>'תקציב אגף שאיפה  2019'!J45</f>
        <v>97500</v>
      </c>
      <c r="K8" s="4">
        <f>'תקציב אגף שאיפה  2019'!K45</f>
        <v>97500</v>
      </c>
      <c r="L8" s="4">
        <f>'תקציב אגף שאיפה  2019'!L45</f>
        <v>97500</v>
      </c>
      <c r="M8" s="4">
        <f>'תקציב אגף שאיפה  2019'!M45</f>
        <v>15000</v>
      </c>
      <c r="N8" s="4">
        <f>'תקציב אגף שאיפה  2019'!N45</f>
        <v>0</v>
      </c>
      <c r="O8" s="4">
        <f>'תקציב אגף שאיפה  2019'!O45</f>
        <v>0</v>
      </c>
      <c r="P8" s="4">
        <f>'תקציב אגף שאיפה  2019'!P45</f>
        <v>15000</v>
      </c>
      <c r="Q8" s="4">
        <f>'תקציב אגף שאיפה  2019'!Q45</f>
        <v>0</v>
      </c>
      <c r="R8" s="4">
        <f>'תקציב אגף שאיפה  2019'!R45</f>
        <v>0</v>
      </c>
      <c r="S8" s="4">
        <f>'תקציב אגף שאיפה  2019'!S45</f>
        <v>0</v>
      </c>
      <c r="T8" s="4">
        <f>'תקציב אגף שאיפה  2019'!T45</f>
        <v>0</v>
      </c>
      <c r="U8" s="4">
        <f>'תקציב אגף שאיפה  2019'!U45</f>
        <v>0</v>
      </c>
      <c r="V8" s="4">
        <f>'תקציב אגף שאיפה  2019'!V45</f>
        <v>0</v>
      </c>
      <c r="W8" s="4">
        <f>'תקציב אגף שאיפה  2019'!W45</f>
        <v>0</v>
      </c>
      <c r="X8" s="4">
        <f>'תקציב אגף שאיפה  2019'!X45</f>
        <v>0</v>
      </c>
      <c r="Y8" s="4">
        <f>'תקציב אגף שאיפה  2019'!Y45</f>
        <v>0</v>
      </c>
      <c r="Z8" s="4">
        <f>'תקציב אגף שאיפה  2019'!Z45</f>
        <v>0</v>
      </c>
      <c r="AA8" s="124">
        <f>'תקציב אגף שאיפה  2019'!AA45</f>
        <v>0</v>
      </c>
      <c r="AB8" s="3">
        <f>'תקציב אגף שאיפה  2019'!AB45</f>
        <v>732000</v>
      </c>
      <c r="AC8" s="418"/>
      <c r="AD8" s="415"/>
      <c r="AE8" s="584"/>
      <c r="AF8" s="415"/>
      <c r="AG8" s="417"/>
      <c r="AH8" s="67"/>
      <c r="AI8" s="30"/>
      <c r="AJ8" s="30"/>
      <c r="AK8" s="31"/>
      <c r="AL8" s="31"/>
      <c r="AM8" s="31"/>
    </row>
    <row r="9" spans="1:39" s="101" customFormat="1">
      <c r="A9" s="44"/>
      <c r="B9" s="44"/>
      <c r="C9" s="44" t="s">
        <v>1201</v>
      </c>
      <c r="D9" s="125">
        <f>SUM(D8)</f>
        <v>112500</v>
      </c>
      <c r="E9" s="125">
        <f t="shared" ref="E9:Z9" si="1">SUM(E8)</f>
        <v>112500</v>
      </c>
      <c r="F9" s="125">
        <f t="shared" si="1"/>
        <v>0</v>
      </c>
      <c r="G9" s="125">
        <f t="shared" si="1"/>
        <v>112500</v>
      </c>
      <c r="H9" s="125">
        <f t="shared" si="1"/>
        <v>0</v>
      </c>
      <c r="I9" s="125">
        <f t="shared" si="1"/>
        <v>0</v>
      </c>
      <c r="J9" s="125">
        <f t="shared" si="1"/>
        <v>97500</v>
      </c>
      <c r="K9" s="125">
        <f t="shared" si="1"/>
        <v>97500</v>
      </c>
      <c r="L9" s="125">
        <f t="shared" si="1"/>
        <v>97500</v>
      </c>
      <c r="M9" s="125">
        <f t="shared" si="1"/>
        <v>15000</v>
      </c>
      <c r="N9" s="125">
        <f t="shared" si="1"/>
        <v>0</v>
      </c>
      <c r="O9" s="125">
        <f t="shared" si="1"/>
        <v>0</v>
      </c>
      <c r="P9" s="125">
        <f t="shared" si="1"/>
        <v>15000</v>
      </c>
      <c r="Q9" s="125">
        <f t="shared" si="1"/>
        <v>0</v>
      </c>
      <c r="R9" s="125">
        <f t="shared" si="1"/>
        <v>0</v>
      </c>
      <c r="S9" s="125">
        <f t="shared" si="1"/>
        <v>0</v>
      </c>
      <c r="T9" s="125">
        <f t="shared" si="1"/>
        <v>0</v>
      </c>
      <c r="U9" s="125">
        <f t="shared" si="1"/>
        <v>0</v>
      </c>
      <c r="V9" s="125">
        <f t="shared" si="1"/>
        <v>0</v>
      </c>
      <c r="W9" s="125">
        <f t="shared" si="1"/>
        <v>0</v>
      </c>
      <c r="X9" s="125">
        <f t="shared" si="1"/>
        <v>0</v>
      </c>
      <c r="Y9" s="125">
        <f t="shared" si="1"/>
        <v>0</v>
      </c>
      <c r="Z9" s="125">
        <f t="shared" si="1"/>
        <v>0</v>
      </c>
      <c r="AA9" s="620"/>
      <c r="AB9" s="44"/>
      <c r="AC9" s="639"/>
      <c r="AD9" s="640"/>
      <c r="AE9" s="641"/>
      <c r="AF9" s="640"/>
      <c r="AG9" s="643"/>
      <c r="AH9" s="389"/>
      <c r="AI9" s="390"/>
      <c r="AJ9" s="390"/>
      <c r="AK9" s="391"/>
      <c r="AL9" s="391"/>
      <c r="AM9" s="391"/>
    </row>
    <row r="10" spans="1:39" s="5" customFormat="1" ht="56">
      <c r="A10" s="3">
        <f>A8+1</f>
        <v>3</v>
      </c>
      <c r="B10" s="3">
        <v>1973</v>
      </c>
      <c r="C10" s="3" t="s">
        <v>276</v>
      </c>
      <c r="D10" s="4">
        <f>'תקציב אגף שאיפה  2019'!D32</f>
        <v>1800000</v>
      </c>
      <c r="E10" s="4">
        <f>'תקציב אגף שאיפה  2019'!E32</f>
        <v>1800000</v>
      </c>
      <c r="F10" s="4">
        <f>'תקציב אגף שאיפה  2019'!F32</f>
        <v>0</v>
      </c>
      <c r="G10" s="4">
        <f>'תקציב אגף שאיפה  2019'!G32</f>
        <v>900000</v>
      </c>
      <c r="H10" s="4">
        <f>'תקציב אגף שאיפה  2019'!H32</f>
        <v>239713.26</v>
      </c>
      <c r="I10" s="4">
        <f>'תקציב אגף שאיפה  2019'!I32</f>
        <v>0</v>
      </c>
      <c r="J10" s="4">
        <f>'תקציב אגף שאיפה  2019'!J32</f>
        <v>30771</v>
      </c>
      <c r="K10" s="4">
        <f>'תקציב אגף שאיפה  2019'!K32</f>
        <v>30771</v>
      </c>
      <c r="L10" s="4">
        <f>'תקציב אגף שאיפה  2019'!L32</f>
        <v>270484.26</v>
      </c>
      <c r="M10" s="4">
        <f>'תקציב אגף שאיפה  2019'!M32</f>
        <v>629515.74</v>
      </c>
      <c r="N10" s="4">
        <f>'תקציב אגף שאיפה  2019'!N32</f>
        <v>100000</v>
      </c>
      <c r="O10" s="4">
        <f>'תקציב אגף שאיפה  2019'!O32</f>
        <v>800000</v>
      </c>
      <c r="P10" s="4">
        <f>'תקציב אגף שאיפה  2019'!P32</f>
        <v>629515.74</v>
      </c>
      <c r="Q10" s="4">
        <f>'תקציב אגף שאיפה  2019'!Q32</f>
        <v>0</v>
      </c>
      <c r="R10" s="4">
        <f>'תקציב אגף שאיפה  2019'!R32</f>
        <v>0</v>
      </c>
      <c r="S10" s="4">
        <f>'תקציב אגף שאיפה  2019'!S32</f>
        <v>0</v>
      </c>
      <c r="T10" s="4">
        <f>'תקציב אגף שאיפה  2019'!T32</f>
        <v>0</v>
      </c>
      <c r="U10" s="4">
        <f>'תקציב אגף שאיפה  2019'!U32</f>
        <v>100000</v>
      </c>
      <c r="V10" s="4">
        <f>'תקציב אגף שאיפה  2019'!V32</f>
        <v>0</v>
      </c>
      <c r="W10" s="4">
        <f>'תקציב אגף שאיפה  2019'!W32</f>
        <v>100000</v>
      </c>
      <c r="X10" s="4">
        <f>'תקציב אגף שאיפה  2019'!X32</f>
        <v>0</v>
      </c>
      <c r="Y10" s="4">
        <f>'תקציב אגף שאיפה  2019'!Y32</f>
        <v>0</v>
      </c>
      <c r="Z10" s="4">
        <f>'תקציב אגף שאיפה  2019'!Z32</f>
        <v>0</v>
      </c>
      <c r="AA10" s="124" t="str">
        <f>'תקציב אגף שאיפה  2019'!AA32</f>
        <v>רכישה והתקנת שילוט מסוגים שונים ברחבי העיר: שלטי רחוב, מספור על הבתים, שלטי הכוונה למוסדות מקומיים ואזוריים, שלטי כניסה לשכונות וכו'.</v>
      </c>
      <c r="AB10" s="3">
        <f>'תקציב אגף שאיפה  2019'!AB32</f>
        <v>742000</v>
      </c>
      <c r="AC10" s="418"/>
      <c r="AD10" s="415"/>
      <c r="AE10" s="584"/>
      <c r="AF10" s="415"/>
      <c r="AG10" s="418"/>
      <c r="AH10" s="30"/>
      <c r="AI10" s="247"/>
      <c r="AJ10" s="30"/>
      <c r="AK10" s="31"/>
      <c r="AL10" s="31"/>
      <c r="AM10" s="31"/>
    </row>
    <row r="11" spans="1:39" s="5" customFormat="1" ht="28">
      <c r="A11" s="3">
        <f t="shared" ref="A11:A30" si="2">A10+1</f>
        <v>4</v>
      </c>
      <c r="B11" s="3">
        <v>2075</v>
      </c>
      <c r="C11" s="3" t="s">
        <v>813</v>
      </c>
      <c r="D11" s="4">
        <f>'תקציב אגף שאיפה  2019'!D46</f>
        <v>800000</v>
      </c>
      <c r="E11" s="4">
        <f>'תקציב אגף שאיפה  2019'!E46</f>
        <v>800000</v>
      </c>
      <c r="F11" s="4">
        <f>'תקציב אגף שאיפה  2019'!F46</f>
        <v>0</v>
      </c>
      <c r="G11" s="4">
        <f>'תקציב אגף שאיפה  2019'!G46</f>
        <v>772200</v>
      </c>
      <c r="H11" s="4">
        <f>'תקציב אגף שאיפה  2019'!H46</f>
        <v>110682</v>
      </c>
      <c r="I11" s="4">
        <f>'תקציב אגף שאיפה  2019'!I46</f>
        <v>0</v>
      </c>
      <c r="J11" s="4">
        <f>'תקציב אגף שאיפה  2019'!J46</f>
        <v>174852</v>
      </c>
      <c r="K11" s="4">
        <f>'תקציב אגף שאיפה  2019'!K46</f>
        <v>174852</v>
      </c>
      <c r="L11" s="4">
        <f>'תקציב אגף שאיפה  2019'!L46</f>
        <v>285534</v>
      </c>
      <c r="M11" s="4">
        <f>'תקציב אגף שאיפה  2019'!M46</f>
        <v>514466</v>
      </c>
      <c r="N11" s="4">
        <f>'תקציב אגף שאיפה  2019'!N46</f>
        <v>0</v>
      </c>
      <c r="O11" s="4">
        <f>'תקציב אגף שאיפה  2019'!O46</f>
        <v>0</v>
      </c>
      <c r="P11" s="4">
        <f>'תקציב אגף שאיפה  2019'!P46</f>
        <v>486666</v>
      </c>
      <c r="Q11" s="4">
        <f>'תקציב אגף שאיפה  2019'!Q46</f>
        <v>0</v>
      </c>
      <c r="R11" s="4">
        <f>'תקציב אגף שאיפה  2019'!R46</f>
        <v>27800</v>
      </c>
      <c r="S11" s="4">
        <f>'תקציב אגף שאיפה  2019'!S46</f>
        <v>27800</v>
      </c>
      <c r="T11" s="4">
        <f>'תקציב אגף שאיפה  2019'!T46</f>
        <v>0</v>
      </c>
      <c r="U11" s="4">
        <f>'תקציב אגף שאיפה  2019'!U46</f>
        <v>0</v>
      </c>
      <c r="V11" s="4">
        <f>'תקציב אגף שאיפה  2019'!V46</f>
        <v>0</v>
      </c>
      <c r="W11" s="4">
        <f>'תקציב אגף שאיפה  2019'!W46</f>
        <v>0</v>
      </c>
      <c r="X11" s="4">
        <f>'תקציב אגף שאיפה  2019'!X46</f>
        <v>0</v>
      </c>
      <c r="Y11" s="4">
        <f>'תקציב אגף שאיפה  2019'!Y46</f>
        <v>0</v>
      </c>
      <c r="Z11" s="4">
        <f>'תקציב אגף שאיפה  2019'!Z46</f>
        <v>0</v>
      </c>
      <c r="AA11" s="124" t="str">
        <f>'תקציב אגף שאיפה  2019'!AA46</f>
        <v>הקמה ושדרוג סככות המתנה לאוטובוס. מימון מ. התחבורה.</v>
      </c>
      <c r="AB11" s="3">
        <f>'תקציב אגף שאיפה  2019'!AB46</f>
        <v>742000</v>
      </c>
      <c r="AC11" s="418"/>
      <c r="AD11" s="415"/>
      <c r="AE11" s="584"/>
      <c r="AF11" s="415"/>
      <c r="AG11" s="418"/>
      <c r="AH11" s="30"/>
      <c r="AI11" s="247"/>
      <c r="AJ11" s="30"/>
      <c r="AK11" s="31"/>
      <c r="AL11" s="31"/>
      <c r="AM11" s="31"/>
    </row>
    <row r="12" spans="1:39" s="5" customFormat="1" ht="42">
      <c r="A12" s="3">
        <f t="shared" si="2"/>
        <v>5</v>
      </c>
      <c r="B12" s="3">
        <v>1134</v>
      </c>
      <c r="C12" s="3" t="s">
        <v>101</v>
      </c>
      <c r="D12" s="4">
        <f>'תקציב אגף שאיפה  2019'!D8</f>
        <v>2700000</v>
      </c>
      <c r="E12" s="4">
        <f>'תקציב אגף שאיפה  2019'!E8</f>
        <v>2700000</v>
      </c>
      <c r="F12" s="4">
        <f>'תקציב אגף שאיפה  2019'!F8</f>
        <v>0</v>
      </c>
      <c r="G12" s="4">
        <f>'תקציב אגף שאיפה  2019'!G8</f>
        <v>2495000</v>
      </c>
      <c r="H12" s="4">
        <f>'תקציב אגף שאיפה  2019'!H8</f>
        <v>2297601</v>
      </c>
      <c r="I12" s="4">
        <f>'תקציב אגף שאיפה  2019'!I8</f>
        <v>0</v>
      </c>
      <c r="J12" s="4">
        <f>'תקציב אגף שאיפה  2019'!J8</f>
        <v>115724.71</v>
      </c>
      <c r="K12" s="4">
        <f>'תקציב אגף שאיפה  2019'!K8</f>
        <v>115724.71</v>
      </c>
      <c r="L12" s="4">
        <f>'תקציב אגף שאיפה  2019'!L8</f>
        <v>2413325.71</v>
      </c>
      <c r="M12" s="4">
        <f>'תקציב אגף שאיפה  2019'!M8</f>
        <v>81674.290000000037</v>
      </c>
      <c r="N12" s="4">
        <f>'תקציב אגף שאיפה  2019'!N8</f>
        <v>100000</v>
      </c>
      <c r="O12" s="4">
        <f>'תקציב אגף שאיפה  2019'!O8</f>
        <v>105000</v>
      </c>
      <c r="P12" s="4">
        <f>'תקציב אגף שאיפה  2019'!P8</f>
        <v>81674.290000000037</v>
      </c>
      <c r="Q12" s="4">
        <f>'תקציב אגף שאיפה  2019'!Q8</f>
        <v>0</v>
      </c>
      <c r="R12" s="4">
        <f>'תקציב אגף שאיפה  2019'!R8</f>
        <v>0</v>
      </c>
      <c r="S12" s="4">
        <f>'תקציב אגף שאיפה  2019'!S8</f>
        <v>0</v>
      </c>
      <c r="T12" s="4">
        <f>'תקציב אגף שאיפה  2019'!T8</f>
        <v>0</v>
      </c>
      <c r="U12" s="4">
        <f>'תקציב אגף שאיפה  2019'!U8</f>
        <v>100000</v>
      </c>
      <c r="V12" s="4">
        <f>'תקציב אגף שאיפה  2019'!V8</f>
        <v>0</v>
      </c>
      <c r="W12" s="4">
        <f>'תקציב אגף שאיפה  2019'!W8</f>
        <v>100000</v>
      </c>
      <c r="X12" s="4">
        <f>'תקציב אגף שאיפה  2019'!X8</f>
        <v>0</v>
      </c>
      <c r="Y12" s="4">
        <f>'תקציב אגף שאיפה  2019'!Y8</f>
        <v>0</v>
      </c>
      <c r="Z12" s="4">
        <f>'תקציב אגף שאיפה  2019'!Z8</f>
        <v>0</v>
      </c>
      <c r="AA12" s="124" t="str">
        <f>'תקציב אגף שאיפה  2019'!AA8</f>
        <v>הקמת גינה קהילתית בהרצליה הירוקה. שדרוג תשתיות בגינות קהילתיות. איתור מקום ליער עירוני נוסף בעיר.</v>
      </c>
      <c r="AB12" s="3">
        <f>'תקציב אגף שאיפה  2019'!AB8</f>
        <v>746000</v>
      </c>
      <c r="AC12" s="418"/>
      <c r="AD12" s="415"/>
      <c r="AE12" s="584"/>
      <c r="AF12" s="415"/>
      <c r="AG12" s="20"/>
      <c r="AH12" s="20"/>
      <c r="AI12" s="30"/>
      <c r="AJ12" s="31"/>
      <c r="AK12" s="31"/>
      <c r="AL12" s="31"/>
      <c r="AM12" s="31"/>
    </row>
    <row r="13" spans="1:39" s="5" customFormat="1" ht="28">
      <c r="A13" s="3">
        <f t="shared" si="2"/>
        <v>6</v>
      </c>
      <c r="B13" s="3">
        <v>1165</v>
      </c>
      <c r="C13" s="3" t="s">
        <v>142</v>
      </c>
      <c r="D13" s="4">
        <f>'תקציב אגף שאיפה  2019'!D9</f>
        <v>12050000</v>
      </c>
      <c r="E13" s="4">
        <f>'תקציב אגף שאיפה  2019'!E9</f>
        <v>16300000</v>
      </c>
      <c r="F13" s="4">
        <f>'תקציב אגף שאיפה  2019'!F9</f>
        <v>-4250000</v>
      </c>
      <c r="G13" s="4">
        <f>'תקציב אגף שאיפה  2019'!G9</f>
        <v>12050000</v>
      </c>
      <c r="H13" s="4">
        <f>'תקציב אגף שאיפה  2019'!H9</f>
        <v>11376110</v>
      </c>
      <c r="I13" s="4">
        <f>'תקציב אגף שאיפה  2019'!I9</f>
        <v>0</v>
      </c>
      <c r="J13" s="4">
        <f>'תקציב אגף שאיפה  2019'!J9</f>
        <v>573442</v>
      </c>
      <c r="K13" s="4">
        <f>'תקציב אגף שאיפה  2019'!K9</f>
        <v>573442</v>
      </c>
      <c r="L13" s="4">
        <f>'תקציב אגף שאיפה  2019'!L9</f>
        <v>11949552</v>
      </c>
      <c r="M13" s="4">
        <f>'תקציב אגף שאיפה  2019'!M9</f>
        <v>100448</v>
      </c>
      <c r="N13" s="4">
        <f>'תקציב אגף שאיפה  2019'!N9</f>
        <v>0</v>
      </c>
      <c r="O13" s="4">
        <f>'תקציב אגף שאיפה  2019'!O9</f>
        <v>0</v>
      </c>
      <c r="P13" s="4">
        <f>'תקציב אגף שאיפה  2019'!P9</f>
        <v>100448</v>
      </c>
      <c r="Q13" s="4">
        <f>'תקציב אגף שאיפה  2019'!Q9</f>
        <v>0</v>
      </c>
      <c r="R13" s="4">
        <f>'תקציב אגף שאיפה  2019'!R9</f>
        <v>0</v>
      </c>
      <c r="S13" s="4">
        <f>'תקציב אגף שאיפה  2019'!S9</f>
        <v>0</v>
      </c>
      <c r="T13" s="4">
        <f>'תקציב אגף שאיפה  2019'!T9</f>
        <v>0</v>
      </c>
      <c r="U13" s="4">
        <f>'תקציב אגף שאיפה  2019'!U9</f>
        <v>0</v>
      </c>
      <c r="V13" s="4">
        <f>'תקציב אגף שאיפה  2019'!V9</f>
        <v>0</v>
      </c>
      <c r="W13" s="4">
        <f>'תקציב אגף שאיפה  2019'!W9</f>
        <v>0</v>
      </c>
      <c r="X13" s="4">
        <f>'תקציב אגף שאיפה  2019'!X9</f>
        <v>0</v>
      </c>
      <c r="Y13" s="4">
        <f>'תקציב אגף שאיפה  2019'!Y9</f>
        <v>0</v>
      </c>
      <c r="Z13" s="4">
        <f>'תקציב אגף שאיפה  2019'!Z9</f>
        <v>0</v>
      </c>
      <c r="AA13" s="124" t="str">
        <f>'תקציב אגף שאיפה  2019'!AA9</f>
        <v>ב - 2019 יהיה במסגרת תב"ר 1254.</v>
      </c>
      <c r="AB13" s="3">
        <f>'תקציב אגף שאיפה  2019'!AB9</f>
        <v>746000</v>
      </c>
      <c r="AC13" s="418"/>
      <c r="AD13" s="415"/>
      <c r="AE13" s="584"/>
      <c r="AF13" s="415"/>
      <c r="AG13" s="418"/>
      <c r="AH13" s="30"/>
      <c r="AI13" s="247"/>
      <c r="AJ13" s="30"/>
      <c r="AK13" s="30"/>
      <c r="AL13" s="30"/>
      <c r="AM13" s="30"/>
    </row>
    <row r="14" spans="1:39" s="5" customFormat="1" ht="28">
      <c r="A14" s="3">
        <f t="shared" si="2"/>
        <v>7</v>
      </c>
      <c r="B14" s="3">
        <v>1166</v>
      </c>
      <c r="C14" s="3" t="s">
        <v>791</v>
      </c>
      <c r="D14" s="4">
        <f>'תקציב אגף שאיפה  2019'!D10</f>
        <v>9115000</v>
      </c>
      <c r="E14" s="4">
        <f>'תקציב אגף שאיפה  2019'!E10</f>
        <v>10615000</v>
      </c>
      <c r="F14" s="4">
        <f>'תקציב אגף שאיפה  2019'!F10</f>
        <v>-1500000</v>
      </c>
      <c r="G14" s="4">
        <f>'תקציב אגף שאיפה  2019'!G10</f>
        <v>9115000</v>
      </c>
      <c r="H14" s="4">
        <f>'תקציב אגף שאיפה  2019'!H10</f>
        <v>8351629</v>
      </c>
      <c r="I14" s="4">
        <f>'תקציב אגף שאיפה  2019'!I10</f>
        <v>0</v>
      </c>
      <c r="J14" s="4">
        <f>'תקציב אגף שאיפה  2019'!J10</f>
        <v>590891</v>
      </c>
      <c r="K14" s="4">
        <f>'תקציב אגף שאיפה  2019'!K10</f>
        <v>590891</v>
      </c>
      <c r="L14" s="4">
        <f>'תקציב אגף שאיפה  2019'!L10</f>
        <v>8942520</v>
      </c>
      <c r="M14" s="4">
        <f>'תקציב אגף שאיפה  2019'!M10</f>
        <v>172480</v>
      </c>
      <c r="N14" s="4">
        <f>'תקציב אגף שאיפה  2019'!N10</f>
        <v>0</v>
      </c>
      <c r="O14" s="4">
        <f>'תקציב אגף שאיפה  2019'!O10</f>
        <v>0</v>
      </c>
      <c r="P14" s="4">
        <f>'תקציב אגף שאיפה  2019'!P10</f>
        <v>172480</v>
      </c>
      <c r="Q14" s="4">
        <f>'תקציב אגף שאיפה  2019'!Q10</f>
        <v>0</v>
      </c>
      <c r="R14" s="4">
        <f>'תקציב אגף שאיפה  2019'!R10</f>
        <v>0</v>
      </c>
      <c r="S14" s="4">
        <f>'תקציב אגף שאיפה  2019'!S10</f>
        <v>0</v>
      </c>
      <c r="T14" s="4">
        <f>'תקציב אגף שאיפה  2019'!T10</f>
        <v>0</v>
      </c>
      <c r="U14" s="4">
        <f>'תקציב אגף שאיפה  2019'!U10</f>
        <v>0</v>
      </c>
      <c r="V14" s="4">
        <f>'תקציב אגף שאיפה  2019'!V10</f>
        <v>0</v>
      </c>
      <c r="W14" s="4">
        <f>'תקציב אגף שאיפה  2019'!W10</f>
        <v>0</v>
      </c>
      <c r="X14" s="4">
        <f>'תקציב אגף שאיפה  2019'!X10</f>
        <v>0</v>
      </c>
      <c r="Y14" s="4">
        <f>'תקציב אגף שאיפה  2019'!Y10</f>
        <v>0</v>
      </c>
      <c r="Z14" s="4">
        <f>'תקציב אגף שאיפה  2019'!Z10</f>
        <v>0</v>
      </c>
      <c r="AA14" s="124" t="str">
        <f>'תקציב אגף שאיפה  2019'!AA10</f>
        <v>ב - 2019 יהיה במסגרת תב"ר 1254.</v>
      </c>
      <c r="AB14" s="3">
        <f>'תקציב אגף שאיפה  2019'!AB10</f>
        <v>746000</v>
      </c>
      <c r="AC14" s="418"/>
      <c r="AD14" s="415"/>
      <c r="AE14" s="584"/>
      <c r="AF14" s="415"/>
      <c r="AG14" s="418"/>
      <c r="AH14" s="30"/>
      <c r="AI14" s="247"/>
      <c r="AJ14" s="30"/>
      <c r="AK14" s="30"/>
      <c r="AL14" s="30"/>
      <c r="AM14" s="30"/>
    </row>
    <row r="15" spans="1:39" s="5" customFormat="1" ht="84">
      <c r="A15" s="3">
        <f t="shared" si="2"/>
        <v>8</v>
      </c>
      <c r="B15" s="3">
        <v>1254</v>
      </c>
      <c r="C15" s="3" t="s">
        <v>793</v>
      </c>
      <c r="D15" s="4">
        <f>'תקציב אגף שאיפה  2019'!D14</f>
        <v>37990000</v>
      </c>
      <c r="E15" s="4">
        <f>'תקציב אגף שאיפה  2019'!E14</f>
        <v>37000000</v>
      </c>
      <c r="F15" s="4">
        <f>'תקציב אגף שאיפה  2019'!F14</f>
        <v>990000</v>
      </c>
      <c r="G15" s="4">
        <f>'תקציב אגף שאיפה  2019'!G14</f>
        <v>31990000</v>
      </c>
      <c r="H15" s="4">
        <f>'תקציב אגף שאיפה  2019'!H14</f>
        <v>30104408</v>
      </c>
      <c r="I15" s="4">
        <f>'תקציב אגף שאיפה  2019'!I14</f>
        <v>0</v>
      </c>
      <c r="J15" s="4">
        <f>'תקציב אגף שאיפה  2019'!J14</f>
        <v>1556900</v>
      </c>
      <c r="K15" s="4">
        <f>'תקציב אגף שאיפה  2019'!K14</f>
        <v>1556900</v>
      </c>
      <c r="L15" s="4">
        <f>'תקציב אגף שאיפה  2019'!L14</f>
        <v>31661308</v>
      </c>
      <c r="M15" s="4">
        <f>'תקציב אגף שאיפה  2019'!M14</f>
        <v>328692</v>
      </c>
      <c r="N15" s="4">
        <f>'תקציב אגף שאיפה  2019'!N14</f>
        <v>6000000</v>
      </c>
      <c r="O15" s="4">
        <f>'תקציב אגף שאיפה  2019'!O14</f>
        <v>0</v>
      </c>
      <c r="P15" s="4">
        <f>'תקציב אגף שאיפה  2019'!P14</f>
        <v>328692</v>
      </c>
      <c r="Q15" s="4">
        <f>'תקציב אגף שאיפה  2019'!Q14</f>
        <v>0</v>
      </c>
      <c r="R15" s="4">
        <f>'תקציב אגף שאיפה  2019'!R14</f>
        <v>0</v>
      </c>
      <c r="S15" s="4">
        <f>'תקציב אגף שאיפה  2019'!S14</f>
        <v>0</v>
      </c>
      <c r="T15" s="4">
        <f>'תקציב אגף שאיפה  2019'!T14</f>
        <v>0</v>
      </c>
      <c r="U15" s="4">
        <f>'תקציב אגף שאיפה  2019'!U14</f>
        <v>6000000</v>
      </c>
      <c r="V15" s="4">
        <f>'תקציב אגף שאיפה  2019'!V14</f>
        <v>3000000</v>
      </c>
      <c r="W15" s="4">
        <f>'תקציב אגף שאיפה  2019'!W14</f>
        <v>3000000</v>
      </c>
      <c r="X15" s="4">
        <f>'תקציב אגף שאיפה  2019'!X14</f>
        <v>0</v>
      </c>
      <c r="Y15" s="4">
        <f>'תקציב אגף שאיפה  2019'!Y14</f>
        <v>0</v>
      </c>
      <c r="Z15" s="4">
        <f>'תקציב אגף שאיפה  2019'!Z14</f>
        <v>0</v>
      </c>
      <c r="AA15" s="124" t="str">
        <f>'תקציב אגף שאיפה  2019'!AA14</f>
        <v>הקמה ושדרוג גינות ציבוריות כולל: פיתוח, תשתיות ושבילי גישה, הנגשה, תאורה, מערכות השקייה, מתקני משחק, ריהוט גן, מתקני כושר, משטחי גומי וכל העבודות. עפ"י תוכנית עבודה שתאושר ע"י הנהלת העיר.</v>
      </c>
      <c r="AB15" s="3">
        <f>'תקציב אגף שאיפה  2019'!AB14</f>
        <v>746000</v>
      </c>
      <c r="AC15" s="418"/>
      <c r="AD15" s="415"/>
      <c r="AE15" s="584"/>
      <c r="AF15" s="415"/>
      <c r="AG15" s="418"/>
      <c r="AH15" s="30"/>
      <c r="AI15" s="247"/>
      <c r="AJ15" s="30"/>
      <c r="AK15" s="30"/>
      <c r="AL15" s="30"/>
      <c r="AM15" s="30"/>
    </row>
    <row r="16" spans="1:39" s="5" customFormat="1">
      <c r="A16" s="3">
        <f t="shared" si="2"/>
        <v>9</v>
      </c>
      <c r="B16" s="3">
        <v>1341</v>
      </c>
      <c r="C16" s="3" t="s">
        <v>120</v>
      </c>
      <c r="D16" s="4">
        <f>'תקציב אגף שאיפה  2019'!D15</f>
        <v>550000</v>
      </c>
      <c r="E16" s="4">
        <f>'תקציב אגף שאיפה  2019'!E15</f>
        <v>550000</v>
      </c>
      <c r="F16" s="4">
        <f>'תקציב אגף שאיפה  2019'!F15</f>
        <v>0</v>
      </c>
      <c r="G16" s="4">
        <f>'תקציב אגף שאיפה  2019'!G15</f>
        <v>550000</v>
      </c>
      <c r="H16" s="4">
        <f>'תקציב אגף שאיפה  2019'!H15</f>
        <v>465234.28</v>
      </c>
      <c r="I16" s="4">
        <f>'תקציב אגף שאיפה  2019'!I15</f>
        <v>0</v>
      </c>
      <c r="J16" s="4">
        <f>'תקציב אגף שאיפה  2019'!J15</f>
        <v>1711.52</v>
      </c>
      <c r="K16" s="4">
        <f>'תקציב אגף שאיפה  2019'!K15</f>
        <v>1711.52</v>
      </c>
      <c r="L16" s="4">
        <f>'תקציב אגף שאיפה  2019'!L15</f>
        <v>466945.80000000005</v>
      </c>
      <c r="M16" s="4">
        <f>'תקציב אגף שאיפה  2019'!M15</f>
        <v>83054.199999999953</v>
      </c>
      <c r="N16" s="4">
        <f>'תקציב אגף שאיפה  2019'!N15</f>
        <v>0</v>
      </c>
      <c r="O16" s="4">
        <f>'תקציב אגף שאיפה  2019'!O15</f>
        <v>0</v>
      </c>
      <c r="P16" s="4">
        <f>'תקציב אגף שאיפה  2019'!P15</f>
        <v>83054.199999999953</v>
      </c>
      <c r="Q16" s="4">
        <f>'תקציב אגף שאיפה  2019'!Q15</f>
        <v>0</v>
      </c>
      <c r="R16" s="4">
        <f>'תקציב אגף שאיפה  2019'!R15</f>
        <v>0</v>
      </c>
      <c r="S16" s="4">
        <f>'תקציב אגף שאיפה  2019'!S15</f>
        <v>0</v>
      </c>
      <c r="T16" s="4">
        <f>'תקציב אגף שאיפה  2019'!T15</f>
        <v>0</v>
      </c>
      <c r="U16" s="4">
        <f>'תקציב אגף שאיפה  2019'!U15</f>
        <v>0</v>
      </c>
      <c r="V16" s="4">
        <f>'תקציב אגף שאיפה  2019'!V15</f>
        <v>0</v>
      </c>
      <c r="W16" s="4">
        <f>'תקציב אגף שאיפה  2019'!W15</f>
        <v>0</v>
      </c>
      <c r="X16" s="4">
        <f>'תקציב אגף שאיפה  2019'!X15</f>
        <v>0</v>
      </c>
      <c r="Y16" s="4">
        <f>'תקציב אגף שאיפה  2019'!Y15</f>
        <v>0</v>
      </c>
      <c r="Z16" s="4">
        <f>'תקציב אגף שאיפה  2019'!Z15</f>
        <v>0</v>
      </c>
      <c r="AA16" s="124">
        <f>'תקציב אגף שאיפה  2019'!AA15</f>
        <v>0</v>
      </c>
      <c r="AB16" s="3">
        <f>'תקציב אגף שאיפה  2019'!AB15</f>
        <v>746000</v>
      </c>
      <c r="AC16" s="418"/>
      <c r="AD16" s="415"/>
      <c r="AE16" s="584"/>
      <c r="AF16" s="415"/>
      <c r="AG16" s="418"/>
      <c r="AH16" s="30"/>
      <c r="AI16" s="247"/>
      <c r="AJ16" s="30"/>
      <c r="AK16" s="30"/>
      <c r="AL16" s="30"/>
      <c r="AM16" s="30"/>
    </row>
    <row r="17" spans="1:39" s="5" customFormat="1" ht="42">
      <c r="A17" s="3">
        <f t="shared" si="2"/>
        <v>10</v>
      </c>
      <c r="B17" s="3">
        <v>1342</v>
      </c>
      <c r="C17" s="3" t="s">
        <v>121</v>
      </c>
      <c r="D17" s="4">
        <f>'תקציב אגף שאיפה  2019'!D16</f>
        <v>4000000</v>
      </c>
      <c r="E17" s="4">
        <f>'תקציב אגף שאיפה  2019'!E16</f>
        <v>4000000</v>
      </c>
      <c r="F17" s="4">
        <f>'תקציב אגף שאיפה  2019'!F16</f>
        <v>0</v>
      </c>
      <c r="G17" s="4">
        <f>'תקציב אגף שאיפה  2019'!G16</f>
        <v>2700000</v>
      </c>
      <c r="H17" s="4">
        <f>'תקציב אגף שאיפה  2019'!H16</f>
        <v>1986870.56</v>
      </c>
      <c r="I17" s="4">
        <f>'תקציב אגף שאיפה  2019'!I16</f>
        <v>0</v>
      </c>
      <c r="J17" s="4">
        <f>'תקציב אגף שאיפה  2019'!J16</f>
        <v>299393.09999999998</v>
      </c>
      <c r="K17" s="4">
        <f>'תקציב אגף שאיפה  2019'!K16</f>
        <v>299393.09999999998</v>
      </c>
      <c r="L17" s="4">
        <f>'תקציב אגף שאיפה  2019'!L16</f>
        <v>2286263.66</v>
      </c>
      <c r="M17" s="4">
        <f>'תקציב אגף שאיפה  2019'!M16</f>
        <v>663736.33999999985</v>
      </c>
      <c r="N17" s="4">
        <f>'תקציב אגף שאיפה  2019'!N16</f>
        <v>500000</v>
      </c>
      <c r="O17" s="4">
        <f>'תקציב אגף שאיפה  2019'!O16</f>
        <v>550000</v>
      </c>
      <c r="P17" s="4">
        <f>'תקציב אגף שאיפה  2019'!P16</f>
        <v>413736.33999999985</v>
      </c>
      <c r="Q17" s="4">
        <f>'תקציב אגף שאיפה  2019'!Q16</f>
        <v>250000</v>
      </c>
      <c r="R17" s="4">
        <f>'תקציב אגף שאיפה  2019'!R16</f>
        <v>0</v>
      </c>
      <c r="S17" s="4">
        <f>'תקציב אגף שאיפה  2019'!S16</f>
        <v>250000</v>
      </c>
      <c r="T17" s="4">
        <f>'תקציב אגף שאיפה  2019'!T16</f>
        <v>0</v>
      </c>
      <c r="U17" s="4">
        <f>'תקציב אגף שאיפה  2019'!U16</f>
        <v>500000</v>
      </c>
      <c r="V17" s="4">
        <f>'תקציב אגף שאיפה  2019'!V16</f>
        <v>500000</v>
      </c>
      <c r="W17" s="4">
        <f>'תקציב אגף שאיפה  2019'!W16</f>
        <v>0</v>
      </c>
      <c r="X17" s="4">
        <f>'תקציב אגף שאיפה  2019'!X16</f>
        <v>0</v>
      </c>
      <c r="Y17" s="4">
        <f>'תקציב אגף שאיפה  2019'!Y16</f>
        <v>0</v>
      </c>
      <c r="Z17" s="4">
        <f>'תקציב אגף שאיפה  2019'!Z16</f>
        <v>0</v>
      </c>
      <c r="AA17" s="124" t="str">
        <f>'תקציב אגף שאיפה  2019'!AA16</f>
        <v>הקמת גינות כלבים כולל: פיתוח שבילים, גידור, תאורה, ברזיות, ריהוט גן תואם, עבודות גינון והשקייה.</v>
      </c>
      <c r="AB17" s="3">
        <f>'תקציב אגף שאיפה  2019'!AB16</f>
        <v>746000</v>
      </c>
      <c r="AC17" s="418"/>
      <c r="AD17" s="415"/>
      <c r="AE17" s="584"/>
      <c r="AF17" s="415"/>
      <c r="AG17" s="418"/>
      <c r="AH17" s="30"/>
      <c r="AI17" s="247"/>
      <c r="AJ17" s="30"/>
      <c r="AK17" s="30"/>
      <c r="AL17" s="30"/>
      <c r="AM17" s="30"/>
    </row>
    <row r="18" spans="1:39" s="5" customFormat="1" ht="28">
      <c r="A18" s="3">
        <f t="shared" si="2"/>
        <v>11</v>
      </c>
      <c r="B18" s="3">
        <v>1343</v>
      </c>
      <c r="C18" s="3" t="s">
        <v>122</v>
      </c>
      <c r="D18" s="4">
        <f>'תקציב אגף שאיפה  2019'!D17</f>
        <v>8320000</v>
      </c>
      <c r="E18" s="4">
        <f>'תקציב אגף שאיפה  2019'!E17</f>
        <v>8320000</v>
      </c>
      <c r="F18" s="4">
        <f>'תקציב אגף שאיפה  2019'!F17</f>
        <v>0</v>
      </c>
      <c r="G18" s="4">
        <f>'תקציב אגף שאיפה  2019'!G17</f>
        <v>6020000</v>
      </c>
      <c r="H18" s="4">
        <f>'תקציב אגף שאיפה  2019'!H17</f>
        <v>4544185</v>
      </c>
      <c r="I18" s="4">
        <f>'תקציב אגף שאיפה  2019'!I17</f>
        <v>0</v>
      </c>
      <c r="J18" s="4">
        <f>'תקציב אגף שאיפה  2019'!J17</f>
        <v>1460307</v>
      </c>
      <c r="K18" s="4">
        <f>'תקציב אגף שאיפה  2019'!K17</f>
        <v>1460307</v>
      </c>
      <c r="L18" s="4">
        <f>'תקציב אגף שאיפה  2019'!L17</f>
        <v>6004492</v>
      </c>
      <c r="M18" s="4">
        <f>'תקציב אגף שאיפה  2019'!M17</f>
        <v>15508</v>
      </c>
      <c r="N18" s="4">
        <f>'תקציב אגף שאיפה  2019'!N17</f>
        <v>1000000</v>
      </c>
      <c r="O18" s="4">
        <f>'תקציב אגף שאיפה  2019'!O17</f>
        <v>1300000</v>
      </c>
      <c r="P18" s="4">
        <f>'תקציב אגף שאיפה  2019'!P17</f>
        <v>15508</v>
      </c>
      <c r="Q18" s="4">
        <f>'תקציב אגף שאיפה  2019'!Q17</f>
        <v>0</v>
      </c>
      <c r="R18" s="4">
        <f>'תקציב אגף שאיפה  2019'!R17</f>
        <v>0</v>
      </c>
      <c r="S18" s="4">
        <f>'תקציב אגף שאיפה  2019'!S17</f>
        <v>0</v>
      </c>
      <c r="T18" s="4">
        <f>'תקציב אגף שאיפה  2019'!T17</f>
        <v>0</v>
      </c>
      <c r="U18" s="4">
        <f>'תקציב אגף שאיפה  2019'!U17</f>
        <v>1000000</v>
      </c>
      <c r="V18" s="4">
        <f>'תקציב אגף שאיפה  2019'!V17</f>
        <v>1000000</v>
      </c>
      <c r="W18" s="4">
        <f>'תקציב אגף שאיפה  2019'!W17</f>
        <v>0</v>
      </c>
      <c r="X18" s="4">
        <f>'תקציב אגף שאיפה  2019'!X17</f>
        <v>0</v>
      </c>
      <c r="Y18" s="4">
        <f>'תקציב אגף שאיפה  2019'!Y17</f>
        <v>0</v>
      </c>
      <c r="Z18" s="4">
        <f>'תקציב אגף שאיפה  2019'!Z17</f>
        <v>0</v>
      </c>
      <c r="AA18" s="124" t="str">
        <f>'תקציב אגף שאיפה  2019'!AA17</f>
        <v>הצללת אזורים של מתקני משחקים לנוחות הציבור.</v>
      </c>
      <c r="AB18" s="3">
        <f>'תקציב אגף שאיפה  2019'!AB17</f>
        <v>746000</v>
      </c>
      <c r="AC18" s="418"/>
      <c r="AD18" s="415"/>
      <c r="AE18" s="584"/>
      <c r="AF18" s="415"/>
      <c r="AG18" s="418"/>
      <c r="AH18" s="30"/>
      <c r="AI18" s="247"/>
      <c r="AJ18" s="30"/>
      <c r="AK18" s="30"/>
      <c r="AL18" s="30"/>
      <c r="AM18" s="30"/>
    </row>
    <row r="19" spans="1:39" s="5" customFormat="1">
      <c r="A19" s="3">
        <f t="shared" si="2"/>
        <v>12</v>
      </c>
      <c r="B19" s="3">
        <v>1491</v>
      </c>
      <c r="C19" s="3" t="s">
        <v>123</v>
      </c>
      <c r="D19" s="4">
        <f>'תקציב אגף שאיפה  2019'!D20</f>
        <v>6870000</v>
      </c>
      <c r="E19" s="4">
        <f>'תקציב אגף שאיפה  2019'!E20</f>
        <v>13700000</v>
      </c>
      <c r="F19" s="4">
        <f>'תקציב אגף שאיפה  2019'!F20</f>
        <v>-6830000</v>
      </c>
      <c r="G19" s="4">
        <f>'תקציב אגף שאיפה  2019'!G20</f>
        <v>6870000</v>
      </c>
      <c r="H19" s="4">
        <f>'תקציב אגף שאיפה  2019'!H20</f>
        <v>5602803</v>
      </c>
      <c r="I19" s="4">
        <f>'תקציב אגף שאיפה  2019'!I20</f>
        <v>0</v>
      </c>
      <c r="J19" s="4">
        <f>'תקציב אגף שאיפה  2019'!J20</f>
        <v>1163977</v>
      </c>
      <c r="K19" s="4">
        <f>'תקציב אגף שאיפה  2019'!K20</f>
        <v>1163977</v>
      </c>
      <c r="L19" s="4">
        <f>'תקציב אגף שאיפה  2019'!L20</f>
        <v>6766780</v>
      </c>
      <c r="M19" s="4">
        <f>'תקציב אגף שאיפה  2019'!M20</f>
        <v>103220</v>
      </c>
      <c r="N19" s="4">
        <f>'תקציב אגף שאיפה  2019'!N20</f>
        <v>0</v>
      </c>
      <c r="O19" s="4">
        <f>'תקציב אגף שאיפה  2019'!O20</f>
        <v>0</v>
      </c>
      <c r="P19" s="4">
        <f>'תקציב אגף שאיפה  2019'!P20</f>
        <v>103220</v>
      </c>
      <c r="Q19" s="4">
        <f>'תקציב אגף שאיפה  2019'!Q20</f>
        <v>0</v>
      </c>
      <c r="R19" s="4">
        <f>'תקציב אגף שאיפה  2019'!R20</f>
        <v>0</v>
      </c>
      <c r="S19" s="4">
        <f>'תקציב אגף שאיפה  2019'!S20</f>
        <v>0</v>
      </c>
      <c r="T19" s="4">
        <f>'תקציב אגף שאיפה  2019'!T20</f>
        <v>0</v>
      </c>
      <c r="U19" s="4">
        <f>'תקציב אגף שאיפה  2019'!U20</f>
        <v>0</v>
      </c>
      <c r="V19" s="4">
        <f>'תקציב אגף שאיפה  2019'!V20</f>
        <v>0</v>
      </c>
      <c r="W19" s="4">
        <f>'תקציב אגף שאיפה  2019'!W20</f>
        <v>0</v>
      </c>
      <c r="X19" s="4">
        <f>'תקציב אגף שאיפה  2019'!X20</f>
        <v>0</v>
      </c>
      <c r="Y19" s="4">
        <f>'תקציב אגף שאיפה  2019'!Y20</f>
        <v>0</v>
      </c>
      <c r="Z19" s="4">
        <f>'תקציב אגף שאיפה  2019'!Z20</f>
        <v>0</v>
      </c>
      <c r="AA19" s="124" t="str">
        <f>'תקציב אגף שאיפה  2019'!AA20</f>
        <v>ב - 2019 יהיה במסגרת תב"ר 1254.</v>
      </c>
      <c r="AB19" s="3">
        <f>'תקציב אגף שאיפה  2019'!AB20</f>
        <v>746000</v>
      </c>
      <c r="AC19" s="418"/>
      <c r="AD19" s="415"/>
      <c r="AE19" s="584"/>
      <c r="AF19" s="415"/>
      <c r="AG19" s="418"/>
      <c r="AH19" s="30"/>
      <c r="AI19" s="247"/>
      <c r="AJ19" s="30"/>
      <c r="AK19" s="30"/>
      <c r="AL19" s="30"/>
      <c r="AM19" s="30"/>
    </row>
    <row r="20" spans="1:39" s="5" customFormat="1" ht="42">
      <c r="A20" s="3">
        <f t="shared" si="2"/>
        <v>13</v>
      </c>
      <c r="B20" s="3">
        <v>1504</v>
      </c>
      <c r="C20" s="3" t="s">
        <v>124</v>
      </c>
      <c r="D20" s="4">
        <f>'תקציב אגף שאיפה  2019'!D21</f>
        <v>1700000</v>
      </c>
      <c r="E20" s="4">
        <f>'תקציב אגף שאיפה  2019'!E21</f>
        <v>1700000</v>
      </c>
      <c r="F20" s="4">
        <f>'תקציב אגף שאיפה  2019'!F21</f>
        <v>0</v>
      </c>
      <c r="G20" s="4">
        <f>'תקציב אגף שאיפה  2019'!G21</f>
        <v>1400000</v>
      </c>
      <c r="H20" s="4">
        <f>'תקציב אגף שאיפה  2019'!H21</f>
        <v>1352205</v>
      </c>
      <c r="I20" s="4">
        <f>'תקציב אגף שאיפה  2019'!I21</f>
        <v>0</v>
      </c>
      <c r="J20" s="4">
        <f>'תקציב אגף שאיפה  2019'!J21</f>
        <v>37919</v>
      </c>
      <c r="K20" s="4">
        <f>'תקציב אגף שאיפה  2019'!K21</f>
        <v>37919</v>
      </c>
      <c r="L20" s="4">
        <f>'תקציב אגף שאיפה  2019'!L21</f>
        <v>1390124</v>
      </c>
      <c r="M20" s="4">
        <f>'תקציב אגף שאיפה  2019'!M21</f>
        <v>9876</v>
      </c>
      <c r="N20" s="4">
        <f>'תקציב אגף שאיפה  2019'!N21</f>
        <v>100000</v>
      </c>
      <c r="O20" s="4">
        <f>'תקציב אגף שאיפה  2019'!O21</f>
        <v>200000</v>
      </c>
      <c r="P20" s="4">
        <f>'תקציב אגף שאיפה  2019'!P21</f>
        <v>9876</v>
      </c>
      <c r="Q20" s="4">
        <f>'תקציב אגף שאיפה  2019'!Q21</f>
        <v>0</v>
      </c>
      <c r="R20" s="4">
        <f>'תקציב אגף שאיפה  2019'!R21</f>
        <v>0</v>
      </c>
      <c r="S20" s="4">
        <f>'תקציב אגף שאיפה  2019'!S21</f>
        <v>0</v>
      </c>
      <c r="T20" s="4">
        <f>'תקציב אגף שאיפה  2019'!T21</f>
        <v>0</v>
      </c>
      <c r="U20" s="4">
        <f>'תקציב אגף שאיפה  2019'!U21</f>
        <v>100000</v>
      </c>
      <c r="V20" s="4">
        <f>'תקציב אגף שאיפה  2019'!V21</f>
        <v>100000</v>
      </c>
      <c r="W20" s="4">
        <f>'תקציב אגף שאיפה  2019'!W21</f>
        <v>0</v>
      </c>
      <c r="X20" s="4">
        <f>'תקציב אגף שאיפה  2019'!X21</f>
        <v>0</v>
      </c>
      <c r="Y20" s="4">
        <f>'תקציב אגף שאיפה  2019'!Y21</f>
        <v>0</v>
      </c>
      <c r="Z20" s="4">
        <f>'תקציב אגף שאיפה  2019'!Z21</f>
        <v>0</v>
      </c>
      <c r="AA20" s="124" t="str">
        <f>'תקציב אגף שאיפה  2019'!AA21</f>
        <v>נטיעת עצים ברחבי העיר לרבות פתיחת ריצוף קיים במדרכה,  והתקנת מגן סביב העץ במקרה הצורך.</v>
      </c>
      <c r="AB20" s="3">
        <f>'תקציב אגף שאיפה  2019'!AB21</f>
        <v>746000</v>
      </c>
      <c r="AC20" s="418"/>
      <c r="AD20" s="415"/>
      <c r="AE20" s="584"/>
      <c r="AF20" s="415"/>
      <c r="AG20" s="418"/>
      <c r="AH20" s="30"/>
      <c r="AI20" s="247"/>
      <c r="AJ20" s="30"/>
      <c r="AK20" s="30"/>
      <c r="AL20" s="30"/>
      <c r="AM20" s="30"/>
    </row>
    <row r="21" spans="1:39" s="5" customFormat="1">
      <c r="A21" s="3">
        <f t="shared" si="2"/>
        <v>14</v>
      </c>
      <c r="B21" s="3">
        <v>1629</v>
      </c>
      <c r="C21" s="3" t="s">
        <v>125</v>
      </c>
      <c r="D21" s="4">
        <f>'תקציב אגף שאיפה  2019'!D24</f>
        <v>450000</v>
      </c>
      <c r="E21" s="4">
        <f>'תקציב אגף שאיפה  2019'!E24</f>
        <v>1400000</v>
      </c>
      <c r="F21" s="4">
        <f>'תקציב אגף שאיפה  2019'!F24</f>
        <v>-950000</v>
      </c>
      <c r="G21" s="4">
        <f>'תקציב אגף שאיפה  2019'!G24</f>
        <v>450000</v>
      </c>
      <c r="H21" s="4">
        <f>'תקציב אגף שאיפה  2019'!H24</f>
        <v>349830.63</v>
      </c>
      <c r="I21" s="4">
        <f>'תקציב אגף שאיפה  2019'!I24</f>
        <v>0</v>
      </c>
      <c r="J21" s="4">
        <f>'תקציב אגף שאיפה  2019'!J24</f>
        <v>0</v>
      </c>
      <c r="K21" s="4">
        <f>'תקציב אגף שאיפה  2019'!K24</f>
        <v>0</v>
      </c>
      <c r="L21" s="4">
        <f>'תקציב אגף שאיפה  2019'!L24</f>
        <v>349830.63</v>
      </c>
      <c r="M21" s="4">
        <f>'תקציב אגף שאיפה  2019'!M24</f>
        <v>100169.37</v>
      </c>
      <c r="N21" s="4">
        <f>'תקציב אגף שאיפה  2019'!N24</f>
        <v>0</v>
      </c>
      <c r="O21" s="4">
        <f>'תקציב אגף שאיפה  2019'!O24</f>
        <v>0</v>
      </c>
      <c r="P21" s="4">
        <f>'תקציב אגף שאיפה  2019'!P24</f>
        <v>100169.37</v>
      </c>
      <c r="Q21" s="4">
        <f>'תקציב אגף שאיפה  2019'!Q24</f>
        <v>0</v>
      </c>
      <c r="R21" s="4">
        <f>'תקציב אגף שאיפה  2019'!R24</f>
        <v>0</v>
      </c>
      <c r="S21" s="4">
        <f>'תקציב אגף שאיפה  2019'!S24</f>
        <v>0</v>
      </c>
      <c r="T21" s="4">
        <f>'תקציב אגף שאיפה  2019'!T24</f>
        <v>0</v>
      </c>
      <c r="U21" s="4">
        <f>'תקציב אגף שאיפה  2019'!U24</f>
        <v>0</v>
      </c>
      <c r="V21" s="4">
        <f>'תקציב אגף שאיפה  2019'!V24</f>
        <v>0</v>
      </c>
      <c r="W21" s="4">
        <f>'תקציב אגף שאיפה  2019'!W24</f>
        <v>0</v>
      </c>
      <c r="X21" s="4">
        <f>'תקציב אגף שאיפה  2019'!X24</f>
        <v>0</v>
      </c>
      <c r="Y21" s="4">
        <f>'תקציב אגף שאיפה  2019'!Y24</f>
        <v>0</v>
      </c>
      <c r="Z21" s="4">
        <f>'תקציב אגף שאיפה  2019'!Z24</f>
        <v>0</v>
      </c>
      <c r="AA21" s="124">
        <f>'תקציב אגף שאיפה  2019'!AA24</f>
        <v>0</v>
      </c>
      <c r="AB21" s="3">
        <f>'תקציב אגף שאיפה  2019'!AB24</f>
        <v>746000</v>
      </c>
      <c r="AC21" s="418"/>
      <c r="AD21" s="415"/>
      <c r="AE21" s="584"/>
      <c r="AF21" s="415"/>
      <c r="AG21" s="418"/>
      <c r="AH21" s="30"/>
      <c r="AI21" s="247"/>
      <c r="AJ21" s="30"/>
      <c r="AK21" s="31"/>
      <c r="AL21" s="31"/>
      <c r="AM21" s="31"/>
    </row>
    <row r="22" spans="1:39" s="5" customFormat="1" ht="56">
      <c r="A22" s="3">
        <f t="shared" si="2"/>
        <v>15</v>
      </c>
      <c r="B22" s="3">
        <v>1680</v>
      </c>
      <c r="C22" s="3" t="s">
        <v>126</v>
      </c>
      <c r="D22" s="4">
        <f>'תקציב אגף שאיפה  2019'!D25</f>
        <v>950000</v>
      </c>
      <c r="E22" s="4">
        <f>'תקציב אגף שאיפה  2019'!E25</f>
        <v>950000</v>
      </c>
      <c r="F22" s="4">
        <f>'תקציב אגף שאיפה  2019'!F25</f>
        <v>0</v>
      </c>
      <c r="G22" s="4">
        <f>'תקציב אגף שאיפה  2019'!G25</f>
        <v>300000</v>
      </c>
      <c r="H22" s="4">
        <f>'תקציב אגף שאיפה  2019'!H25</f>
        <v>88803</v>
      </c>
      <c r="I22" s="4">
        <f>'תקציב אגף שאיפה  2019'!I25</f>
        <v>0</v>
      </c>
      <c r="J22" s="4">
        <f>'תקציב אגף שאיפה  2019'!J25</f>
        <v>49440</v>
      </c>
      <c r="K22" s="4">
        <f>'תקציב אגף שאיפה  2019'!K25</f>
        <v>49440</v>
      </c>
      <c r="L22" s="4">
        <f>'תקציב אגף שאיפה  2019'!L25</f>
        <v>138243</v>
      </c>
      <c r="M22" s="4">
        <f>'תקציב אגף שאיפה  2019'!M25</f>
        <v>161757</v>
      </c>
      <c r="N22" s="4">
        <f>'תקציב אגף שאיפה  2019'!N25</f>
        <v>200000</v>
      </c>
      <c r="O22" s="4">
        <f>'תקציב אגף שאיפה  2019'!O25</f>
        <v>450000</v>
      </c>
      <c r="P22" s="4">
        <f>'תקציב אגף שאיפה  2019'!P25</f>
        <v>161757</v>
      </c>
      <c r="Q22" s="4">
        <f>'תקציב אגף שאיפה  2019'!Q25</f>
        <v>0</v>
      </c>
      <c r="R22" s="4">
        <f>'תקציב אגף שאיפה  2019'!R25</f>
        <v>0</v>
      </c>
      <c r="S22" s="4">
        <f>'תקציב אגף שאיפה  2019'!S25</f>
        <v>0</v>
      </c>
      <c r="T22" s="4">
        <f>'תקציב אגף שאיפה  2019'!T25</f>
        <v>0</v>
      </c>
      <c r="U22" s="4">
        <f>'תקציב אגף שאיפה  2019'!U25</f>
        <v>200000</v>
      </c>
      <c r="V22" s="4">
        <f>'תקציב אגף שאיפה  2019'!V25</f>
        <v>0</v>
      </c>
      <c r="W22" s="4">
        <f>'תקציב אגף שאיפה  2019'!W25</f>
        <v>200000</v>
      </c>
      <c r="X22" s="4">
        <f>'תקציב אגף שאיפה  2019'!X25</f>
        <v>0</v>
      </c>
      <c r="Y22" s="4">
        <f>'תקציב אגף שאיפה  2019'!Y25</f>
        <v>0</v>
      </c>
      <c r="Z22" s="4">
        <f>'תקציב אגף שאיפה  2019'!Z25</f>
        <v>0</v>
      </c>
      <c r="AA22" s="124" t="str">
        <f>'תקציב אגף שאיפה  2019'!AA25</f>
        <v>ביצוע מיפוי וסקר עצים מסוכנים ברחבי העיר, בגינות ציבוריות,במוס"ח לטיפול ומניעת ארועים בטיחותיים, סימון וסקר ממוחשב.</v>
      </c>
      <c r="AB22" s="3">
        <f>'תקציב אגף שאיפה  2019'!AB25</f>
        <v>746000</v>
      </c>
      <c r="AC22" s="418"/>
      <c r="AD22" s="415"/>
      <c r="AE22" s="584"/>
      <c r="AF22" s="415"/>
      <c r="AG22" s="418"/>
      <c r="AH22" s="30"/>
      <c r="AI22" s="247"/>
      <c r="AJ22" s="30"/>
      <c r="AK22" s="31"/>
      <c r="AL22" s="31"/>
      <c r="AM22" s="31"/>
    </row>
    <row r="23" spans="1:39" s="5" customFormat="1">
      <c r="A23" s="3">
        <f t="shared" si="2"/>
        <v>16</v>
      </c>
      <c r="B23" s="3">
        <v>1971</v>
      </c>
      <c r="C23" s="3" t="s">
        <v>275</v>
      </c>
      <c r="D23" s="4">
        <f>'תקציב אגף שאיפה  2019'!D31</f>
        <v>500000</v>
      </c>
      <c r="E23" s="4">
        <f>'תקציב אגף שאיפה  2019'!E31</f>
        <v>2500000</v>
      </c>
      <c r="F23" s="4">
        <f>'תקציב אגף שאיפה  2019'!F31</f>
        <v>-2000000</v>
      </c>
      <c r="G23" s="4">
        <f>'תקציב אגף שאיפה  2019'!G31</f>
        <v>500000</v>
      </c>
      <c r="H23" s="4">
        <f>'תקציב אגף שאיפה  2019'!H31</f>
        <v>11700</v>
      </c>
      <c r="I23" s="4">
        <f>'תקציב אגף שאיפה  2019'!I31</f>
        <v>0</v>
      </c>
      <c r="J23" s="4">
        <f>'תקציב אגף שאיפה  2019'!J31</f>
        <v>175849.65</v>
      </c>
      <c r="K23" s="4">
        <f>'תקציב אגף שאיפה  2019'!K31</f>
        <v>175849.65</v>
      </c>
      <c r="L23" s="4">
        <f>'תקציב אגף שאיפה  2019'!L31</f>
        <v>187549.65</v>
      </c>
      <c r="M23" s="4">
        <f>'תקציב אגף שאיפה  2019'!M31</f>
        <v>312450.34999999998</v>
      </c>
      <c r="N23" s="4">
        <f>'תקציב אגף שאיפה  2019'!N31</f>
        <v>0</v>
      </c>
      <c r="O23" s="4">
        <f>'תקציב אגף שאיפה  2019'!O31</f>
        <v>0</v>
      </c>
      <c r="P23" s="4">
        <f>'תקציב אגף שאיפה  2019'!P31</f>
        <v>312450.34999999998</v>
      </c>
      <c r="Q23" s="4">
        <f>'תקציב אגף שאיפה  2019'!Q31</f>
        <v>0</v>
      </c>
      <c r="R23" s="4">
        <f>'תקציב אגף שאיפה  2019'!R31</f>
        <v>0</v>
      </c>
      <c r="S23" s="4">
        <f>'תקציב אגף שאיפה  2019'!S31</f>
        <v>0</v>
      </c>
      <c r="T23" s="4">
        <f>'תקציב אגף שאיפה  2019'!T31</f>
        <v>0</v>
      </c>
      <c r="U23" s="4">
        <f>'תקציב אגף שאיפה  2019'!U31</f>
        <v>0</v>
      </c>
      <c r="V23" s="4">
        <f>'תקציב אגף שאיפה  2019'!V31</f>
        <v>0</v>
      </c>
      <c r="W23" s="4">
        <f>'תקציב אגף שאיפה  2019'!W31</f>
        <v>0</v>
      </c>
      <c r="X23" s="4">
        <f>'תקציב אגף שאיפה  2019'!X31</f>
        <v>0</v>
      </c>
      <c r="Y23" s="4">
        <f>'תקציב אגף שאיפה  2019'!Y31</f>
        <v>0</v>
      </c>
      <c r="Z23" s="4">
        <f>'תקציב אגף שאיפה  2019'!Z31</f>
        <v>0</v>
      </c>
      <c r="AA23" s="124">
        <f>'תקציב אגף שאיפה  2019'!AA31</f>
        <v>0</v>
      </c>
      <c r="AB23" s="3">
        <f>'תקציב אגף שאיפה  2019'!AB31</f>
        <v>746000</v>
      </c>
      <c r="AC23" s="418"/>
      <c r="AD23" s="415"/>
      <c r="AE23" s="584"/>
      <c r="AF23" s="415"/>
      <c r="AG23" s="418"/>
      <c r="AH23" s="30"/>
      <c r="AI23" s="247"/>
      <c r="AJ23" s="30"/>
      <c r="AK23" s="31"/>
      <c r="AL23" s="31"/>
      <c r="AM23" s="31"/>
    </row>
    <row r="24" spans="1:39" s="5" customFormat="1">
      <c r="A24" s="3">
        <f t="shared" si="2"/>
        <v>17</v>
      </c>
      <c r="B24" s="3">
        <v>1974</v>
      </c>
      <c r="C24" s="3" t="s">
        <v>799</v>
      </c>
      <c r="D24" s="4">
        <f>'תקציב אגף שאיפה  2019'!D33</f>
        <v>60000</v>
      </c>
      <c r="E24" s="4">
        <f>'תקציב אגף שאיפה  2019'!E33</f>
        <v>500000</v>
      </c>
      <c r="F24" s="4">
        <f>'תקציב אגף שאיפה  2019'!F33</f>
        <v>-440000</v>
      </c>
      <c r="G24" s="4">
        <f>'תקציב אגף שאיפה  2019'!G33</f>
        <v>100000</v>
      </c>
      <c r="H24" s="4">
        <f>'תקציב אגף שאיפה  2019'!H33</f>
        <v>45565.72</v>
      </c>
      <c r="I24" s="4">
        <f>'תקציב אגף שאיפה  2019'!I33</f>
        <v>0</v>
      </c>
      <c r="J24" s="4">
        <f>'תקציב אגף שאיפה  2019'!J33</f>
        <v>9977.16</v>
      </c>
      <c r="K24" s="4">
        <f>'תקציב אגף שאיפה  2019'!K33</f>
        <v>9977.16</v>
      </c>
      <c r="L24" s="4">
        <f>'תקציב אגף שאיפה  2019'!L33</f>
        <v>55542.880000000005</v>
      </c>
      <c r="M24" s="4">
        <f>'תקציב אגף שאיפה  2019'!M33</f>
        <v>4457.1199999999953</v>
      </c>
      <c r="N24" s="4">
        <f>'תקציב אגף שאיפה  2019'!N33</f>
        <v>0</v>
      </c>
      <c r="O24" s="4">
        <f>'תקציב אגף שאיפה  2019'!O33</f>
        <v>0</v>
      </c>
      <c r="P24" s="4">
        <f>'תקציב אגף שאיפה  2019'!P33</f>
        <v>44457.119999999995</v>
      </c>
      <c r="Q24" s="4">
        <f>'תקציב אגף שאיפה  2019'!Q33</f>
        <v>0</v>
      </c>
      <c r="R24" s="4">
        <f>'תקציב אגף שאיפה  2019'!R33</f>
        <v>0</v>
      </c>
      <c r="S24" s="4">
        <f>'תקציב אגף שאיפה  2019'!S33</f>
        <v>0</v>
      </c>
      <c r="T24" s="4">
        <f>'תקציב אגף שאיפה  2019'!T33</f>
        <v>40000</v>
      </c>
      <c r="U24" s="4">
        <f>'תקציב אגף שאיפה  2019'!U33</f>
        <v>-40000</v>
      </c>
      <c r="V24" s="4">
        <f>'תקציב אגף שאיפה  2019'!V33</f>
        <v>0</v>
      </c>
      <c r="W24" s="4">
        <f>'תקציב אגף שאיפה  2019'!W33</f>
        <v>-40000</v>
      </c>
      <c r="X24" s="4">
        <f>'תקציב אגף שאיפה  2019'!X33</f>
        <v>0</v>
      </c>
      <c r="Y24" s="4">
        <f>'תקציב אגף שאיפה  2019'!Y33</f>
        <v>0</v>
      </c>
      <c r="Z24" s="4">
        <f>'תקציב אגף שאיפה  2019'!Z33</f>
        <v>0</v>
      </c>
      <c r="AA24" s="124">
        <f>'תקציב אגף שאיפה  2019'!AA33</f>
        <v>0</v>
      </c>
      <c r="AB24" s="3">
        <f>'תקציב אגף שאיפה  2019'!AB33</f>
        <v>746000</v>
      </c>
      <c r="AC24" s="418"/>
      <c r="AD24" s="415"/>
      <c r="AE24" s="584"/>
      <c r="AF24" s="415"/>
      <c r="AG24" s="418"/>
      <c r="AH24" s="30"/>
      <c r="AI24" s="247"/>
      <c r="AJ24" s="30"/>
      <c r="AK24" s="31"/>
      <c r="AL24" s="31"/>
      <c r="AM24" s="31"/>
    </row>
    <row r="25" spans="1:39" s="5" customFormat="1" ht="28">
      <c r="A25" s="3">
        <f t="shared" si="2"/>
        <v>18</v>
      </c>
      <c r="B25" s="3">
        <v>1989</v>
      </c>
      <c r="C25" s="3" t="s">
        <v>800</v>
      </c>
      <c r="D25" s="4">
        <f>'תקציב אגף שאיפה  2019'!D34</f>
        <v>860000</v>
      </c>
      <c r="E25" s="4">
        <f>'תקציב אגף שאיפה  2019'!E34</f>
        <v>860000</v>
      </c>
      <c r="F25" s="4">
        <f>'תקציב אגף שאיפה  2019'!F34</f>
        <v>0</v>
      </c>
      <c r="G25" s="4">
        <f>'תקציב אגף שאיפה  2019'!G34</f>
        <v>505000</v>
      </c>
      <c r="H25" s="4">
        <f>'תקציב אגף שאיפה  2019'!H34</f>
        <v>0</v>
      </c>
      <c r="I25" s="4">
        <f>'תקציב אגף שאיפה  2019'!I34</f>
        <v>0</v>
      </c>
      <c r="J25" s="4">
        <f>'תקציב אגף שאיפה  2019'!J34</f>
        <v>501538.51</v>
      </c>
      <c r="K25" s="4">
        <f>'תקציב אגף שאיפה  2019'!K34</f>
        <v>501538.51</v>
      </c>
      <c r="L25" s="4">
        <f>'תקציב אגף שאיפה  2019'!L34</f>
        <v>501538.51</v>
      </c>
      <c r="M25" s="4">
        <f>'תקציב אגף שאיפה  2019'!M34</f>
        <v>3461.4899999999907</v>
      </c>
      <c r="N25" s="4">
        <f>'תקציב אגף שאיפה  2019'!N34</f>
        <v>355000</v>
      </c>
      <c r="O25" s="4">
        <f>'תקציב אגף שאיפה  2019'!O34</f>
        <v>0</v>
      </c>
      <c r="P25" s="4">
        <f>'תקציב אגף שאיפה  2019'!P34</f>
        <v>3461.4899999999907</v>
      </c>
      <c r="Q25" s="4">
        <f>'תקציב אגף שאיפה  2019'!Q34</f>
        <v>0</v>
      </c>
      <c r="R25" s="4">
        <f>'תקציב אגף שאיפה  2019'!R34</f>
        <v>0</v>
      </c>
      <c r="S25" s="4">
        <f>'תקציב אגף שאיפה  2019'!S34</f>
        <v>0</v>
      </c>
      <c r="T25" s="4">
        <f>'תקציב אגף שאיפה  2019'!T34</f>
        <v>0</v>
      </c>
      <c r="U25" s="4">
        <f>'תקציב אגף שאיפה  2019'!U34</f>
        <v>355000</v>
      </c>
      <c r="V25" s="4">
        <f>'תקציב אגף שאיפה  2019'!V34</f>
        <v>355000</v>
      </c>
      <c r="W25" s="4">
        <f>'תקציב אגף שאיפה  2019'!W34</f>
        <v>0</v>
      </c>
      <c r="X25" s="4">
        <f>'תקציב אגף שאיפה  2019'!X34</f>
        <v>0</v>
      </c>
      <c r="Y25" s="4">
        <f>'תקציב אגף שאיפה  2019'!Y34</f>
        <v>0</v>
      </c>
      <c r="Z25" s="4">
        <f>'תקציב אגף שאיפה  2019'!Z34</f>
        <v>0</v>
      </c>
      <c r="AA25" s="124" t="str">
        <f>'תקציב אגף שאיפה  2019'!AA34</f>
        <v>עבודות פיתוח מעבר לקיר האקוסטי כולל גינון קבוע בתוואי שלא ישתנה.</v>
      </c>
      <c r="AB25" s="3">
        <f>'תקציב אגף שאיפה  2019'!AB34</f>
        <v>746000</v>
      </c>
      <c r="AC25" s="418"/>
      <c r="AD25" s="415"/>
      <c r="AE25" s="584"/>
      <c r="AF25" s="415"/>
      <c r="AG25" s="418"/>
      <c r="AH25" s="30"/>
      <c r="AI25" s="247"/>
      <c r="AJ25" s="30"/>
      <c r="AK25" s="31"/>
      <c r="AL25" s="31"/>
      <c r="AM25" s="31"/>
    </row>
    <row r="26" spans="1:39" s="5" customFormat="1">
      <c r="A26" s="3">
        <f t="shared" si="2"/>
        <v>19</v>
      </c>
      <c r="B26" s="3">
        <v>2035</v>
      </c>
      <c r="C26" s="3" t="s">
        <v>363</v>
      </c>
      <c r="D26" s="4">
        <f>'תקציב אגף שאיפה  2019'!D36</f>
        <v>953000</v>
      </c>
      <c r="E26" s="4">
        <f>'תקציב אגף שאיפה  2019'!E36</f>
        <v>953000</v>
      </c>
      <c r="F26" s="4">
        <f>'תקציב אגף שאיפה  2019'!F36</f>
        <v>0</v>
      </c>
      <c r="G26" s="4">
        <f>'תקציב אגף שאיפה  2019'!G36</f>
        <v>953000</v>
      </c>
      <c r="H26" s="4">
        <f>'תקציב אגף שאיפה  2019'!H36</f>
        <v>0</v>
      </c>
      <c r="I26" s="4">
        <f>'תקציב אגף שאיפה  2019'!I36</f>
        <v>0</v>
      </c>
      <c r="J26" s="4">
        <f>'תקציב אגף שאיפה  2019'!J36</f>
        <v>647934.81000000006</v>
      </c>
      <c r="K26" s="4">
        <f>'תקציב אגף שאיפה  2019'!K36</f>
        <v>647934.81000000006</v>
      </c>
      <c r="L26" s="4">
        <f>'תקציב אגף שאיפה  2019'!L36</f>
        <v>647934.81000000006</v>
      </c>
      <c r="M26" s="4">
        <f>'תקציב אגף שאיפה  2019'!M36</f>
        <v>305065.18999999994</v>
      </c>
      <c r="N26" s="4">
        <f>'תקציב אגף שאיפה  2019'!N36</f>
        <v>0</v>
      </c>
      <c r="O26" s="4">
        <f>'תקציב אגף שאיפה  2019'!O36</f>
        <v>0</v>
      </c>
      <c r="P26" s="4">
        <f>'תקציב אגף שאיפה  2019'!P36</f>
        <v>305065.18999999994</v>
      </c>
      <c r="Q26" s="4">
        <f>'תקציב אגף שאיפה  2019'!Q36</f>
        <v>0</v>
      </c>
      <c r="R26" s="4">
        <f>'תקציב אגף שאיפה  2019'!R36</f>
        <v>0</v>
      </c>
      <c r="S26" s="4">
        <f>'תקציב אגף שאיפה  2019'!S36</f>
        <v>0</v>
      </c>
      <c r="T26" s="4">
        <f>'תקציב אגף שאיפה  2019'!T36</f>
        <v>0</v>
      </c>
      <c r="U26" s="4">
        <f>'תקציב אגף שאיפה  2019'!U36</f>
        <v>0</v>
      </c>
      <c r="V26" s="4">
        <f>'תקציב אגף שאיפה  2019'!V36</f>
        <v>0</v>
      </c>
      <c r="W26" s="4">
        <f>'תקציב אגף שאיפה  2019'!W36</f>
        <v>0</v>
      </c>
      <c r="X26" s="4">
        <f>'תקציב אגף שאיפה  2019'!X36</f>
        <v>0</v>
      </c>
      <c r="Y26" s="4">
        <f>'תקציב אגף שאיפה  2019'!Y36</f>
        <v>0</v>
      </c>
      <c r="Z26" s="4">
        <f>'תקציב אגף שאיפה  2019'!Z36</f>
        <v>0</v>
      </c>
      <c r="AA26" s="124">
        <f>'תקציב אגף שאיפה  2019'!AA36</f>
        <v>0</v>
      </c>
      <c r="AB26" s="3">
        <f>'תקציב אגף שאיפה  2019'!AB36</f>
        <v>746000</v>
      </c>
      <c r="AC26" s="418"/>
      <c r="AD26" s="415"/>
      <c r="AE26" s="584"/>
      <c r="AF26" s="415"/>
      <c r="AG26" s="418"/>
      <c r="AH26" s="30"/>
      <c r="AI26" s="247"/>
      <c r="AJ26" s="30"/>
      <c r="AK26" s="30"/>
      <c r="AL26" s="30"/>
      <c r="AM26" s="30"/>
    </row>
    <row r="27" spans="1:39" s="5" customFormat="1" ht="42">
      <c r="A27" s="3">
        <f t="shared" si="2"/>
        <v>20</v>
      </c>
      <c r="B27" s="3">
        <v>2042</v>
      </c>
      <c r="C27" s="3" t="s">
        <v>808</v>
      </c>
      <c r="D27" s="4">
        <f>'תקציב אגף שאיפה  2019'!D43</f>
        <v>740000</v>
      </c>
      <c r="E27" s="4">
        <f>'תקציב אגף שאיפה  2019'!E43</f>
        <v>740000</v>
      </c>
      <c r="F27" s="4">
        <f>'תקציב אגף שאיפה  2019'!F43</f>
        <v>0</v>
      </c>
      <c r="G27" s="4">
        <f>'תקציב אגף שאיפה  2019'!G43</f>
        <v>250000</v>
      </c>
      <c r="H27" s="4">
        <f>'תקציב אגף שאיפה  2019'!H43</f>
        <v>181745</v>
      </c>
      <c r="I27" s="4">
        <f>'תקציב אגף שאיפה  2019'!I43</f>
        <v>0</v>
      </c>
      <c r="J27" s="4">
        <f>'תקציב אגף שאיפה  2019'!J43</f>
        <v>0</v>
      </c>
      <c r="K27" s="4">
        <f>'תקציב אגף שאיפה  2019'!K43</f>
        <v>0</v>
      </c>
      <c r="L27" s="4">
        <f>'תקציב אגף שאיפה  2019'!L43</f>
        <v>181745</v>
      </c>
      <c r="M27" s="4">
        <f>'תקציב אגף שאיפה  2019'!M43</f>
        <v>68255</v>
      </c>
      <c r="N27" s="4">
        <f>'תקציב אגף שאיפה  2019'!N43</f>
        <v>490000</v>
      </c>
      <c r="O27" s="4">
        <f>'תקציב אגף שאיפה  2019'!O43</f>
        <v>0</v>
      </c>
      <c r="P27" s="4">
        <f>'תקציב אגף שאיפה  2019'!P43</f>
        <v>68255</v>
      </c>
      <c r="Q27" s="4">
        <f>'תקציב אגף שאיפה  2019'!Q43</f>
        <v>0</v>
      </c>
      <c r="R27" s="4">
        <f>'תקציב אגף שאיפה  2019'!R43</f>
        <v>0</v>
      </c>
      <c r="S27" s="4">
        <f>'תקציב אגף שאיפה  2019'!S43</f>
        <v>0</v>
      </c>
      <c r="T27" s="4">
        <f>'תקציב אגף שאיפה  2019'!T43</f>
        <v>0</v>
      </c>
      <c r="U27" s="4">
        <f>'תקציב אגף שאיפה  2019'!U43</f>
        <v>490000</v>
      </c>
      <c r="V27" s="4">
        <f>'תקציב אגף שאיפה  2019'!V43</f>
        <v>490000</v>
      </c>
      <c r="W27" s="4">
        <f>'תקציב אגף שאיפה  2019'!W43</f>
        <v>0</v>
      </c>
      <c r="X27" s="4">
        <f>'תקציב אגף שאיפה  2019'!X43</f>
        <v>0</v>
      </c>
      <c r="Y27" s="4">
        <f>'תקציב אגף שאיפה  2019'!Y43</f>
        <v>0</v>
      </c>
      <c r="Z27" s="4">
        <f>'תקציב אגף שאיפה  2019'!Z43</f>
        <v>0</v>
      </c>
      <c r="AA27" s="124" t="str">
        <f>'תקציב אגף שאיפה  2019'!AA43</f>
        <v>ביצוע שצ"פ רחוב המסילה כולל גידור, הסדרת המרכז המסחרי אל-על נורדאו, עבודות גינון נוספות.</v>
      </c>
      <c r="AB27" s="3">
        <f>'תקציב אגף שאיפה  2019'!AB43</f>
        <v>746000</v>
      </c>
      <c r="AC27" s="418"/>
      <c r="AD27" s="415"/>
      <c r="AE27" s="584"/>
      <c r="AF27" s="415"/>
      <c r="AG27" s="418"/>
      <c r="AH27" s="30"/>
      <c r="AI27" s="247"/>
      <c r="AJ27" s="30"/>
      <c r="AK27" s="31"/>
      <c r="AL27" s="31"/>
      <c r="AM27" s="31"/>
    </row>
    <row r="28" spans="1:39" s="5" customFormat="1" ht="42">
      <c r="A28" s="3">
        <f t="shared" si="2"/>
        <v>21</v>
      </c>
      <c r="B28" s="3">
        <v>2051</v>
      </c>
      <c r="C28" s="3" t="s">
        <v>810</v>
      </c>
      <c r="D28" s="4">
        <f>'תקציב אגף שאיפה  2019'!D44</f>
        <v>2600000</v>
      </c>
      <c r="E28" s="4">
        <f>'תקציב אגף שאיפה  2019'!E44</f>
        <v>2600000</v>
      </c>
      <c r="F28" s="4">
        <f>'תקציב אגף שאיפה  2019'!F44</f>
        <v>0</v>
      </c>
      <c r="G28" s="4">
        <f>'תקציב אגף שאיפה  2019'!G44</f>
        <v>100000</v>
      </c>
      <c r="H28" s="4">
        <f>'תקציב אגף שאיפה  2019'!H44</f>
        <v>0</v>
      </c>
      <c r="I28" s="4">
        <f>'תקציב אגף שאיפה  2019'!I44</f>
        <v>0</v>
      </c>
      <c r="J28" s="4">
        <f>'תקציב אגף שאיפה  2019'!J44</f>
        <v>80352</v>
      </c>
      <c r="K28" s="4">
        <f>'תקציב אגף שאיפה  2019'!K44</f>
        <v>80352</v>
      </c>
      <c r="L28" s="4">
        <f>'תקציב אגף שאיפה  2019'!L44</f>
        <v>80352</v>
      </c>
      <c r="M28" s="4">
        <f>'תקציב אגף שאיפה  2019'!M44</f>
        <v>319648</v>
      </c>
      <c r="N28" s="4">
        <f>'תקציב אגף שאיפה  2019'!N44</f>
        <v>350000</v>
      </c>
      <c r="O28" s="4">
        <f>'תקציב אגף שאיפה  2019'!O44</f>
        <v>1850000</v>
      </c>
      <c r="P28" s="4">
        <f>'תקציב אגף שאיפה  2019'!P44</f>
        <v>19648</v>
      </c>
      <c r="Q28" s="4">
        <f>'תקציב אגף שאיפה  2019'!Q44</f>
        <v>300000</v>
      </c>
      <c r="R28" s="4">
        <f>'תקציב אגף שאיפה  2019'!R44</f>
        <v>0</v>
      </c>
      <c r="S28" s="4">
        <f>'תקציב אגף שאיפה  2019'!S44</f>
        <v>300000</v>
      </c>
      <c r="T28" s="4">
        <f>'תקציב אגף שאיפה  2019'!T44</f>
        <v>0</v>
      </c>
      <c r="U28" s="4">
        <f>'תקציב אגף שאיפה  2019'!U44</f>
        <v>350000</v>
      </c>
      <c r="V28" s="4">
        <f>'תקציב אגף שאיפה  2019'!V44</f>
        <v>350000</v>
      </c>
      <c r="W28" s="4">
        <f>'תקציב אגף שאיפה  2019'!W44</f>
        <v>0</v>
      </c>
      <c r="X28" s="4">
        <f>'תקציב אגף שאיפה  2019'!X44</f>
        <v>0</v>
      </c>
      <c r="Y28" s="4">
        <f>'תקציב אגף שאיפה  2019'!Y44</f>
        <v>0</v>
      </c>
      <c r="Z28" s="4">
        <f>'תקציב אגף שאיפה  2019'!Z44</f>
        <v>0</v>
      </c>
      <c r="AA28" s="124" t="str">
        <f>'תקציב אגף שאיפה  2019'!AA44</f>
        <v>שדרוג החורשה כולל: שבילים, בונקרים, הקמת תשתיות פנאי ונופש (ספסלים, ברזיות) ועוד.</v>
      </c>
      <c r="AB28" s="3">
        <f>'תקציב אגף שאיפה  2019'!AB44</f>
        <v>746000</v>
      </c>
      <c r="AC28" s="418"/>
      <c r="AD28" s="415"/>
      <c r="AE28" s="584"/>
      <c r="AF28" s="415"/>
      <c r="AG28" s="20"/>
      <c r="AH28" s="20"/>
      <c r="AI28" s="30"/>
      <c r="AJ28" s="31"/>
      <c r="AK28" s="31"/>
      <c r="AL28" s="31"/>
      <c r="AM28" s="31"/>
    </row>
    <row r="29" spans="1:39" s="5" customFormat="1" ht="56">
      <c r="A29" s="3">
        <f t="shared" si="2"/>
        <v>22</v>
      </c>
      <c r="B29" s="42">
        <v>2087</v>
      </c>
      <c r="C29" s="3" t="s">
        <v>814</v>
      </c>
      <c r="D29" s="4">
        <f>'תקציב אגף שאיפה  2019'!D47</f>
        <v>1200000</v>
      </c>
      <c r="E29" s="4">
        <f>'תקציב אגף שאיפה  2019'!E47</f>
        <v>0</v>
      </c>
      <c r="F29" s="4">
        <f>'תקציב אגף שאיפה  2019'!F47</f>
        <v>1200000</v>
      </c>
      <c r="G29" s="4">
        <f>'תקציב אגף שאיפה  2019'!G47</f>
        <v>0</v>
      </c>
      <c r="H29" s="4">
        <f>'תקציב אגף שאיפה  2019'!H47</f>
        <v>0</v>
      </c>
      <c r="I29" s="4">
        <f>'תקציב אגף שאיפה  2019'!I47</f>
        <v>0</v>
      </c>
      <c r="J29" s="4">
        <f>'תקציב אגף שאיפה  2019'!J47</f>
        <v>0</v>
      </c>
      <c r="K29" s="4">
        <f>'תקציב אגף שאיפה  2019'!K47</f>
        <v>0</v>
      </c>
      <c r="L29" s="4">
        <f>'תקציב אגף שאיפה  2019'!L47</f>
        <v>0</v>
      </c>
      <c r="M29" s="4">
        <f>'תקציב אגף שאיפה  2019'!M47</f>
        <v>0</v>
      </c>
      <c r="N29" s="4">
        <f>'תקציב אגף שאיפה  2019'!N47</f>
        <v>1200000</v>
      </c>
      <c r="O29" s="4">
        <f>'תקציב אגף שאיפה  2019'!O47</f>
        <v>0</v>
      </c>
      <c r="P29" s="4">
        <f>'תקציב אגף שאיפה  2019'!P47</f>
        <v>0</v>
      </c>
      <c r="Q29" s="4">
        <f>'תקציב אגף שאיפה  2019'!Q47</f>
        <v>0</v>
      </c>
      <c r="R29" s="4">
        <f>'תקציב אגף שאיפה  2019'!R47</f>
        <v>0</v>
      </c>
      <c r="S29" s="4">
        <f>'תקציב אגף שאיפה  2019'!S47</f>
        <v>0</v>
      </c>
      <c r="T29" s="4">
        <f>'תקציב אגף שאיפה  2019'!T47</f>
        <v>0</v>
      </c>
      <c r="U29" s="4">
        <f>'תקציב אגף שאיפה  2019'!U47</f>
        <v>1200000</v>
      </c>
      <c r="V29" s="4">
        <f>'תקציב אגף שאיפה  2019'!V47</f>
        <v>1200000</v>
      </c>
      <c r="W29" s="4">
        <f>'תקציב אגף שאיפה  2019'!W47</f>
        <v>0</v>
      </c>
      <c r="X29" s="4">
        <f>'תקציב אגף שאיפה  2019'!X47</f>
        <v>0</v>
      </c>
      <c r="Y29" s="4">
        <f>'תקציב אגף שאיפה  2019'!Y47</f>
        <v>0</v>
      </c>
      <c r="Z29" s="4">
        <f>'תקציב אגף שאיפה  2019'!Z47</f>
        <v>0</v>
      </c>
      <c r="AA29" s="124" t="str">
        <f>'תקציב אגף שאיפה  2019'!AA47</f>
        <v>הסדרת השטח לאורך רח' ארלוזרוב קטע: בית"ר-דרך ירושלים. ייצוב פני הקרקע למניעת סחף והסדרת שיפועים וניקוזים, הסדרת המדרכה וגינון והשקייה.</v>
      </c>
      <c r="AB29" s="3">
        <f>'תקציב אגף שאיפה  2019'!AB47</f>
        <v>746000</v>
      </c>
      <c r="AC29" s="418"/>
      <c r="AD29" s="415"/>
      <c r="AE29" s="415"/>
      <c r="AF29" s="415"/>
      <c r="AG29" s="418"/>
      <c r="AH29" s="30"/>
      <c r="AI29" s="247"/>
      <c r="AJ29" s="30"/>
      <c r="AK29" s="31"/>
      <c r="AL29" s="31"/>
      <c r="AM29" s="31"/>
    </row>
    <row r="30" spans="1:39" s="5" customFormat="1" ht="42">
      <c r="A30" s="3">
        <f t="shared" si="2"/>
        <v>23</v>
      </c>
      <c r="B30" s="42">
        <v>2088</v>
      </c>
      <c r="C30" s="3" t="s">
        <v>815</v>
      </c>
      <c r="D30" s="4">
        <f>'תקציב אגף שאיפה  2019'!D48</f>
        <v>1200000</v>
      </c>
      <c r="E30" s="4">
        <f>'תקציב אגף שאיפה  2019'!E48</f>
        <v>0</v>
      </c>
      <c r="F30" s="4">
        <f>'תקציב אגף שאיפה  2019'!F48</f>
        <v>1200000</v>
      </c>
      <c r="G30" s="4">
        <f>'תקציב אגף שאיפה  2019'!G48</f>
        <v>0</v>
      </c>
      <c r="H30" s="4">
        <f>'תקציב אגף שאיפה  2019'!H48</f>
        <v>0</v>
      </c>
      <c r="I30" s="4">
        <f>'תקציב אגף שאיפה  2019'!I48</f>
        <v>0</v>
      </c>
      <c r="J30" s="4">
        <f>'תקציב אגף שאיפה  2019'!J48</f>
        <v>0</v>
      </c>
      <c r="K30" s="4">
        <f>'תקציב אגף שאיפה  2019'!K48</f>
        <v>0</v>
      </c>
      <c r="L30" s="4">
        <f>'תקציב אגף שאיפה  2019'!L48</f>
        <v>0</v>
      </c>
      <c r="M30" s="4">
        <f>'תקציב אגף שאיפה  2019'!M48</f>
        <v>0</v>
      </c>
      <c r="N30" s="4">
        <f>'תקציב אגף שאיפה  2019'!N48</f>
        <v>1200000</v>
      </c>
      <c r="O30" s="4">
        <f>'תקציב אגף שאיפה  2019'!O48</f>
        <v>0</v>
      </c>
      <c r="P30" s="4">
        <f>'תקציב אגף שאיפה  2019'!P48</f>
        <v>0</v>
      </c>
      <c r="Q30" s="4">
        <f>'תקציב אגף שאיפה  2019'!Q48</f>
        <v>0</v>
      </c>
      <c r="R30" s="4">
        <f>'תקציב אגף שאיפה  2019'!R48</f>
        <v>0</v>
      </c>
      <c r="S30" s="4">
        <f>'תקציב אגף שאיפה  2019'!S48</f>
        <v>0</v>
      </c>
      <c r="T30" s="4">
        <f>'תקציב אגף שאיפה  2019'!T48</f>
        <v>0</v>
      </c>
      <c r="U30" s="4">
        <f>'תקציב אגף שאיפה  2019'!U48</f>
        <v>1200000</v>
      </c>
      <c r="V30" s="4">
        <f>'תקציב אגף שאיפה  2019'!V48</f>
        <v>1200000</v>
      </c>
      <c r="W30" s="4">
        <f>'תקציב אגף שאיפה  2019'!W48</f>
        <v>0</v>
      </c>
      <c r="X30" s="4">
        <f>'תקציב אגף שאיפה  2019'!X48</f>
        <v>0</v>
      </c>
      <c r="Y30" s="4">
        <f>'תקציב אגף שאיפה  2019'!Y48</f>
        <v>0</v>
      </c>
      <c r="Z30" s="4">
        <f>'תקציב אגף שאיפה  2019'!Z48</f>
        <v>0</v>
      </c>
      <c r="AA30" s="124" t="str">
        <f>'תקציב אגף שאיפה  2019'!AA48</f>
        <v>הסדרת הגן המרכזי בשכונת גן רש"ל כולל: מתקני משחק, משטח גומי, עבודות גינון, השקייה, פיתוח והנגשה.</v>
      </c>
      <c r="AB30" s="3">
        <f>'תקציב אגף שאיפה  2019'!AB48</f>
        <v>746000</v>
      </c>
      <c r="AC30" s="418"/>
      <c r="AD30" s="415"/>
      <c r="AE30" s="415"/>
      <c r="AF30" s="415"/>
      <c r="AG30" s="418"/>
      <c r="AH30" s="30"/>
      <c r="AI30" s="247"/>
      <c r="AJ30" s="30"/>
      <c r="AK30" s="31"/>
      <c r="AL30" s="31"/>
      <c r="AM30" s="31"/>
    </row>
    <row r="31" spans="1:39" s="101" customFormat="1">
      <c r="A31" s="44"/>
      <c r="B31" s="44"/>
      <c r="C31" s="44" t="s">
        <v>1202</v>
      </c>
      <c r="D31" s="125">
        <f>SUM(D10:D30)</f>
        <v>95408000</v>
      </c>
      <c r="E31" s="125">
        <f t="shared" ref="E31:Z31" si="3">SUM(E10:E30)</f>
        <v>107988000</v>
      </c>
      <c r="F31" s="125">
        <f t="shared" si="3"/>
        <v>-12580000</v>
      </c>
      <c r="G31" s="125">
        <f t="shared" si="3"/>
        <v>78020200</v>
      </c>
      <c r="H31" s="125">
        <f t="shared" si="3"/>
        <v>67109085.450000003</v>
      </c>
      <c r="I31" s="125">
        <f t="shared" si="3"/>
        <v>0</v>
      </c>
      <c r="J31" s="125">
        <f t="shared" si="3"/>
        <v>7470980.4600000009</v>
      </c>
      <c r="K31" s="125">
        <f t="shared" si="3"/>
        <v>7470980.4600000009</v>
      </c>
      <c r="L31" s="125">
        <f t="shared" si="3"/>
        <v>74580065.909999996</v>
      </c>
      <c r="M31" s="125">
        <f t="shared" si="3"/>
        <v>3977934.0900000003</v>
      </c>
      <c r="N31" s="125">
        <f t="shared" si="3"/>
        <v>11595000</v>
      </c>
      <c r="O31" s="125">
        <f t="shared" si="3"/>
        <v>5255000</v>
      </c>
      <c r="P31" s="125">
        <f t="shared" si="3"/>
        <v>3440134.0900000003</v>
      </c>
      <c r="Q31" s="125">
        <f t="shared" si="3"/>
        <v>550000</v>
      </c>
      <c r="R31" s="125">
        <f t="shared" si="3"/>
        <v>27800</v>
      </c>
      <c r="S31" s="125">
        <f t="shared" si="3"/>
        <v>577800</v>
      </c>
      <c r="T31" s="125">
        <f t="shared" si="3"/>
        <v>40000</v>
      </c>
      <c r="U31" s="125">
        <f t="shared" si="3"/>
        <v>11555000</v>
      </c>
      <c r="V31" s="125">
        <f t="shared" si="3"/>
        <v>8195000</v>
      </c>
      <c r="W31" s="125">
        <f t="shared" si="3"/>
        <v>3360000</v>
      </c>
      <c r="X31" s="125">
        <f t="shared" si="3"/>
        <v>0</v>
      </c>
      <c r="Y31" s="125">
        <f t="shared" si="3"/>
        <v>0</v>
      </c>
      <c r="Z31" s="125">
        <f t="shared" si="3"/>
        <v>0</v>
      </c>
      <c r="AA31" s="620"/>
      <c r="AB31" s="44"/>
      <c r="AC31" s="639"/>
      <c r="AD31" s="640"/>
      <c r="AE31" s="640"/>
      <c r="AF31" s="640"/>
      <c r="AG31" s="639"/>
      <c r="AH31" s="390"/>
      <c r="AI31" s="642"/>
      <c r="AJ31" s="390"/>
      <c r="AK31" s="391"/>
      <c r="AL31" s="391"/>
      <c r="AM31" s="391"/>
    </row>
    <row r="32" spans="1:39" s="5" customFormat="1">
      <c r="A32" s="3">
        <f>A30+1</f>
        <v>24</v>
      </c>
      <c r="B32" s="3">
        <v>135</v>
      </c>
      <c r="C32" s="3" t="s">
        <v>100</v>
      </c>
      <c r="D32" s="4">
        <f>'תקציב אגף שאיפה  2019'!D7</f>
        <v>1233000</v>
      </c>
      <c r="E32" s="4">
        <f>'תקציב אגף שאיפה  2019'!E7</f>
        <v>4582000</v>
      </c>
      <c r="F32" s="4">
        <f>'תקציב אגף שאיפה  2019'!F7</f>
        <v>-3349000</v>
      </c>
      <c r="G32" s="4">
        <f>'תקציב אגף שאיפה  2019'!G7</f>
        <v>1233000</v>
      </c>
      <c r="H32" s="4">
        <f>'תקציב אגף שאיפה  2019'!H7</f>
        <v>1142424</v>
      </c>
      <c r="I32" s="4">
        <f>'תקציב אגף שאיפה  2019'!I7</f>
        <v>0</v>
      </c>
      <c r="J32" s="4">
        <f>'תקציב אגף שאיפה  2019'!J7</f>
        <v>6728</v>
      </c>
      <c r="K32" s="4">
        <f>'תקציב אגף שאיפה  2019'!K7</f>
        <v>6728</v>
      </c>
      <c r="L32" s="4">
        <f>'תקציב אגף שאיפה  2019'!L7</f>
        <v>1149152</v>
      </c>
      <c r="M32" s="4">
        <f>'תקציב אגף שאיפה  2019'!M7</f>
        <v>83848</v>
      </c>
      <c r="N32" s="4">
        <f>'תקציב אגף שאיפה  2019'!N7</f>
        <v>0</v>
      </c>
      <c r="O32" s="4">
        <f>'תקציב אגף שאיפה  2019'!O7</f>
        <v>0</v>
      </c>
      <c r="P32" s="4">
        <f>'תקציב אגף שאיפה  2019'!P7</f>
        <v>83848</v>
      </c>
      <c r="Q32" s="4">
        <f>'תקציב אגף שאיפה  2019'!Q7</f>
        <v>0</v>
      </c>
      <c r="R32" s="4">
        <f>'תקציב אגף שאיפה  2019'!R7</f>
        <v>0</v>
      </c>
      <c r="S32" s="4">
        <f>'תקציב אגף שאיפה  2019'!S7</f>
        <v>0</v>
      </c>
      <c r="T32" s="4">
        <f>'תקציב אגף שאיפה  2019'!T7</f>
        <v>0</v>
      </c>
      <c r="U32" s="4">
        <f>'תקציב אגף שאיפה  2019'!U7</f>
        <v>0</v>
      </c>
      <c r="V32" s="4">
        <f>'תקציב אגף שאיפה  2019'!V7</f>
        <v>0</v>
      </c>
      <c r="W32" s="4">
        <f>'תקציב אגף שאיפה  2019'!W7</f>
        <v>0</v>
      </c>
      <c r="X32" s="4">
        <f>'תקציב אגף שאיפה  2019'!X7</f>
        <v>0</v>
      </c>
      <c r="Y32" s="4">
        <f>'תקציב אגף שאיפה  2019'!Y7</f>
        <v>0</v>
      </c>
      <c r="Z32" s="4">
        <f>'תקציב אגף שאיפה  2019'!Z7</f>
        <v>0</v>
      </c>
      <c r="AA32" s="124">
        <f>'תקציב אגף שאיפה  2019'!AA7</f>
        <v>0</v>
      </c>
      <c r="AB32" s="3">
        <f>'תקציב אגף שאיפה  2019'!AB7</f>
        <v>747000</v>
      </c>
      <c r="AC32" s="418"/>
      <c r="AD32" s="415"/>
      <c r="AE32" s="584"/>
      <c r="AF32" s="415"/>
      <c r="AG32" s="20"/>
      <c r="AH32" s="20"/>
      <c r="AI32" s="30"/>
      <c r="AJ32" s="31"/>
      <c r="AK32" s="31"/>
      <c r="AL32" s="31"/>
      <c r="AM32" s="31"/>
    </row>
    <row r="33" spans="1:39" s="101" customFormat="1">
      <c r="A33" s="44"/>
      <c r="B33" s="44"/>
      <c r="C33" s="44" t="s">
        <v>1217</v>
      </c>
      <c r="D33" s="125">
        <f>SUM(D32)</f>
        <v>1233000</v>
      </c>
      <c r="E33" s="125">
        <f t="shared" ref="E33:Z33" si="4">SUM(E32)</f>
        <v>4582000</v>
      </c>
      <c r="F33" s="125">
        <f t="shared" si="4"/>
        <v>-3349000</v>
      </c>
      <c r="G33" s="125">
        <f t="shared" si="4"/>
        <v>1233000</v>
      </c>
      <c r="H33" s="125">
        <f t="shared" si="4"/>
        <v>1142424</v>
      </c>
      <c r="I33" s="125">
        <f t="shared" si="4"/>
        <v>0</v>
      </c>
      <c r="J33" s="125">
        <f t="shared" si="4"/>
        <v>6728</v>
      </c>
      <c r="K33" s="125">
        <f t="shared" si="4"/>
        <v>6728</v>
      </c>
      <c r="L33" s="125">
        <f t="shared" si="4"/>
        <v>1149152</v>
      </c>
      <c r="M33" s="125">
        <f t="shared" si="4"/>
        <v>83848</v>
      </c>
      <c r="N33" s="125">
        <f t="shared" si="4"/>
        <v>0</v>
      </c>
      <c r="O33" s="125">
        <f t="shared" si="4"/>
        <v>0</v>
      </c>
      <c r="P33" s="125">
        <f t="shared" si="4"/>
        <v>83848</v>
      </c>
      <c r="Q33" s="125">
        <f t="shared" si="4"/>
        <v>0</v>
      </c>
      <c r="R33" s="125">
        <f t="shared" si="4"/>
        <v>0</v>
      </c>
      <c r="S33" s="125">
        <f t="shared" si="4"/>
        <v>0</v>
      </c>
      <c r="T33" s="125">
        <f t="shared" si="4"/>
        <v>0</v>
      </c>
      <c r="U33" s="125">
        <f t="shared" si="4"/>
        <v>0</v>
      </c>
      <c r="V33" s="125">
        <f t="shared" si="4"/>
        <v>0</v>
      </c>
      <c r="W33" s="125">
        <f t="shared" si="4"/>
        <v>0</v>
      </c>
      <c r="X33" s="125">
        <f t="shared" si="4"/>
        <v>0</v>
      </c>
      <c r="Y33" s="125">
        <f t="shared" si="4"/>
        <v>0</v>
      </c>
      <c r="Z33" s="125">
        <f t="shared" si="4"/>
        <v>0</v>
      </c>
      <c r="AA33" s="620"/>
      <c r="AB33" s="44"/>
      <c r="AC33" s="639"/>
      <c r="AD33" s="640"/>
      <c r="AE33" s="641"/>
      <c r="AF33" s="640"/>
      <c r="AG33" s="644"/>
      <c r="AH33" s="644"/>
      <c r="AI33" s="390"/>
      <c r="AJ33" s="391"/>
      <c r="AK33" s="391"/>
      <c r="AL33" s="391"/>
      <c r="AM33" s="391"/>
    </row>
    <row r="34" spans="1:39" s="5" customFormat="1">
      <c r="A34" s="3">
        <f>A32+1</f>
        <v>25</v>
      </c>
      <c r="B34" s="3">
        <v>2039</v>
      </c>
      <c r="C34" s="3" t="s">
        <v>367</v>
      </c>
      <c r="D34" s="4">
        <f>'תקציב אגף שאיפה  2019'!D40</f>
        <v>285000</v>
      </c>
      <c r="E34" s="4">
        <f>'תקציב אגף שאיפה  2019'!E40</f>
        <v>285000</v>
      </c>
      <c r="F34" s="4">
        <f>'תקציב אגף שאיפה  2019'!F40</f>
        <v>0</v>
      </c>
      <c r="G34" s="4">
        <f>'תקציב אגף שאיפה  2019'!G40</f>
        <v>285000</v>
      </c>
      <c r="H34" s="4">
        <f>'תקציב אגף שאיפה  2019'!H40</f>
        <v>0</v>
      </c>
      <c r="I34" s="4">
        <f>'תקציב אגף שאיפה  2019'!I40</f>
        <v>0</v>
      </c>
      <c r="J34" s="4">
        <f>'תקציב אגף שאיפה  2019'!J40</f>
        <v>10000</v>
      </c>
      <c r="K34" s="4">
        <f>'תקציב אגף שאיפה  2019'!K40</f>
        <v>10000</v>
      </c>
      <c r="L34" s="4">
        <f>'תקציב אגף שאיפה  2019'!L40</f>
        <v>10000</v>
      </c>
      <c r="M34" s="4">
        <f>'תקציב אגף שאיפה  2019'!M40</f>
        <v>275000</v>
      </c>
      <c r="N34" s="4">
        <f>'תקציב אגף שאיפה  2019'!N40</f>
        <v>0</v>
      </c>
      <c r="O34" s="4">
        <f>'תקציב אגף שאיפה  2019'!O40</f>
        <v>0</v>
      </c>
      <c r="P34" s="4">
        <f>'תקציב אגף שאיפה  2019'!P40</f>
        <v>275000</v>
      </c>
      <c r="Q34" s="4">
        <f>'תקציב אגף שאיפה  2019'!Q40</f>
        <v>0</v>
      </c>
      <c r="R34" s="4">
        <f>'תקציב אגף שאיפה  2019'!R40</f>
        <v>0</v>
      </c>
      <c r="S34" s="4">
        <f>'תקציב אגף שאיפה  2019'!S40</f>
        <v>0</v>
      </c>
      <c r="T34" s="4">
        <f>'תקציב אגף שאיפה  2019'!T40</f>
        <v>0</v>
      </c>
      <c r="U34" s="4">
        <f>'תקציב אגף שאיפה  2019'!U40</f>
        <v>0</v>
      </c>
      <c r="V34" s="4">
        <f>'תקציב אגף שאיפה  2019'!V40</f>
        <v>0</v>
      </c>
      <c r="W34" s="4">
        <f>'תקציב אגף שאיפה  2019'!W40</f>
        <v>0</v>
      </c>
      <c r="X34" s="4">
        <f>'תקציב אגף שאיפה  2019'!X40</f>
        <v>0</v>
      </c>
      <c r="Y34" s="4">
        <f>'תקציב אגף שאיפה  2019'!Y40</f>
        <v>0</v>
      </c>
      <c r="Z34" s="4">
        <f>'תקציב אגף שאיפה  2019'!Z40</f>
        <v>0</v>
      </c>
      <c r="AA34" s="124">
        <f>'תקציב אגף שאיפה  2019'!AA40</f>
        <v>0</v>
      </c>
      <c r="AB34" s="3">
        <f>'תקציב אגף שאיפה  2019'!AB40</f>
        <v>760000</v>
      </c>
      <c r="AC34" s="418"/>
      <c r="AD34" s="415"/>
      <c r="AE34" s="584"/>
      <c r="AF34" s="415"/>
      <c r="AG34" s="418"/>
      <c r="AH34" s="30"/>
      <c r="AI34" s="247"/>
      <c r="AJ34" s="30"/>
      <c r="AK34" s="31"/>
      <c r="AL34" s="31"/>
      <c r="AM34" s="31"/>
    </row>
    <row r="35" spans="1:39" s="101" customFormat="1">
      <c r="A35" s="44"/>
      <c r="B35" s="44"/>
      <c r="C35" s="44" t="s">
        <v>1203</v>
      </c>
      <c r="D35" s="125">
        <f>SUM(D34)</f>
        <v>285000</v>
      </c>
      <c r="E35" s="125">
        <f t="shared" ref="E35:Z35" si="5">SUM(E34)</f>
        <v>285000</v>
      </c>
      <c r="F35" s="125">
        <f t="shared" si="5"/>
        <v>0</v>
      </c>
      <c r="G35" s="125">
        <f t="shared" si="5"/>
        <v>285000</v>
      </c>
      <c r="H35" s="125">
        <f t="shared" si="5"/>
        <v>0</v>
      </c>
      <c r="I35" s="125">
        <f t="shared" si="5"/>
        <v>0</v>
      </c>
      <c r="J35" s="125">
        <f t="shared" si="5"/>
        <v>10000</v>
      </c>
      <c r="K35" s="125">
        <f t="shared" si="5"/>
        <v>10000</v>
      </c>
      <c r="L35" s="125">
        <f t="shared" si="5"/>
        <v>10000</v>
      </c>
      <c r="M35" s="125">
        <f t="shared" si="5"/>
        <v>275000</v>
      </c>
      <c r="N35" s="125">
        <f t="shared" si="5"/>
        <v>0</v>
      </c>
      <c r="O35" s="125">
        <f t="shared" si="5"/>
        <v>0</v>
      </c>
      <c r="P35" s="125">
        <f t="shared" si="5"/>
        <v>275000</v>
      </c>
      <c r="Q35" s="125">
        <f t="shared" si="5"/>
        <v>0</v>
      </c>
      <c r="R35" s="125">
        <f t="shared" si="5"/>
        <v>0</v>
      </c>
      <c r="S35" s="125">
        <f t="shared" si="5"/>
        <v>0</v>
      </c>
      <c r="T35" s="125">
        <f t="shared" si="5"/>
        <v>0</v>
      </c>
      <c r="U35" s="125">
        <f t="shared" si="5"/>
        <v>0</v>
      </c>
      <c r="V35" s="125">
        <f t="shared" si="5"/>
        <v>0</v>
      </c>
      <c r="W35" s="125">
        <f t="shared" si="5"/>
        <v>0</v>
      </c>
      <c r="X35" s="125">
        <f t="shared" si="5"/>
        <v>0</v>
      </c>
      <c r="Y35" s="125">
        <f t="shared" si="5"/>
        <v>0</v>
      </c>
      <c r="Z35" s="125">
        <f t="shared" si="5"/>
        <v>0</v>
      </c>
      <c r="AA35" s="620"/>
      <c r="AB35" s="44"/>
      <c r="AC35" s="639"/>
      <c r="AD35" s="640"/>
      <c r="AE35" s="641"/>
      <c r="AF35" s="640"/>
      <c r="AG35" s="639"/>
      <c r="AH35" s="390"/>
      <c r="AI35" s="642"/>
      <c r="AJ35" s="390"/>
      <c r="AK35" s="391"/>
      <c r="AL35" s="391"/>
      <c r="AM35" s="391"/>
    </row>
    <row r="36" spans="1:39" s="5" customFormat="1">
      <c r="A36" s="3">
        <f>A34+1</f>
        <v>26</v>
      </c>
      <c r="B36" s="3">
        <v>1192</v>
      </c>
      <c r="C36" s="3" t="s">
        <v>119</v>
      </c>
      <c r="D36" s="4">
        <f>'תקציב אגף שאיפה  2019'!D11</f>
        <v>485000</v>
      </c>
      <c r="E36" s="4">
        <f>'תקציב אגף שאיפה  2019'!E11</f>
        <v>1085000</v>
      </c>
      <c r="F36" s="4">
        <f>'תקציב אגף שאיפה  2019'!F11</f>
        <v>-600000</v>
      </c>
      <c r="G36" s="4">
        <f>'תקציב אגף שאיפה  2019'!G11</f>
        <v>485000</v>
      </c>
      <c r="H36" s="4">
        <f>'תקציב אגף שאיפה  2019'!H11</f>
        <v>405559.85</v>
      </c>
      <c r="I36" s="4">
        <f>'תקציב אגף שאיפה  2019'!I11</f>
        <v>0</v>
      </c>
      <c r="J36" s="4">
        <f>'תקציב אגף שאיפה  2019'!J11</f>
        <v>0</v>
      </c>
      <c r="K36" s="4">
        <f>'תקציב אגף שאיפה  2019'!K11</f>
        <v>0</v>
      </c>
      <c r="L36" s="4">
        <f>'תקציב אגף שאיפה  2019'!L11</f>
        <v>405559.85</v>
      </c>
      <c r="M36" s="4">
        <f>'תקציב אגף שאיפה  2019'!M11</f>
        <v>79440.150000000023</v>
      </c>
      <c r="N36" s="4">
        <f>'תקציב אגף שאיפה  2019'!N11</f>
        <v>0</v>
      </c>
      <c r="O36" s="4">
        <f>'תקציב אגף שאיפה  2019'!O11</f>
        <v>0</v>
      </c>
      <c r="P36" s="4">
        <f>'תקציב אגף שאיפה  2019'!P11</f>
        <v>79440.150000000023</v>
      </c>
      <c r="Q36" s="4">
        <f>'תקציב אגף שאיפה  2019'!Q11</f>
        <v>0</v>
      </c>
      <c r="R36" s="4">
        <f>'תקציב אגף שאיפה  2019'!R11</f>
        <v>0</v>
      </c>
      <c r="S36" s="4">
        <f>'תקציב אגף שאיפה  2019'!S11</f>
        <v>0</v>
      </c>
      <c r="T36" s="4">
        <f>'תקציב אגף שאיפה  2019'!T11</f>
        <v>0</v>
      </c>
      <c r="U36" s="4">
        <f>'תקציב אגף שאיפה  2019'!U11</f>
        <v>0</v>
      </c>
      <c r="V36" s="4">
        <f>'תקציב אגף שאיפה  2019'!V11</f>
        <v>0</v>
      </c>
      <c r="W36" s="4">
        <f>'תקציב אגף שאיפה  2019'!W11</f>
        <v>0</v>
      </c>
      <c r="X36" s="4">
        <f>'תקציב אגף שאיפה  2019'!X11</f>
        <v>0</v>
      </c>
      <c r="Y36" s="4">
        <f>'תקציב אגף שאיפה  2019'!Y11</f>
        <v>0</v>
      </c>
      <c r="Z36" s="4">
        <f>'תקציב אגף שאיפה  2019'!Z11</f>
        <v>0</v>
      </c>
      <c r="AA36" s="124" t="str">
        <f>'תקציב אגף שאיפה  2019'!AA11</f>
        <v>ב - 2019 יהיה במסגרת תב"ר 2038.</v>
      </c>
      <c r="AB36" s="3">
        <f>'תקציב אגף שאיפה  2019'!AB11</f>
        <v>810000</v>
      </c>
      <c r="AC36" s="418"/>
      <c r="AD36" s="415"/>
      <c r="AE36" s="584"/>
      <c r="AF36" s="415"/>
      <c r="AG36" s="418"/>
      <c r="AH36" s="30"/>
      <c r="AI36" s="247"/>
      <c r="AJ36" s="30"/>
      <c r="AK36" s="30"/>
      <c r="AL36" s="30"/>
      <c r="AM36" s="30"/>
    </row>
    <row r="37" spans="1:39" s="5" customFormat="1" ht="56">
      <c r="A37" s="3">
        <f>A36+1</f>
        <v>27</v>
      </c>
      <c r="B37" s="3">
        <v>2036</v>
      </c>
      <c r="C37" s="3" t="s">
        <v>802</v>
      </c>
      <c r="D37" s="4">
        <f>'תקציב אגף שאיפה  2019'!D37</f>
        <v>1120000</v>
      </c>
      <c r="E37" s="4">
        <f>'תקציב אגף שאיפה  2019'!E37</f>
        <v>950000</v>
      </c>
      <c r="F37" s="4">
        <f>'תקציב אגף שאיפה  2019'!F37</f>
        <v>170000</v>
      </c>
      <c r="G37" s="4">
        <f>'תקציב אגף שאיפה  2019'!G37</f>
        <v>500000</v>
      </c>
      <c r="H37" s="4">
        <f>'תקציב אגף שאיפה  2019'!H37</f>
        <v>0</v>
      </c>
      <c r="I37" s="4">
        <f>'תקציב אגף שאיפה  2019'!I37</f>
        <v>474201</v>
      </c>
      <c r="J37" s="4">
        <f>'תקציב אגף שאיפה  2019'!J37</f>
        <v>25798.5</v>
      </c>
      <c r="K37" s="4">
        <f>'תקציב אגף שאיפה  2019'!K37</f>
        <v>499999.5</v>
      </c>
      <c r="L37" s="4">
        <f>'תקציב אגף שאיפה  2019'!L37</f>
        <v>499999.5</v>
      </c>
      <c r="M37" s="4">
        <f>'תקציב אגף שאיפה  2019'!M37</f>
        <v>0.5</v>
      </c>
      <c r="N37" s="4">
        <f>'תקציב אגף שאיפה  2019'!N37</f>
        <v>620000</v>
      </c>
      <c r="O37" s="4">
        <f>'תקציב אגף שאיפה  2019'!O37</f>
        <v>0</v>
      </c>
      <c r="P37" s="4">
        <f>'תקציב אגף שאיפה  2019'!P37</f>
        <v>0.5</v>
      </c>
      <c r="Q37" s="4">
        <f>'תקציב אגף שאיפה  2019'!Q37</f>
        <v>0</v>
      </c>
      <c r="R37" s="4">
        <f>'תקציב אגף שאיפה  2019'!R37</f>
        <v>0</v>
      </c>
      <c r="S37" s="4">
        <f>'תקציב אגף שאיפה  2019'!S37</f>
        <v>0</v>
      </c>
      <c r="T37" s="4">
        <f>'תקציב אגף שאיפה  2019'!T37</f>
        <v>0</v>
      </c>
      <c r="U37" s="4">
        <f>'תקציב אגף שאיפה  2019'!U37</f>
        <v>620000</v>
      </c>
      <c r="V37" s="4">
        <f>'תקציב אגף שאיפה  2019'!V37</f>
        <v>620000</v>
      </c>
      <c r="W37" s="4">
        <f>'תקציב אגף שאיפה  2019'!W37</f>
        <v>0</v>
      </c>
      <c r="X37" s="4">
        <f>'תקציב אגף שאיפה  2019'!X37</f>
        <v>0</v>
      </c>
      <c r="Y37" s="4">
        <f>'תקציב אגף שאיפה  2019'!Y37</f>
        <v>0</v>
      </c>
      <c r="Z37" s="4">
        <f>'תקציב אגף שאיפה  2019'!Z37</f>
        <v>0</v>
      </c>
      <c r="AA37" s="124" t="str">
        <f>'תקציב אגף שאיפה  2019'!AA37</f>
        <v>עבודות פיתוח ושדרוג החצר האחורית במתחם בי"ס אלון כולל: תשתית ניקוז, הסדרת מגרש הכדורגל, דשא סינטטי, ריצוף . ב -2019: ביצוע הצללה.</v>
      </c>
      <c r="AB37" s="3">
        <f>'תקציב אגף שאיפה  2019'!AB37</f>
        <v>810000</v>
      </c>
      <c r="AC37" s="418"/>
      <c r="AD37" s="415"/>
      <c r="AE37" s="584"/>
      <c r="AF37" s="415"/>
      <c r="AG37" s="418"/>
      <c r="AH37" s="30"/>
      <c r="AI37" s="247"/>
      <c r="AJ37" s="30"/>
      <c r="AK37" s="30"/>
      <c r="AL37" s="30"/>
      <c r="AM37" s="30"/>
    </row>
    <row r="38" spans="1:39" s="5" customFormat="1" ht="70">
      <c r="A38" s="3">
        <f>A37+1</f>
        <v>28</v>
      </c>
      <c r="B38" s="3">
        <v>2038</v>
      </c>
      <c r="C38" s="3" t="s">
        <v>805</v>
      </c>
      <c r="D38" s="4">
        <f>'תקציב אגף שאיפה  2019'!D39</f>
        <v>2250000</v>
      </c>
      <c r="E38" s="4">
        <f>'תקציב אגף שאיפה  2019'!E39</f>
        <v>1500000</v>
      </c>
      <c r="F38" s="4">
        <f>'תקציב אגף שאיפה  2019'!F39</f>
        <v>750000</v>
      </c>
      <c r="G38" s="4">
        <f>'תקציב אגף שאיפה  2019'!G39</f>
        <v>1500000</v>
      </c>
      <c r="H38" s="4">
        <f>'תקציב אגף שאיפה  2019'!H39</f>
        <v>88254</v>
      </c>
      <c r="I38" s="4">
        <f>'תקציב אגף שאיפה  2019'!I39</f>
        <v>0</v>
      </c>
      <c r="J38" s="4">
        <f>'תקציב אגף שאיפה  2019'!J39</f>
        <v>1366897</v>
      </c>
      <c r="K38" s="4">
        <f>'תקציב אגף שאיפה  2019'!K39</f>
        <v>1366897</v>
      </c>
      <c r="L38" s="4">
        <f>'תקציב אגף שאיפה  2019'!L39</f>
        <v>1455151</v>
      </c>
      <c r="M38" s="4">
        <f>'תקציב אגף שאיפה  2019'!M39</f>
        <v>44849</v>
      </c>
      <c r="N38" s="4">
        <f>'תקציב אגף שאיפה  2019'!N39</f>
        <v>750000</v>
      </c>
      <c r="O38" s="4">
        <f>'תקציב אגף שאיפה  2019'!O39</f>
        <v>0</v>
      </c>
      <c r="P38" s="4">
        <f>'תקציב אגף שאיפה  2019'!P39</f>
        <v>44849</v>
      </c>
      <c r="Q38" s="4">
        <f>'תקציב אגף שאיפה  2019'!Q39</f>
        <v>0</v>
      </c>
      <c r="R38" s="4">
        <f>'תקציב אגף שאיפה  2019'!R39</f>
        <v>0</v>
      </c>
      <c r="S38" s="4">
        <f>'תקציב אגף שאיפה  2019'!S39</f>
        <v>0</v>
      </c>
      <c r="T38" s="4">
        <f>'תקציב אגף שאיפה  2019'!T39</f>
        <v>0</v>
      </c>
      <c r="U38" s="4">
        <f>'תקציב אגף שאיפה  2019'!U39</f>
        <v>750000</v>
      </c>
      <c r="V38" s="4">
        <f>'תקציב אגף שאיפה  2019'!V39</f>
        <v>750000</v>
      </c>
      <c r="W38" s="4">
        <f>'תקציב אגף שאיפה  2019'!W39</f>
        <v>0</v>
      </c>
      <c r="X38" s="4">
        <f>'תקציב אגף שאיפה  2019'!X39</f>
        <v>0</v>
      </c>
      <c r="Y38" s="4">
        <f>'תקציב אגף שאיפה  2019'!Y39</f>
        <v>0</v>
      </c>
      <c r="Z38" s="4">
        <f>'תקציב אגף שאיפה  2019'!Z39</f>
        <v>0</v>
      </c>
      <c r="AA38" s="124" t="str">
        <f>'תקציב אגף שאיפה  2019'!AA39</f>
        <v>המשך הסדרת שטחי בי"ס ,תוספת הסדרת שטחי גנ"י כולל: עצי הצללה, דשא סינטטי, מערכות השקייה חסכוניות במים והסדרת שטחים מוזנחים. עפ"י תוכנית עבודה שתאושר ע"י הנהלת עיר.</v>
      </c>
      <c r="AB38" s="3">
        <f>'תקציב אגף שאיפה  2019'!AB39</f>
        <v>810000</v>
      </c>
      <c r="AC38" s="418"/>
      <c r="AD38" s="415"/>
      <c r="AE38" s="584"/>
      <c r="AF38" s="415"/>
      <c r="AG38" s="418"/>
      <c r="AH38" s="30"/>
      <c r="AI38" s="247"/>
      <c r="AJ38" s="30"/>
      <c r="AK38" s="31"/>
      <c r="AL38" s="31"/>
      <c r="AM38" s="31"/>
    </row>
    <row r="39" spans="1:39" s="5" customFormat="1">
      <c r="A39" s="3">
        <f>A38+1</f>
        <v>29</v>
      </c>
      <c r="B39" s="3">
        <v>2041</v>
      </c>
      <c r="C39" s="3" t="s">
        <v>807</v>
      </c>
      <c r="D39" s="4">
        <f>'תקציב אגף שאיפה  2019'!D42</f>
        <v>650000</v>
      </c>
      <c r="E39" s="4">
        <f>'תקציב אגף שאיפה  2019'!E42</f>
        <v>650000</v>
      </c>
      <c r="F39" s="4">
        <f>'תקציב אגף שאיפה  2019'!F42</f>
        <v>0</v>
      </c>
      <c r="G39" s="4">
        <f>'תקציב אגף שאיפה  2019'!G42</f>
        <v>650000</v>
      </c>
      <c r="H39" s="4">
        <f>'תקציב אגף שאיפה  2019'!H42</f>
        <v>23807</v>
      </c>
      <c r="I39" s="4">
        <f>'תקציב אגף שאיפה  2019'!I42</f>
        <v>0</v>
      </c>
      <c r="J39" s="4">
        <f>'תקציב אגף שאיפה  2019'!J42</f>
        <v>573450</v>
      </c>
      <c r="K39" s="4">
        <f>'תקציב אגף שאיפה  2019'!K42</f>
        <v>573450</v>
      </c>
      <c r="L39" s="4">
        <f>'תקציב אגף שאיפה  2019'!L42</f>
        <v>597257</v>
      </c>
      <c r="M39" s="4">
        <f>'תקציב אגף שאיפה  2019'!M42</f>
        <v>52743</v>
      </c>
      <c r="N39" s="4">
        <f>'תקציב אגף שאיפה  2019'!N42</f>
        <v>0</v>
      </c>
      <c r="O39" s="4">
        <f>'תקציב אגף שאיפה  2019'!O42</f>
        <v>0</v>
      </c>
      <c r="P39" s="4">
        <f>'תקציב אגף שאיפה  2019'!P42</f>
        <v>52743</v>
      </c>
      <c r="Q39" s="4">
        <f>'תקציב אגף שאיפה  2019'!Q42</f>
        <v>0</v>
      </c>
      <c r="R39" s="4">
        <f>'תקציב אגף שאיפה  2019'!R42</f>
        <v>0</v>
      </c>
      <c r="S39" s="4">
        <f>'תקציב אגף שאיפה  2019'!S42</f>
        <v>0</v>
      </c>
      <c r="T39" s="4">
        <f>'תקציב אגף שאיפה  2019'!T42</f>
        <v>0</v>
      </c>
      <c r="U39" s="4">
        <f>'תקציב אגף שאיפה  2019'!U42</f>
        <v>0</v>
      </c>
      <c r="V39" s="4">
        <f>'תקציב אגף שאיפה  2019'!V42</f>
        <v>0</v>
      </c>
      <c r="W39" s="4">
        <f>'תקציב אגף שאיפה  2019'!W42</f>
        <v>0</v>
      </c>
      <c r="X39" s="4">
        <f>'תקציב אגף שאיפה  2019'!X42</f>
        <v>0</v>
      </c>
      <c r="Y39" s="4">
        <f>'תקציב אגף שאיפה  2019'!Y42</f>
        <v>0</v>
      </c>
      <c r="Z39" s="4">
        <f>'תקציב אגף שאיפה  2019'!Z42</f>
        <v>0</v>
      </c>
      <c r="AA39" s="124">
        <f>'תקציב אגף שאיפה  2019'!AA42</f>
        <v>0</v>
      </c>
      <c r="AB39" s="3">
        <f>'תקציב אגף שאיפה  2019'!AB42</f>
        <v>810000</v>
      </c>
      <c r="AC39" s="418"/>
      <c r="AD39" s="415"/>
      <c r="AE39" s="584"/>
      <c r="AF39" s="415"/>
      <c r="AG39" s="418"/>
      <c r="AH39" s="30"/>
      <c r="AI39" s="247"/>
      <c r="AJ39" s="30"/>
      <c r="AK39" s="31"/>
      <c r="AL39" s="31"/>
      <c r="AM39" s="31"/>
    </row>
    <row r="40" spans="1:39" s="101" customFormat="1">
      <c r="A40" s="44"/>
      <c r="B40" s="44"/>
      <c r="C40" s="44" t="s">
        <v>1214</v>
      </c>
      <c r="D40" s="125">
        <f>SUM(D36:D39)</f>
        <v>4505000</v>
      </c>
      <c r="E40" s="125">
        <f t="shared" ref="E40:Z40" si="6">SUM(E36:E39)</f>
        <v>4185000</v>
      </c>
      <c r="F40" s="125">
        <f t="shared" si="6"/>
        <v>320000</v>
      </c>
      <c r="G40" s="125">
        <f t="shared" si="6"/>
        <v>3135000</v>
      </c>
      <c r="H40" s="125">
        <f t="shared" si="6"/>
        <v>517620.85</v>
      </c>
      <c r="I40" s="125">
        <f t="shared" si="6"/>
        <v>474201</v>
      </c>
      <c r="J40" s="125">
        <f t="shared" si="6"/>
        <v>1966145.5</v>
      </c>
      <c r="K40" s="125">
        <f t="shared" si="6"/>
        <v>2440346.5</v>
      </c>
      <c r="L40" s="125">
        <f t="shared" si="6"/>
        <v>2957967.35</v>
      </c>
      <c r="M40" s="125">
        <f t="shared" si="6"/>
        <v>177032.65000000002</v>
      </c>
      <c r="N40" s="125">
        <f t="shared" si="6"/>
        <v>1370000</v>
      </c>
      <c r="O40" s="125">
        <f t="shared" si="6"/>
        <v>0</v>
      </c>
      <c r="P40" s="125">
        <f t="shared" si="6"/>
        <v>177032.65000000002</v>
      </c>
      <c r="Q40" s="125">
        <f t="shared" si="6"/>
        <v>0</v>
      </c>
      <c r="R40" s="125">
        <f t="shared" si="6"/>
        <v>0</v>
      </c>
      <c r="S40" s="125">
        <f t="shared" si="6"/>
        <v>0</v>
      </c>
      <c r="T40" s="125">
        <f t="shared" si="6"/>
        <v>0</v>
      </c>
      <c r="U40" s="125">
        <f t="shared" si="6"/>
        <v>1370000</v>
      </c>
      <c r="V40" s="125">
        <f t="shared" si="6"/>
        <v>1370000</v>
      </c>
      <c r="W40" s="125">
        <f t="shared" si="6"/>
        <v>0</v>
      </c>
      <c r="X40" s="125">
        <f t="shared" si="6"/>
        <v>0</v>
      </c>
      <c r="Y40" s="125">
        <f t="shared" si="6"/>
        <v>0</v>
      </c>
      <c r="Z40" s="125">
        <f t="shared" si="6"/>
        <v>0</v>
      </c>
      <c r="AA40" s="620"/>
      <c r="AB40" s="44"/>
      <c r="AC40" s="639"/>
      <c r="AD40" s="640"/>
      <c r="AE40" s="641"/>
      <c r="AF40" s="640"/>
      <c r="AG40" s="639"/>
      <c r="AH40" s="390"/>
      <c r="AI40" s="642"/>
      <c r="AJ40" s="390"/>
      <c r="AK40" s="391"/>
      <c r="AL40" s="391"/>
      <c r="AM40" s="391"/>
    </row>
    <row r="41" spans="1:39" s="5" customFormat="1" ht="28">
      <c r="A41" s="3">
        <f>A39+1</f>
        <v>30</v>
      </c>
      <c r="B41" s="3">
        <v>2040</v>
      </c>
      <c r="C41" s="3" t="s">
        <v>806</v>
      </c>
      <c r="D41" s="4">
        <f>'תקציב אגף שאיפה  2019'!D41</f>
        <v>410000</v>
      </c>
      <c r="E41" s="4">
        <f>'תקציב אגף שאיפה  2019'!E41</f>
        <v>410000</v>
      </c>
      <c r="F41" s="4">
        <f>'תקציב אגף שאיפה  2019'!F41</f>
        <v>0</v>
      </c>
      <c r="G41" s="4">
        <f>'תקציב אגף שאיפה  2019'!G41</f>
        <v>410000</v>
      </c>
      <c r="H41" s="4">
        <f>'תקציב אגף שאיפה  2019'!H41</f>
        <v>339613</v>
      </c>
      <c r="I41" s="4">
        <f>'תקציב אגף שאיפה  2019'!I41</f>
        <v>0</v>
      </c>
      <c r="J41" s="4">
        <f>'תקציב אגף שאיפה  2019'!J41</f>
        <v>49861.02</v>
      </c>
      <c r="K41" s="4">
        <f>'תקציב אגף שאיפה  2019'!K41</f>
        <v>49861.02</v>
      </c>
      <c r="L41" s="4">
        <f>'תקציב אגף שאיפה  2019'!L41</f>
        <v>389474.02</v>
      </c>
      <c r="M41" s="4">
        <f>'תקציב אגף שאיפה  2019'!M41</f>
        <v>20525.979999999981</v>
      </c>
      <c r="N41" s="4">
        <f>'תקציב אגף שאיפה  2019'!N41</f>
        <v>0</v>
      </c>
      <c r="O41" s="4">
        <f>'תקציב אגף שאיפה  2019'!O41</f>
        <v>0</v>
      </c>
      <c r="P41" s="4">
        <f>'תקציב אגף שאיפה  2019'!P41</f>
        <v>20525.979999999981</v>
      </c>
      <c r="Q41" s="4">
        <f>'תקציב אגף שאיפה  2019'!Q41</f>
        <v>0</v>
      </c>
      <c r="R41" s="4">
        <f>'תקציב אגף שאיפה  2019'!R41</f>
        <v>0</v>
      </c>
      <c r="S41" s="4">
        <f>'תקציב אגף שאיפה  2019'!S41</f>
        <v>0</v>
      </c>
      <c r="T41" s="4">
        <f>'תקציב אגף שאיפה  2019'!T41</f>
        <v>0</v>
      </c>
      <c r="U41" s="4">
        <f>'תקציב אגף שאיפה  2019'!U41</f>
        <v>0</v>
      </c>
      <c r="V41" s="4">
        <f>'תקציב אגף שאיפה  2019'!V41</f>
        <v>0</v>
      </c>
      <c r="W41" s="4">
        <f>'תקציב אגף שאיפה  2019'!W41</f>
        <v>0</v>
      </c>
      <c r="X41" s="4">
        <f>'תקציב אגף שאיפה  2019'!X41</f>
        <v>0</v>
      </c>
      <c r="Y41" s="4">
        <f>'תקציב אגף שאיפה  2019'!Y41</f>
        <v>0</v>
      </c>
      <c r="Z41" s="4">
        <f>'תקציב אגף שאיפה  2019'!Z41</f>
        <v>0</v>
      </c>
      <c r="AA41" s="124">
        <f>'תקציב אגף שאיפה  2019'!AA41</f>
        <v>0</v>
      </c>
      <c r="AB41" s="3">
        <f>'תקציב אגף שאיפה  2019'!AB41</f>
        <v>829000</v>
      </c>
      <c r="AC41" s="418"/>
      <c r="AD41" s="415"/>
      <c r="AE41" s="584"/>
      <c r="AF41" s="415"/>
      <c r="AG41" s="418"/>
      <c r="AH41" s="30"/>
      <c r="AI41" s="247"/>
      <c r="AJ41" s="30"/>
      <c r="AK41" s="31"/>
      <c r="AL41" s="31"/>
      <c r="AM41" s="31"/>
    </row>
    <row r="42" spans="1:39" s="101" customFormat="1">
      <c r="A42" s="44"/>
      <c r="B42" s="44"/>
      <c r="C42" s="44" t="s">
        <v>1209</v>
      </c>
      <c r="D42" s="125">
        <f>SUM(D41)</f>
        <v>410000</v>
      </c>
      <c r="E42" s="125">
        <f t="shared" ref="E42:Z42" si="7">SUM(E41)</f>
        <v>410000</v>
      </c>
      <c r="F42" s="125">
        <f t="shared" si="7"/>
        <v>0</v>
      </c>
      <c r="G42" s="125">
        <f t="shared" si="7"/>
        <v>410000</v>
      </c>
      <c r="H42" s="125">
        <f t="shared" si="7"/>
        <v>339613</v>
      </c>
      <c r="I42" s="125">
        <f t="shared" si="7"/>
        <v>0</v>
      </c>
      <c r="J42" s="125">
        <f t="shared" si="7"/>
        <v>49861.02</v>
      </c>
      <c r="K42" s="125">
        <f t="shared" si="7"/>
        <v>49861.02</v>
      </c>
      <c r="L42" s="125">
        <f t="shared" si="7"/>
        <v>389474.02</v>
      </c>
      <c r="M42" s="125">
        <f t="shared" si="7"/>
        <v>20525.979999999981</v>
      </c>
      <c r="N42" s="125">
        <f t="shared" si="7"/>
        <v>0</v>
      </c>
      <c r="O42" s="125">
        <f t="shared" si="7"/>
        <v>0</v>
      </c>
      <c r="P42" s="125">
        <f t="shared" si="7"/>
        <v>20525.979999999981</v>
      </c>
      <c r="Q42" s="125">
        <f t="shared" si="7"/>
        <v>0</v>
      </c>
      <c r="R42" s="125">
        <f t="shared" si="7"/>
        <v>0</v>
      </c>
      <c r="S42" s="125">
        <f t="shared" si="7"/>
        <v>0</v>
      </c>
      <c r="T42" s="125">
        <f t="shared" si="7"/>
        <v>0</v>
      </c>
      <c r="U42" s="125">
        <f t="shared" si="7"/>
        <v>0</v>
      </c>
      <c r="V42" s="125">
        <f t="shared" si="7"/>
        <v>0</v>
      </c>
      <c r="W42" s="125">
        <f t="shared" si="7"/>
        <v>0</v>
      </c>
      <c r="X42" s="125">
        <f t="shared" si="7"/>
        <v>0</v>
      </c>
      <c r="Y42" s="125">
        <f t="shared" si="7"/>
        <v>0</v>
      </c>
      <c r="Z42" s="125">
        <f t="shared" si="7"/>
        <v>0</v>
      </c>
      <c r="AA42" s="620"/>
      <c r="AB42" s="44"/>
      <c r="AC42" s="639"/>
      <c r="AD42" s="640"/>
      <c r="AE42" s="641"/>
      <c r="AF42" s="640"/>
      <c r="AG42" s="639"/>
      <c r="AH42" s="390"/>
      <c r="AI42" s="642"/>
      <c r="AJ42" s="390"/>
      <c r="AK42" s="391"/>
      <c r="AL42" s="391"/>
      <c r="AM42" s="391"/>
    </row>
    <row r="43" spans="1:39" s="5" customFormat="1" ht="70">
      <c r="A43" s="3">
        <f>A41+1</f>
        <v>31</v>
      </c>
      <c r="B43" s="3">
        <v>1435</v>
      </c>
      <c r="C43" s="42" t="s">
        <v>1137</v>
      </c>
      <c r="D43" s="4">
        <f>'תקציב אגף שאיפה  2019'!D19</f>
        <v>27300000</v>
      </c>
      <c r="E43" s="4">
        <f>'תקציב אגף שאיפה  2019'!E19</f>
        <v>26300000</v>
      </c>
      <c r="F43" s="4">
        <f>'תקציב אגף שאיפה  2019'!F19</f>
        <v>1000000</v>
      </c>
      <c r="G43" s="4">
        <f>'תקציב אגף שאיפה  2019'!G19</f>
        <v>22274320</v>
      </c>
      <c r="H43" s="4">
        <f>'תקציב אגף שאיפה  2019'!H19</f>
        <v>20025245</v>
      </c>
      <c r="I43" s="4">
        <f>'תקציב אגף שאיפה  2019'!I19</f>
        <v>0</v>
      </c>
      <c r="J43" s="4">
        <f>'תקציב אגף שאיפה  2019'!J19</f>
        <v>2197843</v>
      </c>
      <c r="K43" s="4">
        <f>'תקציב אגף שאיפה  2019'!K19</f>
        <v>2197843</v>
      </c>
      <c r="L43" s="4">
        <f>'תקציב אגף שאיפה  2019'!L19</f>
        <v>22223088</v>
      </c>
      <c r="M43" s="4">
        <f>'תקציב אגף שאיפה  2019'!M19</f>
        <v>51232</v>
      </c>
      <c r="N43" s="4">
        <f>'תקציב אגף שאיפה  2019'!N19</f>
        <v>4000000</v>
      </c>
      <c r="O43" s="4">
        <f>'תקציב אגף שאיפה  2019'!O19</f>
        <v>1025680</v>
      </c>
      <c r="P43" s="4">
        <f>'תקציב אגף שאיפה  2019'!P19</f>
        <v>51232</v>
      </c>
      <c r="Q43" s="4">
        <f>'תקציב אגף שאיפה  2019'!Q19</f>
        <v>0</v>
      </c>
      <c r="R43" s="4">
        <f>'תקציב אגף שאיפה  2019'!R19</f>
        <v>0</v>
      </c>
      <c r="S43" s="4">
        <f>'תקציב אגף שאיפה  2019'!S19</f>
        <v>0</v>
      </c>
      <c r="T43" s="4">
        <f>'תקציב אגף שאיפה  2019'!T19</f>
        <v>0</v>
      </c>
      <c r="U43" s="4">
        <f>'תקציב אגף שאיפה  2019'!U19</f>
        <v>4000000</v>
      </c>
      <c r="V43" s="4">
        <f>'תקציב אגף שאיפה  2019'!V19</f>
        <v>0</v>
      </c>
      <c r="W43" s="4">
        <f>'תקציב אגף שאיפה  2019'!W19</f>
        <v>4000000</v>
      </c>
      <c r="X43" s="4">
        <f>'תקציב אגף שאיפה  2019'!X19</f>
        <v>0</v>
      </c>
      <c r="Y43" s="4">
        <f>'תקציב אגף שאיפה  2019'!Y19</f>
        <v>0</v>
      </c>
      <c r="Z43" s="4">
        <f>'תקציב אגף שאיפה  2019'!Z19</f>
        <v>0</v>
      </c>
      <c r="AA43" s="124" t="str">
        <f>'תקציב אגף שאיפה  2019'!AA19</f>
        <v>עבודות במרחב הציבורי בשכונות השונות ברחבי העיר כולל ריהוט רחוב עפ"י תוכנית עבודה שתאושר ע"י הנהלת העיר. בשנת 2019 - ביצוע שרותים  ליד בית קינן ובשד' חן.</v>
      </c>
      <c r="AB43" s="3">
        <f>'תקציב אגף שאיפה  2019'!AB19</f>
        <v>848500</v>
      </c>
      <c r="AC43" s="418"/>
      <c r="AD43" s="415"/>
      <c r="AE43" s="584"/>
      <c r="AF43" s="415"/>
      <c r="AG43" s="418"/>
      <c r="AH43" s="30"/>
      <c r="AI43" s="247"/>
      <c r="AJ43" s="30"/>
      <c r="AK43" s="30"/>
      <c r="AL43" s="30"/>
      <c r="AM43" s="30"/>
    </row>
    <row r="44" spans="1:39" s="101" customFormat="1">
      <c r="A44" s="44"/>
      <c r="B44" s="44"/>
      <c r="C44" s="44" t="s">
        <v>1218</v>
      </c>
      <c r="D44" s="125">
        <f>SUM(D43)</f>
        <v>27300000</v>
      </c>
      <c r="E44" s="125">
        <f t="shared" ref="E44:Z44" si="8">SUM(E43)</f>
        <v>26300000</v>
      </c>
      <c r="F44" s="125">
        <f t="shared" si="8"/>
        <v>1000000</v>
      </c>
      <c r="G44" s="125">
        <f t="shared" si="8"/>
        <v>22274320</v>
      </c>
      <c r="H44" s="125">
        <f t="shared" si="8"/>
        <v>20025245</v>
      </c>
      <c r="I44" s="125">
        <f t="shared" si="8"/>
        <v>0</v>
      </c>
      <c r="J44" s="125">
        <f t="shared" si="8"/>
        <v>2197843</v>
      </c>
      <c r="K44" s="125">
        <f t="shared" si="8"/>
        <v>2197843</v>
      </c>
      <c r="L44" s="125">
        <f t="shared" si="8"/>
        <v>22223088</v>
      </c>
      <c r="M44" s="125">
        <f t="shared" si="8"/>
        <v>51232</v>
      </c>
      <c r="N44" s="125">
        <f t="shared" si="8"/>
        <v>4000000</v>
      </c>
      <c r="O44" s="125">
        <f t="shared" si="8"/>
        <v>1025680</v>
      </c>
      <c r="P44" s="125">
        <f t="shared" si="8"/>
        <v>51232</v>
      </c>
      <c r="Q44" s="125">
        <f t="shared" si="8"/>
        <v>0</v>
      </c>
      <c r="R44" s="125">
        <f t="shared" si="8"/>
        <v>0</v>
      </c>
      <c r="S44" s="125">
        <f t="shared" si="8"/>
        <v>0</v>
      </c>
      <c r="T44" s="125">
        <f t="shared" si="8"/>
        <v>0</v>
      </c>
      <c r="U44" s="125">
        <f t="shared" si="8"/>
        <v>4000000</v>
      </c>
      <c r="V44" s="125">
        <f t="shared" si="8"/>
        <v>0</v>
      </c>
      <c r="W44" s="125">
        <f t="shared" si="8"/>
        <v>4000000</v>
      </c>
      <c r="X44" s="125">
        <f t="shared" si="8"/>
        <v>0</v>
      </c>
      <c r="Y44" s="125">
        <f t="shared" si="8"/>
        <v>0</v>
      </c>
      <c r="Z44" s="125">
        <f t="shared" si="8"/>
        <v>0</v>
      </c>
      <c r="AA44" s="620"/>
      <c r="AB44" s="44"/>
      <c r="AC44" s="639"/>
      <c r="AD44" s="640"/>
      <c r="AE44" s="641"/>
      <c r="AF44" s="640"/>
      <c r="AG44" s="639"/>
      <c r="AH44" s="390"/>
      <c r="AI44" s="642"/>
      <c r="AJ44" s="390"/>
      <c r="AK44" s="390"/>
      <c r="AL44" s="390"/>
      <c r="AM44" s="390"/>
    </row>
    <row r="45" spans="1:39" s="5" customFormat="1" ht="28">
      <c r="A45" s="3">
        <f>A43+1</f>
        <v>32</v>
      </c>
      <c r="B45" s="3">
        <v>1345</v>
      </c>
      <c r="C45" s="3" t="s">
        <v>102</v>
      </c>
      <c r="D45" s="4">
        <f>'תקציב אגף שאיפה  2019'!D18</f>
        <v>1739000</v>
      </c>
      <c r="E45" s="4">
        <f>'תקציב אגף שאיפה  2019'!E18</f>
        <v>1739000</v>
      </c>
      <c r="F45" s="4">
        <f>'תקציב אגף שאיפה  2019'!F18</f>
        <v>0</v>
      </c>
      <c r="G45" s="4">
        <f>'תקציב אגף שאיפה  2019'!G18</f>
        <v>815000</v>
      </c>
      <c r="H45" s="4">
        <f>'תקציב אגף שאיפה  2019'!H18</f>
        <v>725760.94</v>
      </c>
      <c r="I45" s="4">
        <f>'תקציב אגף שאיפה  2019'!I18</f>
        <v>0</v>
      </c>
      <c r="J45" s="4">
        <f>'תקציב אגף שאיפה  2019'!J18</f>
        <v>60680</v>
      </c>
      <c r="K45" s="4">
        <f>'תקציב אגף שאיפה  2019'!K18</f>
        <v>60680</v>
      </c>
      <c r="L45" s="4">
        <f>'תקציב אגף שאיפה  2019'!L18</f>
        <v>786440.94</v>
      </c>
      <c r="M45" s="4">
        <f>'תקציב אגף שאיפה  2019'!M18</f>
        <v>48559.060000000056</v>
      </c>
      <c r="N45" s="4">
        <f>'תקציב אגף שאיפה  2019'!N18</f>
        <v>80000</v>
      </c>
      <c r="O45" s="4">
        <f>'תקציב אגף שאיפה  2019'!O18</f>
        <v>824000</v>
      </c>
      <c r="P45" s="4">
        <f>'תקציב אגף שאיפה  2019'!P18</f>
        <v>28559.060000000056</v>
      </c>
      <c r="Q45" s="4">
        <f>'תקציב אגף שאיפה  2019'!Q18</f>
        <v>20000</v>
      </c>
      <c r="R45" s="4">
        <f>'תקציב אגף שאיפה  2019'!R18</f>
        <v>0</v>
      </c>
      <c r="S45" s="4">
        <f>'תקציב אגף שאיפה  2019'!S18</f>
        <v>20000</v>
      </c>
      <c r="T45" s="4">
        <f>'תקציב אגף שאיפה  2019'!T18</f>
        <v>0</v>
      </c>
      <c r="U45" s="4">
        <f>'תקציב אגף שאיפה  2019'!U18</f>
        <v>80000</v>
      </c>
      <c r="V45" s="4">
        <f>'תקציב אגף שאיפה  2019'!V18</f>
        <v>0</v>
      </c>
      <c r="W45" s="4">
        <f>'תקציב אגף שאיפה  2019'!W18</f>
        <v>80000</v>
      </c>
      <c r="X45" s="4">
        <f>'תקציב אגף שאיפה  2019'!X18</f>
        <v>0</v>
      </c>
      <c r="Y45" s="4">
        <f>'תקציב אגף שאיפה  2019'!Y18</f>
        <v>0</v>
      </c>
      <c r="Z45" s="4">
        <f>'תקציב אגף שאיפה  2019'!Z18</f>
        <v>0</v>
      </c>
      <c r="AA45" s="124" t="str">
        <f>'תקציב אגף שאיפה  2019'!AA18</f>
        <v>קידום אמנת ברית ערים כתוכנית המשך לתוכנית להפחתת פליטות של פורום ה-15</v>
      </c>
      <c r="AB45" s="3">
        <v>870000</v>
      </c>
      <c r="AC45" s="418"/>
      <c r="AD45" s="415"/>
      <c r="AE45" s="584"/>
      <c r="AF45" s="415"/>
      <c r="AG45" s="20"/>
      <c r="AH45" s="20"/>
      <c r="AI45" s="30"/>
      <c r="AJ45" s="31"/>
      <c r="AK45" s="31"/>
      <c r="AL45" s="31"/>
      <c r="AM45" s="31"/>
    </row>
    <row r="46" spans="1:39" s="5" customFormat="1">
      <c r="A46" s="3">
        <f t="shared" ref="A46:A55" si="9">A45+1</f>
        <v>33</v>
      </c>
      <c r="B46" s="3">
        <v>1831</v>
      </c>
      <c r="C46" s="3" t="s">
        <v>240</v>
      </c>
      <c r="D46" s="4">
        <f>'תקציב אגף שאיפה  2019'!D26</f>
        <v>146059</v>
      </c>
      <c r="E46" s="4">
        <f>'תקציב אגף שאיפה  2019'!E26</f>
        <v>166059</v>
      </c>
      <c r="F46" s="4">
        <f>'תקציב אגף שאיפה  2019'!F26</f>
        <v>-20000</v>
      </c>
      <c r="G46" s="4">
        <f>'תקציב אגף שאיפה  2019'!G26</f>
        <v>146059</v>
      </c>
      <c r="H46" s="4">
        <f>'תקציב אגף שאיפה  2019'!H26</f>
        <v>38025</v>
      </c>
      <c r="I46" s="4">
        <f>'תקציב אגף שאיפה  2019'!I26</f>
        <v>0</v>
      </c>
      <c r="J46" s="4">
        <f>'תקציב אגף שאיפה  2019'!J26</f>
        <v>0</v>
      </c>
      <c r="K46" s="4">
        <f>'תקציב אגף שאיפה  2019'!K26</f>
        <v>0</v>
      </c>
      <c r="L46" s="4">
        <f>'תקציב אגף שאיפה  2019'!L26</f>
        <v>38025</v>
      </c>
      <c r="M46" s="4">
        <f>'תקציב אגף שאיפה  2019'!M26</f>
        <v>108034</v>
      </c>
      <c r="N46" s="4">
        <f>'תקציב אגף שאיפה  2019'!N26</f>
        <v>0</v>
      </c>
      <c r="O46" s="4">
        <f>'תקציב אגף שאיפה  2019'!O26</f>
        <v>0</v>
      </c>
      <c r="P46" s="4">
        <f>'תקציב אגף שאיפה  2019'!P26</f>
        <v>108034</v>
      </c>
      <c r="Q46" s="4">
        <f>'תקציב אגף שאיפה  2019'!Q26</f>
        <v>0</v>
      </c>
      <c r="R46" s="4">
        <f>'תקציב אגף שאיפה  2019'!R26</f>
        <v>0</v>
      </c>
      <c r="S46" s="4">
        <f>'תקציב אגף שאיפה  2019'!S26</f>
        <v>0</v>
      </c>
      <c r="T46" s="4">
        <f>'תקציב אגף שאיפה  2019'!T26</f>
        <v>0</v>
      </c>
      <c r="U46" s="4">
        <f>'תקציב אגף שאיפה  2019'!U26</f>
        <v>0</v>
      </c>
      <c r="V46" s="4">
        <f>'תקציב אגף שאיפה  2019'!V26</f>
        <v>0</v>
      </c>
      <c r="W46" s="4">
        <f>'תקציב אגף שאיפה  2019'!W26</f>
        <v>0</v>
      </c>
      <c r="X46" s="4">
        <f>'תקציב אגף שאיפה  2019'!X26</f>
        <v>0</v>
      </c>
      <c r="Y46" s="4">
        <f>'תקציב אגף שאיפה  2019'!Y26</f>
        <v>0</v>
      </c>
      <c r="Z46" s="4">
        <f>'תקציב אגף שאיפה  2019'!Z26</f>
        <v>0</v>
      </c>
      <c r="AA46" s="124">
        <f>'תקציב אגף שאיפה  2019'!AA26</f>
        <v>0</v>
      </c>
      <c r="AB46" s="3">
        <f>'תקציב אגף שאיפה  2019'!AB26</f>
        <v>870000</v>
      </c>
      <c r="AC46" s="418"/>
      <c r="AD46" s="415"/>
      <c r="AE46" s="584"/>
      <c r="AF46" s="415"/>
      <c r="AG46" s="20"/>
      <c r="AH46" s="20"/>
      <c r="AI46" s="30"/>
      <c r="AJ46" s="31"/>
      <c r="AK46" s="31"/>
      <c r="AL46" s="31"/>
      <c r="AM46" s="31"/>
    </row>
    <row r="47" spans="1:39" s="5" customFormat="1">
      <c r="A47" s="3">
        <f t="shared" si="9"/>
        <v>34</v>
      </c>
      <c r="B47" s="3">
        <v>1209</v>
      </c>
      <c r="C47" s="3" t="s">
        <v>108</v>
      </c>
      <c r="D47" s="4">
        <f>'תקציב אגף שאיפה  2019'!D12</f>
        <v>940000</v>
      </c>
      <c r="E47" s="4">
        <f>'תקציב אגף שאיפה  2019'!E12</f>
        <v>940000</v>
      </c>
      <c r="F47" s="4">
        <f>'תקציב אגף שאיפה  2019'!F12</f>
        <v>0</v>
      </c>
      <c r="G47" s="4">
        <f>'תקציב אגף שאיפה  2019'!G12</f>
        <v>940000</v>
      </c>
      <c r="H47" s="4">
        <f>'תקציב אגף שאיפה  2019'!H12</f>
        <v>912429</v>
      </c>
      <c r="I47" s="4">
        <f>'תקציב אגף שאיפה  2019'!I12</f>
        <v>0</v>
      </c>
      <c r="J47" s="4">
        <f>'תקציב אגף שאיפה  2019'!J12</f>
        <v>0</v>
      </c>
      <c r="K47" s="4">
        <f>'תקציב אגף שאיפה  2019'!K12</f>
        <v>0</v>
      </c>
      <c r="L47" s="4">
        <f>'תקציב אגף שאיפה  2019'!L12</f>
        <v>912429</v>
      </c>
      <c r="M47" s="4">
        <f>'תקציב אגף שאיפה  2019'!M12</f>
        <v>27571</v>
      </c>
      <c r="N47" s="4">
        <f>'תקציב אגף שאיפה  2019'!N12</f>
        <v>0</v>
      </c>
      <c r="O47" s="4">
        <f>'תקציב אגף שאיפה  2019'!O12</f>
        <v>0</v>
      </c>
      <c r="P47" s="4">
        <f>'תקציב אגף שאיפה  2019'!P12</f>
        <v>27571</v>
      </c>
      <c r="Q47" s="4">
        <f>'תקציב אגף שאיפה  2019'!Q12</f>
        <v>0</v>
      </c>
      <c r="R47" s="4">
        <f>'תקציב אגף שאיפה  2019'!R12</f>
        <v>0</v>
      </c>
      <c r="S47" s="4">
        <f>'תקציב אגף שאיפה  2019'!S12</f>
        <v>0</v>
      </c>
      <c r="T47" s="4">
        <f>'תקציב אגף שאיפה  2019'!T12</f>
        <v>0</v>
      </c>
      <c r="U47" s="4">
        <f>'תקציב אגף שאיפה  2019'!U12</f>
        <v>0</v>
      </c>
      <c r="V47" s="4">
        <f>'תקציב אגף שאיפה  2019'!V12</f>
        <v>0</v>
      </c>
      <c r="W47" s="4">
        <f>'תקציב אגף שאיפה  2019'!W12</f>
        <v>0</v>
      </c>
      <c r="X47" s="4">
        <f>'תקציב אגף שאיפה  2019'!X12</f>
        <v>0</v>
      </c>
      <c r="Y47" s="4">
        <f>'תקציב אגף שאיפה  2019'!Y12</f>
        <v>0</v>
      </c>
      <c r="Z47" s="4">
        <f>'תקציב אגף שאיפה  2019'!Z12</f>
        <v>0</v>
      </c>
      <c r="AA47" s="124">
        <f>'תקציב אגף שאיפה  2019'!AA12</f>
        <v>0</v>
      </c>
      <c r="AB47" s="3">
        <f>'תקציב אגף שאיפה  2019'!AB12</f>
        <v>870000</v>
      </c>
      <c r="AC47" s="418"/>
      <c r="AD47" s="415"/>
      <c r="AE47" s="584"/>
      <c r="AF47" s="415"/>
      <c r="AG47" s="418"/>
      <c r="AH47" s="15"/>
      <c r="AI47" s="247"/>
    </row>
    <row r="48" spans="1:39" s="5" customFormat="1" ht="15" customHeight="1">
      <c r="A48" s="3">
        <f t="shared" si="9"/>
        <v>35</v>
      </c>
      <c r="B48" s="3">
        <v>1210</v>
      </c>
      <c r="C48" s="3" t="s">
        <v>109</v>
      </c>
      <c r="D48" s="4">
        <f>'תקציב אגף שאיפה  2019'!D13</f>
        <v>88000000</v>
      </c>
      <c r="E48" s="4">
        <f>'תקציב אגף שאיפה  2019'!E13</f>
        <v>88000000</v>
      </c>
      <c r="F48" s="4">
        <f>'תקציב אגף שאיפה  2019'!F13</f>
        <v>0</v>
      </c>
      <c r="G48" s="4">
        <f>'תקציב אגף שאיפה  2019'!G13</f>
        <v>65250000</v>
      </c>
      <c r="H48" s="4">
        <f>'תקציב אגף שאיפה  2019'!H13</f>
        <v>65137184</v>
      </c>
      <c r="I48" s="4">
        <f>'תקציב אגף שאיפה  2019'!I13</f>
        <v>0</v>
      </c>
      <c r="J48" s="4">
        <f>'תקציב אגף שאיפה  2019'!J13</f>
        <v>1</v>
      </c>
      <c r="K48" s="4">
        <f>'תקציב אגף שאיפה  2019'!K13</f>
        <v>1</v>
      </c>
      <c r="L48" s="4">
        <f>'תקציב אגף שאיפה  2019'!L13</f>
        <v>65137185</v>
      </c>
      <c r="M48" s="4">
        <f>'תקציב אגף שאיפה  2019'!M13</f>
        <v>2112815</v>
      </c>
      <c r="N48" s="4">
        <f>'תקציב אגף שאיפה  2019'!N13</f>
        <v>16350000</v>
      </c>
      <c r="O48" s="4">
        <f>'תקציב אגף שאיפה  2019'!O13</f>
        <v>4400000</v>
      </c>
      <c r="P48" s="4">
        <f>'תקציב אגף שאיפה  2019'!P13</f>
        <v>112815</v>
      </c>
      <c r="Q48" s="4">
        <f>'תקציב אגף שאיפה  2019'!Q13</f>
        <v>2000000</v>
      </c>
      <c r="R48" s="4">
        <f>'תקציב אגף שאיפה  2019'!R13</f>
        <v>0</v>
      </c>
      <c r="S48" s="4">
        <f>'תקציב אגף שאיפה  2019'!S13</f>
        <v>2000000</v>
      </c>
      <c r="T48" s="4">
        <f>'תקציב אגף שאיפה  2019'!T13</f>
        <v>0</v>
      </c>
      <c r="U48" s="4">
        <f>'תקציב אגף שאיפה  2019'!U13</f>
        <v>16350000</v>
      </c>
      <c r="V48" s="4">
        <f>'תקציב אגף שאיפה  2019'!V13</f>
        <v>0</v>
      </c>
      <c r="W48" s="4">
        <f>'תקציב אגף שאיפה  2019'!W13</f>
        <v>0</v>
      </c>
      <c r="X48" s="4">
        <f>'תקציב אגף שאיפה  2019'!X13</f>
        <v>0</v>
      </c>
      <c r="Y48" s="4">
        <f>'תקציב אגף שאיפה  2019'!Y13</f>
        <v>0</v>
      </c>
      <c r="Z48" s="4">
        <f>'תקציב אגף שאיפה  2019'!Z13</f>
        <v>16350000</v>
      </c>
      <c r="AA48" s="124" t="str">
        <f>'תקציב אגף שאיפה  2019'!AA13</f>
        <v>שיפוץ חזיתות בתים כולל: פיתוח חצרות, חדרי מדרגות, מעלית (רכוש משותף). בשיתוף האגודה לתרבות הדיור</v>
      </c>
      <c r="AB48" s="3">
        <f>'תקציב אגף שאיפה  2019'!AB13</f>
        <v>870000</v>
      </c>
      <c r="AC48" s="418"/>
      <c r="AD48" s="415"/>
      <c r="AE48" s="584"/>
      <c r="AF48" s="415"/>
      <c r="AG48" s="418"/>
      <c r="AH48" s="15"/>
      <c r="AI48" s="247"/>
    </row>
    <row r="49" spans="1:39" s="5" customFormat="1" ht="28">
      <c r="A49" s="3">
        <f t="shared" si="9"/>
        <v>36</v>
      </c>
      <c r="B49" s="3">
        <v>1579</v>
      </c>
      <c r="C49" s="3" t="s">
        <v>1089</v>
      </c>
      <c r="D49" s="4">
        <f>'תקציב אגף שאיפה  2019'!D22</f>
        <v>170000</v>
      </c>
      <c r="E49" s="4">
        <f>'תקציב אגף שאיפה  2019'!E22</f>
        <v>170000</v>
      </c>
      <c r="F49" s="4">
        <f>'תקציב אגף שאיפה  2019'!F22</f>
        <v>0</v>
      </c>
      <c r="G49" s="4">
        <f>'תקציב אגף שאיפה  2019'!G22</f>
        <v>170000</v>
      </c>
      <c r="H49" s="4">
        <f>'תקציב אגף שאיפה  2019'!H22</f>
        <v>145723.28</v>
      </c>
      <c r="I49" s="4">
        <f>'תקציב אגף שאיפה  2019'!I22</f>
        <v>0</v>
      </c>
      <c r="J49" s="4">
        <f>'תקציב אגף שאיפה  2019'!J22</f>
        <v>918.98</v>
      </c>
      <c r="K49" s="4">
        <f>'תקציב אגף שאיפה  2019'!K22</f>
        <v>918.98</v>
      </c>
      <c r="L49" s="4">
        <f>'תקציב אגף שאיפה  2019'!L22</f>
        <v>146642.26</v>
      </c>
      <c r="M49" s="4">
        <f>'תקציב אגף שאיפה  2019'!M22</f>
        <v>23357.739999999991</v>
      </c>
      <c r="N49" s="4">
        <f>'תקציב אגף שאיפה  2019'!N22</f>
        <v>0</v>
      </c>
      <c r="O49" s="4">
        <f>'תקציב אגף שאיפה  2019'!O22</f>
        <v>0</v>
      </c>
      <c r="P49" s="4">
        <f>'תקציב אגף שאיפה  2019'!P22</f>
        <v>23357.739999999991</v>
      </c>
      <c r="Q49" s="4">
        <f>'תקציב אגף שאיפה  2019'!Q22</f>
        <v>0</v>
      </c>
      <c r="R49" s="4">
        <f>'תקציב אגף שאיפה  2019'!R22</f>
        <v>0</v>
      </c>
      <c r="S49" s="4">
        <f>'תקציב אגף שאיפה  2019'!S22</f>
        <v>0</v>
      </c>
      <c r="T49" s="4">
        <f>'תקציב אגף שאיפה  2019'!T22</f>
        <v>0</v>
      </c>
      <c r="U49" s="4">
        <f>'תקציב אגף שאיפה  2019'!U22</f>
        <v>0</v>
      </c>
      <c r="V49" s="4">
        <f>'תקציב אגף שאיפה  2019'!V22</f>
        <v>0</v>
      </c>
      <c r="W49" s="4">
        <f>'תקציב אגף שאיפה  2019'!W22</f>
        <v>0</v>
      </c>
      <c r="X49" s="4">
        <f>'תקציב אגף שאיפה  2019'!X22</f>
        <v>0</v>
      </c>
      <c r="Y49" s="4">
        <f>'תקציב אגף שאיפה  2019'!Y22</f>
        <v>0</v>
      </c>
      <c r="Z49" s="4">
        <f>'תקציב אגף שאיפה  2019'!Z22</f>
        <v>0</v>
      </c>
      <c r="AA49" s="124">
        <f>'תקציב אגף שאיפה  2019'!AA22</f>
        <v>0</v>
      </c>
      <c r="AB49" s="3">
        <f>'תקציב אגף שאיפה  2019'!AB22</f>
        <v>870000</v>
      </c>
      <c r="AC49" s="418"/>
      <c r="AD49" s="415"/>
      <c r="AE49" s="584"/>
      <c r="AF49" s="415"/>
      <c r="AG49" s="20"/>
      <c r="AH49" s="20"/>
      <c r="AI49" s="30"/>
      <c r="AJ49" s="31"/>
      <c r="AK49" s="31"/>
      <c r="AL49" s="31"/>
      <c r="AM49" s="31"/>
    </row>
    <row r="50" spans="1:39" s="5" customFormat="1" ht="28">
      <c r="A50" s="3">
        <f t="shared" si="9"/>
        <v>37</v>
      </c>
      <c r="B50" s="3">
        <v>1598</v>
      </c>
      <c r="C50" s="3" t="s">
        <v>104</v>
      </c>
      <c r="D50" s="4">
        <f>'תקציב אגף שאיפה  2019'!D23</f>
        <v>589500</v>
      </c>
      <c r="E50" s="4">
        <f>'תקציב אגף שאיפה  2019'!E23</f>
        <v>414500</v>
      </c>
      <c r="F50" s="4">
        <f>'תקציב אגף שאיפה  2019'!F23</f>
        <v>175000</v>
      </c>
      <c r="G50" s="4">
        <f>'תקציב אגף שאיפה  2019'!G23</f>
        <v>334500</v>
      </c>
      <c r="H50" s="4">
        <f>'תקציב אגף שאיפה  2019'!H23</f>
        <v>222879</v>
      </c>
      <c r="I50" s="4">
        <f>'תקציב אגף שאיפה  2019'!I23</f>
        <v>0</v>
      </c>
      <c r="J50" s="4">
        <f>'תקציב אגף שאיפה  2019'!J23</f>
        <v>57353</v>
      </c>
      <c r="K50" s="4">
        <f>'תקציב אגף שאיפה  2019'!K23</f>
        <v>57353</v>
      </c>
      <c r="L50" s="4">
        <f>'תקציב אגף שאיפה  2019'!L23</f>
        <v>280232</v>
      </c>
      <c r="M50" s="4">
        <f>'תקציב אגף שאיפה  2019'!M23</f>
        <v>134268</v>
      </c>
      <c r="N50" s="4">
        <f>'תקציב אגף שאיפה  2019'!N23</f>
        <v>175000</v>
      </c>
      <c r="O50" s="4">
        <f>'תקציב אגף שאיפה  2019'!O23</f>
        <v>0</v>
      </c>
      <c r="P50" s="4">
        <f>'תקציב אגף שאיפה  2019'!P23</f>
        <v>54268</v>
      </c>
      <c r="Q50" s="4">
        <f>'תקציב אגף שאיפה  2019'!Q23</f>
        <v>80000</v>
      </c>
      <c r="R50" s="4">
        <f>'תקציב אגף שאיפה  2019'!R23</f>
        <v>0</v>
      </c>
      <c r="S50" s="4">
        <f>'תקציב אגף שאיפה  2019'!S23</f>
        <v>80000</v>
      </c>
      <c r="T50" s="4">
        <f>'תקציב אגף שאיפה  2019'!T23</f>
        <v>0</v>
      </c>
      <c r="U50" s="4">
        <f>'תקציב אגף שאיפה  2019'!U23</f>
        <v>175000</v>
      </c>
      <c r="V50" s="4">
        <f>'תקציב אגף שאיפה  2019'!V23</f>
        <v>0</v>
      </c>
      <c r="W50" s="4">
        <f>'תקציב אגף שאיפה  2019'!W23</f>
        <v>35000</v>
      </c>
      <c r="X50" s="4">
        <f>'תקציב אגף שאיפה  2019'!X23</f>
        <v>0</v>
      </c>
      <c r="Y50" s="4">
        <f>'תקציב אגף שאיפה  2019'!Y23</f>
        <v>0</v>
      </c>
      <c r="Z50" s="4">
        <f>'תקציב אגף שאיפה  2019'!Z23</f>
        <v>140000</v>
      </c>
      <c r="AA50" s="124" t="str">
        <f>'תקציב אגף שאיפה  2019'!AA23</f>
        <v>חינוך לקיימות. קול קורא לשנים 2018-2019. מימון מ. להגנת הסביבה</v>
      </c>
      <c r="AB50" s="3">
        <f>'תקציב אגף שאיפה  2019'!AB23</f>
        <v>870000</v>
      </c>
      <c r="AC50" s="418"/>
      <c r="AD50" s="415"/>
      <c r="AE50" s="584"/>
      <c r="AF50" s="415"/>
      <c r="AG50" s="20"/>
      <c r="AH50" s="20"/>
      <c r="AI50" s="30"/>
      <c r="AJ50" s="31"/>
      <c r="AK50" s="31"/>
      <c r="AL50" s="31"/>
      <c r="AM50" s="31"/>
    </row>
    <row r="51" spans="1:39" s="5" customFormat="1" ht="42">
      <c r="A51" s="3">
        <f t="shared" si="9"/>
        <v>38</v>
      </c>
      <c r="B51" s="3">
        <v>1866</v>
      </c>
      <c r="C51" s="3" t="s">
        <v>245</v>
      </c>
      <c r="D51" s="4">
        <f>'תקציב אגף שאיפה  2019'!D28</f>
        <v>300000</v>
      </c>
      <c r="E51" s="4">
        <f>'תקציב אגף שאיפה  2019'!E28</f>
        <v>300000</v>
      </c>
      <c r="F51" s="4">
        <f>'תקציב אגף שאיפה  2019'!F28</f>
        <v>0</v>
      </c>
      <c r="G51" s="4">
        <f>'תקציב אגף שאיפה  2019'!G28</f>
        <v>150000</v>
      </c>
      <c r="H51" s="4">
        <f>'תקציב אגף שאיפה  2019'!H28</f>
        <v>94624</v>
      </c>
      <c r="I51" s="4">
        <f>'תקציב אגף שאיפה  2019'!I28</f>
        <v>0</v>
      </c>
      <c r="J51" s="4">
        <f>'תקציב אגף שאיפה  2019'!J28</f>
        <v>51739</v>
      </c>
      <c r="K51" s="4">
        <f>'תקציב אגף שאיפה  2019'!K28</f>
        <v>51739</v>
      </c>
      <c r="L51" s="4">
        <f>'תקציב אגף שאיפה  2019'!L28</f>
        <v>146363</v>
      </c>
      <c r="M51" s="4">
        <f>'תקציב אגף שאיפה  2019'!M28</f>
        <v>3637</v>
      </c>
      <c r="N51" s="4">
        <f>'תקציב אגף שאיפה  2019'!N28</f>
        <v>75000</v>
      </c>
      <c r="O51" s="4">
        <f>'תקציב אגף שאיפה  2019'!O28</f>
        <v>75000</v>
      </c>
      <c r="P51" s="4">
        <f>'תקציב אגף שאיפה  2019'!P28</f>
        <v>3637</v>
      </c>
      <c r="Q51" s="4">
        <f>'תקציב אגף שאיפה  2019'!Q28</f>
        <v>0</v>
      </c>
      <c r="R51" s="4">
        <f>'תקציב אגף שאיפה  2019'!R28</f>
        <v>0</v>
      </c>
      <c r="S51" s="4">
        <f>'תקציב אגף שאיפה  2019'!S28</f>
        <v>0</v>
      </c>
      <c r="T51" s="4">
        <f>'תקציב אגף שאיפה  2019'!T28</f>
        <v>0</v>
      </c>
      <c r="U51" s="4">
        <f>'תקציב אגף שאיפה  2019'!U28</f>
        <v>75000</v>
      </c>
      <c r="V51" s="4">
        <f>'תקציב אגף שאיפה  2019'!V28</f>
        <v>0</v>
      </c>
      <c r="W51" s="4">
        <f>'תקציב אגף שאיפה  2019'!W28</f>
        <v>75000</v>
      </c>
      <c r="X51" s="4">
        <f>'תקציב אגף שאיפה  2019'!X28</f>
        <v>0</v>
      </c>
      <c r="Y51" s="4">
        <f>'תקציב אגף שאיפה  2019'!Y28</f>
        <v>0</v>
      </c>
      <c r="Z51" s="4">
        <f>'תקציב אגף שאיפה  2019'!Z28</f>
        <v>0</v>
      </c>
      <c r="AA51" s="124" t="str">
        <f>'תקציב אגף שאיפה  2019'!AA28</f>
        <v>הסרת גגות אסבסט ממבנים בעיר וסיוע לתושבים לאיסוף אסבסט בהיקפים קטנים.</v>
      </c>
      <c r="AB51" s="3">
        <f>'תקציב אגף שאיפה  2019'!AB28</f>
        <v>870000</v>
      </c>
      <c r="AC51" s="418"/>
      <c r="AD51" s="415"/>
      <c r="AE51" s="584"/>
      <c r="AF51" s="415"/>
      <c r="AG51" s="20"/>
      <c r="AH51" s="20"/>
      <c r="AI51" s="30"/>
      <c r="AJ51" s="31"/>
      <c r="AK51" s="31"/>
      <c r="AL51" s="31"/>
      <c r="AM51" s="31"/>
    </row>
    <row r="52" spans="1:39" s="5" customFormat="1" ht="28">
      <c r="A52" s="3">
        <f t="shared" si="9"/>
        <v>39</v>
      </c>
      <c r="B52" s="3">
        <v>1899</v>
      </c>
      <c r="C52" s="3" t="s">
        <v>274</v>
      </c>
      <c r="D52" s="4">
        <f>'תקציב אגף שאיפה  2019'!D29</f>
        <v>500000</v>
      </c>
      <c r="E52" s="4">
        <f>'תקציב אגף שאיפה  2019'!E29</f>
        <v>500000</v>
      </c>
      <c r="F52" s="4">
        <f>'תקציב אגף שאיפה  2019'!F29</f>
        <v>0</v>
      </c>
      <c r="G52" s="4">
        <f>'תקציב אגף שאיפה  2019'!G29</f>
        <v>170000</v>
      </c>
      <c r="H52" s="4">
        <f>'תקציב אגף שאיפה  2019'!H29</f>
        <v>169983.45</v>
      </c>
      <c r="I52" s="4">
        <f>'תקציב אגף שאיפה  2019'!I29</f>
        <v>0</v>
      </c>
      <c r="J52" s="4">
        <f>'תקציב אגף שאיפה  2019'!J29</f>
        <v>0</v>
      </c>
      <c r="K52" s="4">
        <f>'תקציב אגף שאיפה  2019'!K29</f>
        <v>0</v>
      </c>
      <c r="L52" s="4">
        <f>'תקציב אגף שאיפה  2019'!L29</f>
        <v>169983.45</v>
      </c>
      <c r="M52" s="4">
        <f>'תקציב אגף שאיפה  2019'!M29</f>
        <v>16.549999999988358</v>
      </c>
      <c r="N52" s="4">
        <f>'תקציב אגף שאיפה  2019'!N29</f>
        <v>300000</v>
      </c>
      <c r="O52" s="4">
        <f>'תקציב אגף שאיפה  2019'!O29</f>
        <v>30000</v>
      </c>
      <c r="P52" s="4">
        <f>'תקציב אגף שאיפה  2019'!P29</f>
        <v>16.549999999988358</v>
      </c>
      <c r="Q52" s="4">
        <f>'תקציב אגף שאיפה  2019'!Q29</f>
        <v>0</v>
      </c>
      <c r="R52" s="4">
        <f>'תקציב אגף שאיפה  2019'!R29</f>
        <v>0</v>
      </c>
      <c r="S52" s="4">
        <f>'תקציב אגף שאיפה  2019'!S29</f>
        <v>0</v>
      </c>
      <c r="T52" s="4">
        <f>'תקציב אגף שאיפה  2019'!T29</f>
        <v>0</v>
      </c>
      <c r="U52" s="4">
        <f>'תקציב אגף שאיפה  2019'!U29</f>
        <v>300000</v>
      </c>
      <c r="V52" s="4">
        <f>'תקציב אגף שאיפה  2019'!V29</f>
        <v>0</v>
      </c>
      <c r="W52" s="4">
        <f>'תקציב אגף שאיפה  2019'!W29</f>
        <v>300000</v>
      </c>
      <c r="X52" s="4">
        <f>'תקציב אגף שאיפה  2019'!X29</f>
        <v>0</v>
      </c>
      <c r="Y52" s="4">
        <f>'תקציב אגף שאיפה  2019'!Y29</f>
        <v>0</v>
      </c>
      <c r="Z52" s="4">
        <f>'תקציב אגף שאיפה  2019'!Z29</f>
        <v>0</v>
      </c>
      <c r="AA52" s="124" t="str">
        <f>'תקציב אגף שאיפה  2019'!AA29</f>
        <v>רכישת מיכלי אצירה מפלסטיק ומתכת לפסולת ומיחזור.</v>
      </c>
      <c r="AB52" s="3">
        <f>'תקציב אגף שאיפה  2019'!AB29</f>
        <v>870000</v>
      </c>
      <c r="AC52" s="418"/>
      <c r="AD52" s="415"/>
      <c r="AE52" s="584"/>
      <c r="AF52" s="415"/>
      <c r="AG52" s="418"/>
      <c r="AH52" s="30"/>
      <c r="AI52" s="247"/>
      <c r="AJ52" s="30"/>
      <c r="AK52" s="31"/>
      <c r="AL52" s="31"/>
      <c r="AM52" s="31"/>
    </row>
    <row r="53" spans="1:39" s="5" customFormat="1">
      <c r="A53" s="3">
        <f t="shared" si="9"/>
        <v>40</v>
      </c>
      <c r="B53" s="3">
        <v>1922</v>
      </c>
      <c r="C53" s="3" t="s">
        <v>242</v>
      </c>
      <c r="D53" s="4">
        <f>'תקציב אגף שאיפה  2019'!D30</f>
        <v>330000</v>
      </c>
      <c r="E53" s="4">
        <f>'תקציב אגף שאיפה  2019'!E30</f>
        <v>330000</v>
      </c>
      <c r="F53" s="4">
        <f>'תקציב אגף שאיפה  2019'!F30</f>
        <v>0</v>
      </c>
      <c r="G53" s="4">
        <f>'תקציב אגף שאיפה  2019'!G30</f>
        <v>150000</v>
      </c>
      <c r="H53" s="4">
        <f>'תקציב אגף שאיפה  2019'!H30</f>
        <v>22669</v>
      </c>
      <c r="I53" s="4">
        <f>'תקציב אגף שאיפה  2019'!I30</f>
        <v>0</v>
      </c>
      <c r="J53" s="4">
        <f>'תקציב אגף שאיפה  2019'!J30</f>
        <v>0</v>
      </c>
      <c r="K53" s="4">
        <f>'תקציב אגף שאיפה  2019'!K30</f>
        <v>0</v>
      </c>
      <c r="L53" s="4">
        <f>'תקציב אגף שאיפה  2019'!L30</f>
        <v>22669</v>
      </c>
      <c r="M53" s="4">
        <f>'תקציב אגף שאיפה  2019'!M30</f>
        <v>177331</v>
      </c>
      <c r="N53" s="4">
        <f>'תקציב אגף שאיפה  2019'!N30</f>
        <v>0</v>
      </c>
      <c r="O53" s="4">
        <f>'תקציב אגף שאיפה  2019'!O30</f>
        <v>130000</v>
      </c>
      <c r="P53" s="4">
        <f>'תקציב אגף שאיפה  2019'!P30</f>
        <v>127331</v>
      </c>
      <c r="Q53" s="4">
        <f>'תקציב אגף שאיפה  2019'!Q30</f>
        <v>50000</v>
      </c>
      <c r="R53" s="4">
        <f>'תקציב אגף שאיפה  2019'!R30</f>
        <v>0</v>
      </c>
      <c r="S53" s="4">
        <f>'תקציב אגף שאיפה  2019'!S30</f>
        <v>50000</v>
      </c>
      <c r="T53" s="4">
        <f>'תקציב אגף שאיפה  2019'!T30</f>
        <v>0</v>
      </c>
      <c r="U53" s="4">
        <f>'תקציב אגף שאיפה  2019'!U30</f>
        <v>0</v>
      </c>
      <c r="V53" s="4">
        <f>'תקציב אגף שאיפה  2019'!V30</f>
        <v>0</v>
      </c>
      <c r="W53" s="4">
        <f>'תקציב אגף שאיפה  2019'!W30</f>
        <v>0</v>
      </c>
      <c r="X53" s="4">
        <f>'תקציב אגף שאיפה  2019'!X30</f>
        <v>0</v>
      </c>
      <c r="Y53" s="4">
        <f>'תקציב אגף שאיפה  2019'!Y30</f>
        <v>0</v>
      </c>
      <c r="Z53" s="4">
        <f>'תקציב אגף שאיפה  2019'!Z30</f>
        <v>0</v>
      </c>
      <c r="AA53" s="124">
        <f>'תקציב אגף שאיפה  2019'!AA30</f>
        <v>0</v>
      </c>
      <c r="AB53" s="3">
        <f>'תקציב אגף שאיפה  2019'!AB30</f>
        <v>870000</v>
      </c>
      <c r="AC53" s="418"/>
      <c r="AD53" s="415"/>
      <c r="AE53" s="584"/>
      <c r="AF53" s="415"/>
      <c r="AG53" s="20"/>
      <c r="AH53" s="20"/>
      <c r="AI53" s="30"/>
      <c r="AJ53" s="31"/>
      <c r="AK53" s="31"/>
      <c r="AL53" s="31"/>
      <c r="AM53" s="31"/>
    </row>
    <row r="54" spans="1:39" s="5" customFormat="1" ht="56">
      <c r="A54" s="3">
        <f t="shared" si="9"/>
        <v>41</v>
      </c>
      <c r="B54" s="3">
        <v>1998</v>
      </c>
      <c r="C54" s="3" t="s">
        <v>517</v>
      </c>
      <c r="D54" s="4">
        <f>'תקציב אגף שאיפה  2019'!D35</f>
        <v>4630000</v>
      </c>
      <c r="E54" s="4">
        <f>'תקציב אגף שאיפה  2019'!E35</f>
        <v>4630000</v>
      </c>
      <c r="F54" s="4">
        <f>'תקציב אגף שאיפה  2019'!F35</f>
        <v>0</v>
      </c>
      <c r="G54" s="4">
        <f>'תקציב אגף שאיפה  2019'!G35</f>
        <v>0</v>
      </c>
      <c r="H54" s="4">
        <f>'תקציב אגף שאיפה  2019'!H35</f>
        <v>0</v>
      </c>
      <c r="I54" s="4">
        <f>'תקציב אגף שאיפה  2019'!I35</f>
        <v>0</v>
      </c>
      <c r="J54" s="4">
        <f>'תקציב אגף שאיפה  2019'!J35</f>
        <v>0</v>
      </c>
      <c r="K54" s="4">
        <f>'תקציב אגף שאיפה  2019'!K35</f>
        <v>0</v>
      </c>
      <c r="L54" s="4">
        <f>'תקציב אגף שאיפה  2019'!L35</f>
        <v>0</v>
      </c>
      <c r="M54" s="4">
        <f>'תקציב אגף שאיפה  2019'!M35</f>
        <v>0</v>
      </c>
      <c r="N54" s="4">
        <f>'תקציב אגף שאיפה  2019'!N35</f>
        <v>2000000</v>
      </c>
      <c r="O54" s="4">
        <f>'תקציב אגף שאיפה  2019'!O35</f>
        <v>2630000</v>
      </c>
      <c r="P54" s="4">
        <f>'תקציב אגף שאיפה  2019'!P35</f>
        <v>0</v>
      </c>
      <c r="Q54" s="4">
        <f>'תקציב אגף שאיפה  2019'!Q35</f>
        <v>0</v>
      </c>
      <c r="R54" s="4">
        <f>'תקציב אגף שאיפה  2019'!R35</f>
        <v>0</v>
      </c>
      <c r="S54" s="4">
        <f>'תקציב אגף שאיפה  2019'!S35</f>
        <v>0</v>
      </c>
      <c r="T54" s="4">
        <f>'תקציב אגף שאיפה  2019'!T35</f>
        <v>0</v>
      </c>
      <c r="U54" s="4">
        <f>'תקציב אגף שאיפה  2019'!U35</f>
        <v>2000000</v>
      </c>
      <c r="V54" s="4">
        <f>'תקציב אגף שאיפה  2019'!V35</f>
        <v>300000</v>
      </c>
      <c r="W54" s="4">
        <f>'תקציב אגף שאיפה  2019'!W35</f>
        <v>700000</v>
      </c>
      <c r="X54" s="4">
        <f>'תקציב אגף שאיפה  2019'!X35</f>
        <v>0</v>
      </c>
      <c r="Y54" s="4">
        <f>'תקציב אגף שאיפה  2019'!Y35</f>
        <v>0</v>
      </c>
      <c r="Z54" s="4">
        <f>'תקציב אגף שאיפה  2019'!Z35</f>
        <v>1000000</v>
      </c>
      <c r="AA54" s="124" t="str">
        <f>'תקציב אגף שאיפה  2019'!AA35</f>
        <v>הקמת מערכת להשכרת אופניים ברחבי העיר ובאיזור התעסוקה כחלק מתוכנית האב להפחתת פליטות גזי חממה. מימון מ. להגנת הסביבה.</v>
      </c>
      <c r="AB54" s="3">
        <f>'תקציב אגף שאיפה  2019'!AB35</f>
        <v>870000</v>
      </c>
      <c r="AC54" s="418"/>
      <c r="AD54" s="415"/>
      <c r="AE54" s="584"/>
      <c r="AF54" s="415"/>
      <c r="AG54" s="20"/>
      <c r="AH54" s="20"/>
      <c r="AI54" s="30"/>
      <c r="AJ54" s="31"/>
      <c r="AK54" s="31"/>
      <c r="AL54" s="31"/>
      <c r="AM54" s="31"/>
    </row>
    <row r="55" spans="1:39" s="5" customFormat="1" ht="56">
      <c r="A55" s="3">
        <f t="shared" si="9"/>
        <v>42</v>
      </c>
      <c r="B55" s="3">
        <v>2037</v>
      </c>
      <c r="C55" s="3" t="s">
        <v>803</v>
      </c>
      <c r="D55" s="4">
        <f>'תקציב אגף שאיפה  2019'!D38</f>
        <v>5000000</v>
      </c>
      <c r="E55" s="4">
        <f>'תקציב אגף שאיפה  2019'!E38</f>
        <v>5000000</v>
      </c>
      <c r="F55" s="4">
        <f>'תקציב אגף שאיפה  2019'!F38</f>
        <v>0</v>
      </c>
      <c r="G55" s="4">
        <f>'תקציב אגף שאיפה  2019'!G38</f>
        <v>500000</v>
      </c>
      <c r="H55" s="4">
        <f>'תקציב אגף שאיפה  2019'!H38</f>
        <v>7020</v>
      </c>
      <c r="I55" s="4">
        <f>'תקציב אגף שאיפה  2019'!I38</f>
        <v>0</v>
      </c>
      <c r="J55" s="4">
        <f>'תקציב אגף שאיפה  2019'!J38</f>
        <v>492980</v>
      </c>
      <c r="K55" s="4">
        <f>'תקציב אגף שאיפה  2019'!K38</f>
        <v>492980</v>
      </c>
      <c r="L55" s="4">
        <f>'תקציב אגף שאיפה  2019'!L38</f>
        <v>500000</v>
      </c>
      <c r="M55" s="4">
        <f>'תקציב אגף שאיפה  2019'!M38</f>
        <v>0</v>
      </c>
      <c r="N55" s="4">
        <f>'תקציב אגף שאיפה  2019'!N38</f>
        <v>500000</v>
      </c>
      <c r="O55" s="4">
        <f>'תקציב אגף שאיפה  2019'!O38</f>
        <v>4000000</v>
      </c>
      <c r="P55" s="4">
        <f>'תקציב אגף שאיפה  2019'!P38</f>
        <v>0</v>
      </c>
      <c r="Q55" s="4">
        <f>'תקציב אגף שאיפה  2019'!Q38</f>
        <v>0</v>
      </c>
      <c r="R55" s="4">
        <f>'תקציב אגף שאיפה  2019'!R38</f>
        <v>0</v>
      </c>
      <c r="S55" s="4">
        <f>'תקציב אגף שאיפה  2019'!S38</f>
        <v>0</v>
      </c>
      <c r="T55" s="4">
        <f>'תקציב אגף שאיפה  2019'!T38</f>
        <v>0</v>
      </c>
      <c r="U55" s="4">
        <f>'תקציב אגף שאיפה  2019'!U38</f>
        <v>500000</v>
      </c>
      <c r="V55" s="4">
        <f>'תקציב אגף שאיפה  2019'!V38</f>
        <v>500000</v>
      </c>
      <c r="W55" s="4">
        <f>'תקציב אגף שאיפה  2019'!W38</f>
        <v>0</v>
      </c>
      <c r="X55" s="4">
        <f>'תקציב אגף שאיפה  2019'!X38</f>
        <v>0</v>
      </c>
      <c r="Y55" s="4">
        <f>'תקציב אגף שאיפה  2019'!Y38</f>
        <v>0</v>
      </c>
      <c r="Z55" s="4">
        <f>'תקציב אגף שאיפה  2019'!Z38</f>
        <v>0</v>
      </c>
      <c r="AA55" s="124" t="str">
        <f>'תקציב אגף שאיפה  2019'!AA38</f>
        <v>הקמת פינות מיחזור ברחבי העיר (פינות המרכזות מיכלי אצירה לסוגים שונים של פסולת כגון: בקבוקים, זכוכית, נייר, אריזות ועוד).</v>
      </c>
      <c r="AB55" s="3">
        <f>'תקציב אגף שאיפה  2019'!AB38</f>
        <v>870000</v>
      </c>
      <c r="AC55" s="418"/>
      <c r="AD55" s="415"/>
      <c r="AE55" s="584"/>
      <c r="AF55" s="415"/>
      <c r="AG55" s="418"/>
      <c r="AH55" s="30"/>
      <c r="AI55" s="247"/>
      <c r="AJ55" s="30"/>
      <c r="AK55" s="31"/>
      <c r="AL55" s="31"/>
      <c r="AM55" s="31"/>
    </row>
    <row r="56" spans="1:39" s="101" customFormat="1">
      <c r="A56" s="44"/>
      <c r="B56" s="44"/>
      <c r="C56" s="44" t="s">
        <v>1219</v>
      </c>
      <c r="D56" s="125">
        <f>SUM(D45:D55)</f>
        <v>102344559</v>
      </c>
      <c r="E56" s="125">
        <f t="shared" ref="E56:Z56" si="10">SUM(E45:E55)</f>
        <v>102189559</v>
      </c>
      <c r="F56" s="125">
        <f t="shared" si="10"/>
        <v>155000</v>
      </c>
      <c r="G56" s="125">
        <f t="shared" si="10"/>
        <v>68625559</v>
      </c>
      <c r="H56" s="125">
        <f t="shared" si="10"/>
        <v>67476297.670000002</v>
      </c>
      <c r="I56" s="125">
        <f t="shared" si="10"/>
        <v>0</v>
      </c>
      <c r="J56" s="125">
        <f t="shared" si="10"/>
        <v>663671.98</v>
      </c>
      <c r="K56" s="125">
        <f t="shared" si="10"/>
        <v>663671.98</v>
      </c>
      <c r="L56" s="125">
        <f t="shared" si="10"/>
        <v>68139969.649999991</v>
      </c>
      <c r="M56" s="125">
        <f t="shared" si="10"/>
        <v>2635589.3499999996</v>
      </c>
      <c r="N56" s="125">
        <f t="shared" si="10"/>
        <v>19480000</v>
      </c>
      <c r="O56" s="125">
        <f t="shared" si="10"/>
        <v>12089000</v>
      </c>
      <c r="P56" s="125">
        <f t="shared" si="10"/>
        <v>485589.35000000003</v>
      </c>
      <c r="Q56" s="125">
        <f t="shared" si="10"/>
        <v>2150000</v>
      </c>
      <c r="R56" s="125">
        <f t="shared" si="10"/>
        <v>0</v>
      </c>
      <c r="S56" s="125">
        <f t="shared" si="10"/>
        <v>2150000</v>
      </c>
      <c r="T56" s="125">
        <f t="shared" si="10"/>
        <v>0</v>
      </c>
      <c r="U56" s="125">
        <f t="shared" si="10"/>
        <v>19480000</v>
      </c>
      <c r="V56" s="125">
        <f t="shared" si="10"/>
        <v>800000</v>
      </c>
      <c r="W56" s="125">
        <f t="shared" si="10"/>
        <v>1190000</v>
      </c>
      <c r="X56" s="125">
        <f t="shared" si="10"/>
        <v>0</v>
      </c>
      <c r="Y56" s="125">
        <f t="shared" si="10"/>
        <v>0</v>
      </c>
      <c r="Z56" s="125">
        <f t="shared" si="10"/>
        <v>17490000</v>
      </c>
      <c r="AA56" s="620"/>
      <c r="AB56" s="44"/>
      <c r="AC56" s="639"/>
      <c r="AD56" s="640"/>
      <c r="AE56" s="641"/>
      <c r="AF56" s="640"/>
      <c r="AG56" s="639"/>
      <c r="AH56" s="390"/>
      <c r="AI56" s="642"/>
      <c r="AJ56" s="390"/>
      <c r="AK56" s="391"/>
      <c r="AL56" s="391"/>
      <c r="AM56" s="391"/>
    </row>
    <row r="57" spans="1:39" s="6" customFormat="1">
      <c r="A57" s="9">
        <f>A55</f>
        <v>42</v>
      </c>
      <c r="B57" s="9"/>
      <c r="C57" s="260" t="s">
        <v>1193</v>
      </c>
      <c r="D57" s="10">
        <f>D56+D44+D42+D40+D35+D33+D31+D9+D7</f>
        <v>231868059</v>
      </c>
      <c r="E57" s="10">
        <f t="shared" ref="E57:Z57" si="11">E56+E44+E42+E40+E35+E33+E31+E9+E7</f>
        <v>246322059</v>
      </c>
      <c r="F57" s="10">
        <f t="shared" si="11"/>
        <v>-14454000</v>
      </c>
      <c r="G57" s="10">
        <f t="shared" si="11"/>
        <v>174365579</v>
      </c>
      <c r="H57" s="10">
        <f t="shared" si="11"/>
        <v>156748875.68000001</v>
      </c>
      <c r="I57" s="10">
        <f t="shared" si="11"/>
        <v>474201</v>
      </c>
      <c r="J57" s="10">
        <f t="shared" si="11"/>
        <v>12594137.780000001</v>
      </c>
      <c r="K57" s="10">
        <f t="shared" si="11"/>
        <v>13068338.780000001</v>
      </c>
      <c r="L57" s="10">
        <f t="shared" si="11"/>
        <v>169817214.45999998</v>
      </c>
      <c r="M57" s="10">
        <f t="shared" si="11"/>
        <v>7236164.54</v>
      </c>
      <c r="N57" s="10">
        <f t="shared" si="11"/>
        <v>36445000</v>
      </c>
      <c r="O57" s="10">
        <f t="shared" si="11"/>
        <v>18369680</v>
      </c>
      <c r="P57" s="10">
        <f t="shared" si="11"/>
        <v>4548364.54</v>
      </c>
      <c r="Q57" s="10">
        <f t="shared" si="11"/>
        <v>2700000</v>
      </c>
      <c r="R57" s="10">
        <f t="shared" si="11"/>
        <v>27800</v>
      </c>
      <c r="S57" s="10">
        <f t="shared" si="11"/>
        <v>2727800</v>
      </c>
      <c r="T57" s="10">
        <f t="shared" si="11"/>
        <v>40000</v>
      </c>
      <c r="U57" s="10">
        <f t="shared" si="11"/>
        <v>36405000</v>
      </c>
      <c r="V57" s="10">
        <f t="shared" si="11"/>
        <v>10365000</v>
      </c>
      <c r="W57" s="10">
        <f t="shared" si="11"/>
        <v>8550000</v>
      </c>
      <c r="X57" s="10">
        <f t="shared" si="11"/>
        <v>0</v>
      </c>
      <c r="Y57" s="10">
        <f t="shared" si="11"/>
        <v>0</v>
      </c>
      <c r="Z57" s="10">
        <f t="shared" si="11"/>
        <v>17490000</v>
      </c>
      <c r="AA57" s="11"/>
      <c r="AB57" s="10"/>
      <c r="AC57" s="418"/>
      <c r="AD57" s="415"/>
      <c r="AE57" s="415"/>
      <c r="AF57" s="415"/>
      <c r="AG57" s="418"/>
      <c r="AH57" s="30"/>
      <c r="AI57" s="247"/>
      <c r="AJ57" s="32"/>
      <c r="AK57" s="32"/>
      <c r="AL57" s="32"/>
      <c r="AM57" s="32"/>
    </row>
    <row r="58" spans="1:39" s="56" customFormat="1">
      <c r="A58" s="62"/>
      <c r="B58" s="62"/>
      <c r="C58" s="62"/>
      <c r="D58" s="36"/>
      <c r="E58" s="36"/>
      <c r="F58" s="36"/>
      <c r="G58" s="36"/>
      <c r="H58" s="36"/>
      <c r="I58" s="36"/>
      <c r="J58" s="36"/>
      <c r="K58" s="36"/>
      <c r="L58" s="24">
        <f>H57+K57</f>
        <v>169817214.46000001</v>
      </c>
      <c r="M58" s="24">
        <f>P57+S57-T57</f>
        <v>7236164.54</v>
      </c>
      <c r="N58" s="51"/>
      <c r="O58" s="27"/>
      <c r="P58" s="24">
        <f>G57-L57</f>
        <v>4548364.5400000215</v>
      </c>
      <c r="Q58" s="27"/>
      <c r="R58" s="27"/>
      <c r="S58" s="27"/>
      <c r="T58" s="27"/>
      <c r="U58" s="24">
        <f>N57-T57</f>
        <v>36405000</v>
      </c>
      <c r="V58" s="36"/>
      <c r="W58" s="36"/>
      <c r="X58" s="36"/>
      <c r="Y58" s="36"/>
      <c r="Z58" s="36"/>
      <c r="AA58" s="613"/>
      <c r="AB58" s="62"/>
      <c r="AC58" s="418"/>
      <c r="AD58" s="415"/>
      <c r="AE58" s="415"/>
      <c r="AF58" s="415"/>
      <c r="AG58" s="418"/>
      <c r="AH58" s="30"/>
      <c r="AI58" s="247"/>
      <c r="AJ58" s="62"/>
      <c r="AK58" s="62"/>
      <c r="AL58" s="62"/>
      <c r="AM58" s="62"/>
    </row>
    <row r="59" spans="1:39" s="56" customFormat="1">
      <c r="A59" s="62"/>
      <c r="B59" s="62"/>
      <c r="C59" s="62"/>
      <c r="D59" s="36"/>
      <c r="E59" s="36"/>
      <c r="F59" s="36"/>
      <c r="G59" s="36"/>
      <c r="H59" s="36"/>
      <c r="I59" s="36"/>
      <c r="J59" s="36"/>
      <c r="K59" s="36"/>
      <c r="L59" s="27"/>
      <c r="M59" s="27"/>
      <c r="N59" s="36"/>
      <c r="O59" s="36"/>
      <c r="P59" s="17"/>
      <c r="Q59" s="36"/>
      <c r="R59" s="36"/>
      <c r="S59" s="36"/>
      <c r="T59" s="36"/>
      <c r="U59" s="27"/>
      <c r="V59" s="36"/>
      <c r="W59" s="36"/>
      <c r="X59" s="36"/>
      <c r="Y59" s="36"/>
      <c r="Z59" s="36"/>
      <c r="AA59" s="613"/>
      <c r="AB59" s="62"/>
      <c r="AC59" s="418"/>
      <c r="AD59" s="415"/>
      <c r="AE59" s="415"/>
      <c r="AF59" s="415"/>
      <c r="AG59" s="418"/>
      <c r="AH59" s="30"/>
      <c r="AI59" s="247"/>
      <c r="AJ59" s="62"/>
      <c r="AK59" s="62"/>
      <c r="AL59" s="62"/>
      <c r="AM59" s="62"/>
    </row>
    <row r="60" spans="1:39" s="45" customFormat="1">
      <c r="A60" s="15"/>
      <c r="B60" s="15"/>
      <c r="C60" s="21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7"/>
      <c r="O60" s="17"/>
      <c r="P60" s="17"/>
      <c r="Q60" s="17"/>
      <c r="R60" s="17"/>
      <c r="S60" s="17"/>
      <c r="T60" s="17"/>
      <c r="U60" s="15"/>
      <c r="V60" s="15"/>
      <c r="W60" s="15"/>
      <c r="X60" s="15"/>
      <c r="Y60" s="15"/>
      <c r="Z60" s="15"/>
      <c r="AA60" s="612"/>
      <c r="AB60" s="15"/>
      <c r="AC60" s="418"/>
      <c r="AD60" s="415"/>
      <c r="AE60" s="415"/>
      <c r="AF60" s="415"/>
      <c r="AG60" s="418"/>
      <c r="AH60" s="20"/>
      <c r="AI60" s="247"/>
      <c r="AJ60" s="20"/>
      <c r="AK60" s="20"/>
      <c r="AL60" s="20"/>
      <c r="AM60" s="20"/>
    </row>
    <row r="61" spans="1:39" s="45" customFormat="1">
      <c r="A61" s="15"/>
      <c r="B61" s="15"/>
      <c r="C61" s="21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7"/>
      <c r="O61" s="17"/>
      <c r="P61" s="17"/>
      <c r="Q61" s="17"/>
      <c r="R61" s="17"/>
      <c r="S61" s="17"/>
      <c r="T61" s="17"/>
      <c r="U61" s="15"/>
      <c r="V61" s="15"/>
      <c r="W61" s="15"/>
      <c r="X61" s="15"/>
      <c r="Y61" s="15"/>
      <c r="Z61" s="15"/>
      <c r="AA61" s="612"/>
      <c r="AB61" s="15"/>
      <c r="AC61" s="418"/>
      <c r="AD61" s="415"/>
      <c r="AE61" s="415"/>
      <c r="AF61" s="415"/>
      <c r="AG61" s="418"/>
      <c r="AH61" s="20"/>
      <c r="AI61" s="247"/>
      <c r="AJ61" s="20"/>
      <c r="AK61" s="20"/>
      <c r="AL61" s="20"/>
      <c r="AM61" s="20"/>
    </row>
    <row r="62" spans="1:39" s="45" customFormat="1">
      <c r="A62" s="15"/>
      <c r="B62" s="15"/>
      <c r="C62" s="21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7"/>
      <c r="O62" s="17"/>
      <c r="P62" s="17"/>
      <c r="Q62" s="17"/>
      <c r="R62" s="17"/>
      <c r="S62" s="17"/>
      <c r="T62" s="17"/>
      <c r="U62" s="15"/>
      <c r="V62" s="15"/>
      <c r="W62" s="15"/>
      <c r="X62" s="15"/>
      <c r="Y62" s="15"/>
      <c r="Z62" s="15"/>
      <c r="AA62" s="612"/>
      <c r="AB62" s="15"/>
      <c r="AC62" s="418"/>
      <c r="AD62" s="415"/>
      <c r="AE62" s="415"/>
      <c r="AF62" s="415"/>
      <c r="AG62" s="418"/>
      <c r="AH62" s="20"/>
      <c r="AI62" s="247"/>
      <c r="AJ62" s="20"/>
      <c r="AK62" s="20"/>
      <c r="AL62" s="20"/>
      <c r="AM62" s="20"/>
    </row>
    <row r="63" spans="1:39" s="45" customFormat="1">
      <c r="A63" s="40"/>
      <c r="B63" s="15"/>
      <c r="C63" s="21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5"/>
      <c r="V63" s="15"/>
      <c r="W63" s="15"/>
      <c r="X63" s="15"/>
      <c r="Y63" s="15"/>
      <c r="Z63" s="15"/>
      <c r="AA63" s="612"/>
      <c r="AB63" s="15"/>
      <c r="AC63" s="418"/>
      <c r="AD63" s="415"/>
      <c r="AE63" s="415"/>
      <c r="AF63" s="415"/>
      <c r="AG63" s="418"/>
      <c r="AH63" s="20"/>
      <c r="AI63" s="247"/>
      <c r="AJ63" s="20"/>
      <c r="AK63" s="20"/>
      <c r="AL63" s="20"/>
      <c r="AM63" s="20"/>
    </row>
    <row r="64" spans="1:39" hidden="1"/>
    <row r="65" spans="1:39" s="45" customFormat="1" hidden="1">
      <c r="A65" s="15"/>
      <c r="B65" s="15"/>
      <c r="C65" s="21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7"/>
      <c r="O65" s="17"/>
      <c r="P65" s="17"/>
      <c r="Q65" s="17"/>
      <c r="R65" s="17"/>
      <c r="S65" s="17"/>
      <c r="T65" s="17"/>
      <c r="U65" s="15"/>
      <c r="V65" s="15"/>
      <c r="W65" s="15"/>
      <c r="X65" s="15"/>
      <c r="Y65" s="15"/>
      <c r="Z65" s="15"/>
      <c r="AA65" s="612"/>
      <c r="AB65" s="15"/>
      <c r="AC65" s="418"/>
      <c r="AD65" s="415"/>
      <c r="AE65" s="415"/>
      <c r="AF65" s="415"/>
      <c r="AG65" s="418"/>
      <c r="AH65" s="20"/>
      <c r="AI65" s="247"/>
      <c r="AJ65" s="20"/>
      <c r="AK65" s="20"/>
      <c r="AL65" s="20"/>
      <c r="AM65" s="20"/>
    </row>
    <row r="66" spans="1:39" s="45" customFormat="1" hidden="1">
      <c r="A66" s="15"/>
      <c r="B66" s="15"/>
      <c r="C66" s="21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7"/>
      <c r="O66" s="17"/>
      <c r="P66" s="17"/>
      <c r="Q66" s="17"/>
      <c r="R66" s="17"/>
      <c r="S66" s="17"/>
      <c r="T66" s="17"/>
      <c r="U66" s="15"/>
      <c r="V66" s="15"/>
      <c r="W66" s="15"/>
      <c r="X66" s="15"/>
      <c r="Y66" s="15"/>
      <c r="Z66" s="15"/>
      <c r="AA66" s="612"/>
      <c r="AB66" s="15"/>
      <c r="AC66" s="418"/>
      <c r="AD66" s="415"/>
      <c r="AE66" s="415"/>
      <c r="AF66" s="415"/>
      <c r="AG66" s="418"/>
      <c r="AH66" s="20"/>
      <c r="AI66" s="247"/>
      <c r="AJ66" s="20"/>
      <c r="AK66" s="20"/>
      <c r="AL66" s="20"/>
      <c r="AM66" s="20"/>
    </row>
    <row r="67" spans="1:39" s="45" customFormat="1" hidden="1">
      <c r="A67" s="15"/>
      <c r="B67" s="15"/>
      <c r="C67" s="21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7"/>
      <c r="O67" s="17"/>
      <c r="P67" s="17"/>
      <c r="Q67" s="17"/>
      <c r="R67" s="17"/>
      <c r="S67" s="17"/>
      <c r="T67" s="17"/>
      <c r="U67" s="15"/>
      <c r="V67" s="15"/>
      <c r="W67" s="15"/>
      <c r="X67" s="15"/>
      <c r="Y67" s="15"/>
      <c r="Z67" s="15"/>
      <c r="AA67" s="612"/>
      <c r="AB67" s="15"/>
      <c r="AC67" s="418"/>
      <c r="AD67" s="415"/>
      <c r="AE67" s="415"/>
      <c r="AF67" s="415"/>
      <c r="AG67" s="418"/>
      <c r="AH67" s="20"/>
      <c r="AI67" s="247"/>
      <c r="AJ67" s="20"/>
      <c r="AK67" s="20"/>
      <c r="AL67" s="20"/>
      <c r="AM67" s="20"/>
    </row>
    <row r="68" spans="1:39" s="45" customFormat="1" hidden="1">
      <c r="A68" s="15"/>
      <c r="B68" s="15"/>
      <c r="C68" s="21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7"/>
      <c r="S68" s="15"/>
      <c r="T68" s="15"/>
      <c r="U68" s="15"/>
      <c r="V68" s="15"/>
      <c r="W68" s="15"/>
      <c r="X68" s="15"/>
      <c r="Y68" s="15"/>
      <c r="Z68" s="15"/>
      <c r="AA68" s="612"/>
      <c r="AB68" s="15"/>
      <c r="AC68" s="418"/>
      <c r="AD68" s="415"/>
      <c r="AE68" s="415"/>
      <c r="AF68" s="415"/>
      <c r="AG68" s="418"/>
      <c r="AH68" s="20"/>
      <c r="AI68" s="247"/>
      <c r="AJ68" s="20"/>
      <c r="AK68" s="20"/>
      <c r="AL68" s="20"/>
      <c r="AM68" s="20"/>
    </row>
    <row r="69" spans="1:39" hidden="1"/>
    <row r="70" spans="1:39" hidden="1"/>
    <row r="71" spans="1:39" s="40" customFormat="1" hidden="1">
      <c r="B71" s="15"/>
      <c r="C71" s="21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5"/>
      <c r="V71" s="15"/>
      <c r="W71" s="15"/>
      <c r="X71" s="15"/>
      <c r="Y71" s="15"/>
      <c r="Z71" s="15"/>
      <c r="AA71" s="612"/>
      <c r="AB71" s="15"/>
      <c r="AC71" s="418"/>
      <c r="AD71" s="415"/>
      <c r="AE71" s="415"/>
      <c r="AF71" s="415"/>
      <c r="AG71" s="418"/>
      <c r="AH71" s="20"/>
      <c r="AI71" s="247"/>
      <c r="AJ71" s="20"/>
      <c r="AK71" s="20"/>
      <c r="AL71" s="20"/>
      <c r="AM71" s="20"/>
    </row>
  </sheetData>
  <sheetProtection formatCells="0" formatColumns="0" formatRows="0" insertColumns="0" insertRows="0" insertHyperlinks="0" deleteColumns="0" deleteRows="0" sort="0" autoFilter="0" pivotTables="0"/>
  <sortState ref="A6:AM47">
    <sortCondition ref="AB6:AB47"/>
  </sortState>
  <printOptions horizontalCentered="1"/>
  <pageMargins left="0" right="0" top="0.94488188976377963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62"/>
  <sheetViews>
    <sheetView showZeros="0" rightToLeft="1" zoomScaleNormal="100" workbookViewId="0">
      <pane xSplit="3" ySplit="4" topLeftCell="D44" activePane="bottomRight" state="frozen"/>
      <selection activeCell="T20" sqref="T20"/>
      <selection pane="topRight" activeCell="T20" sqref="T20"/>
      <selection pane="bottomLeft" activeCell="T20" sqref="T20"/>
      <selection pane="bottomRight" activeCell="T20" sqref="T20"/>
    </sheetView>
  </sheetViews>
  <sheetFormatPr defaultColWidth="9.1796875" defaultRowHeight="18"/>
  <cols>
    <col min="1" max="1" width="5.26953125" style="40" customWidth="1"/>
    <col min="2" max="2" width="6.7265625" style="15" customWidth="1"/>
    <col min="3" max="3" width="27.1796875" style="15" customWidth="1"/>
    <col min="4" max="4" width="11" style="17" customWidth="1"/>
    <col min="5" max="5" width="11.1796875" style="17" hidden="1" customWidth="1"/>
    <col min="6" max="6" width="11.7265625" style="17" hidden="1" customWidth="1"/>
    <col min="7" max="7" width="11.1796875" style="17" hidden="1" customWidth="1"/>
    <col min="8" max="10" width="12.7265625" style="17" hidden="1" customWidth="1"/>
    <col min="11" max="11" width="11.26953125" style="17" hidden="1" customWidth="1"/>
    <col min="12" max="12" width="11.1796875" style="17" customWidth="1"/>
    <col min="13" max="13" width="9.1796875" style="17" customWidth="1"/>
    <col min="14" max="15" width="10" style="17" customWidth="1"/>
    <col min="16" max="17" width="11.1796875" style="17" hidden="1" customWidth="1"/>
    <col min="18" max="19" width="12" style="17" hidden="1" customWidth="1"/>
    <col min="20" max="20" width="8.1796875" style="17" customWidth="1"/>
    <col min="21" max="21" width="10" style="15" customWidth="1"/>
    <col min="22" max="22" width="10.26953125" style="15" hidden="1" customWidth="1"/>
    <col min="23" max="23" width="9.1796875" style="15" hidden="1" customWidth="1"/>
    <col min="24" max="25" width="5.26953125" style="15" hidden="1" customWidth="1"/>
    <col min="26" max="26" width="10.1796875" style="15" hidden="1" customWidth="1"/>
    <col min="27" max="27" width="45.54296875" style="15" customWidth="1"/>
    <col min="28" max="28" width="7.81640625" style="15" hidden="1" customWidth="1"/>
    <col min="29" max="29" width="22" style="418" customWidth="1"/>
    <col min="30" max="30" width="10.26953125" style="415" customWidth="1"/>
    <col min="31" max="31" width="10.54296875" style="415" customWidth="1"/>
    <col min="32" max="32" width="13.453125" style="415" customWidth="1"/>
    <col min="33" max="33" width="30.7265625" style="418" customWidth="1"/>
    <col min="34" max="34" width="9.1796875" style="20" customWidth="1"/>
    <col min="35" max="35" width="30.7265625" style="247" customWidth="1"/>
    <col min="36" max="36" width="9.1796875" style="20" customWidth="1"/>
    <col min="37" max="37" width="1.54296875" style="20" customWidth="1"/>
    <col min="38" max="39" width="9.1796875" style="20" customWidth="1"/>
    <col min="40" max="16384" width="9.1796875" style="15"/>
  </cols>
  <sheetData>
    <row r="1" spans="1:39" s="416" customFormat="1">
      <c r="A1" s="414"/>
      <c r="B1" s="414"/>
      <c r="C1" s="414"/>
      <c r="D1" s="414"/>
      <c r="E1" s="414"/>
      <c r="F1" s="414"/>
      <c r="G1" s="414"/>
      <c r="H1" s="414"/>
      <c r="I1" s="414"/>
      <c r="J1" s="414"/>
      <c r="K1" s="414"/>
      <c r="L1" s="414"/>
      <c r="M1" s="414"/>
      <c r="N1" s="414"/>
      <c r="O1" s="414"/>
      <c r="P1" s="414"/>
      <c r="Q1" s="414"/>
      <c r="R1" s="414"/>
      <c r="S1" s="414"/>
      <c r="T1" s="414"/>
      <c r="U1" s="414"/>
      <c r="V1" s="414"/>
      <c r="W1" s="414"/>
      <c r="X1" s="414"/>
      <c r="Y1" s="414"/>
      <c r="Z1" s="414"/>
      <c r="AA1" s="415"/>
      <c r="AC1" s="418"/>
      <c r="AD1" s="415"/>
      <c r="AE1" s="415"/>
      <c r="AF1" s="415"/>
      <c r="AG1" s="418"/>
      <c r="AI1" s="247"/>
    </row>
    <row r="2" spans="1:39" s="247" customFormat="1">
      <c r="A2" s="414" t="s">
        <v>1473</v>
      </c>
      <c r="B2" s="414"/>
      <c r="C2" s="414"/>
      <c r="D2" s="414"/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414"/>
      <c r="R2" s="414"/>
      <c r="S2" s="414"/>
      <c r="T2" s="414"/>
      <c r="U2" s="414"/>
      <c r="V2" s="414"/>
      <c r="W2" s="414"/>
      <c r="X2" s="414"/>
      <c r="Y2" s="414"/>
      <c r="Z2" s="414"/>
      <c r="AA2" s="418"/>
      <c r="AC2" s="418"/>
      <c r="AD2" s="415"/>
      <c r="AE2" s="415"/>
      <c r="AF2" s="415"/>
      <c r="AG2" s="418"/>
    </row>
    <row r="4" spans="1:39" s="34" customFormat="1" ht="86.25" customHeight="1">
      <c r="A4" s="19" t="s">
        <v>0</v>
      </c>
      <c r="B4" s="19" t="s">
        <v>1</v>
      </c>
      <c r="C4" s="19" t="s">
        <v>2</v>
      </c>
      <c r="D4" s="19" t="s">
        <v>3</v>
      </c>
      <c r="E4" s="19" t="s">
        <v>4</v>
      </c>
      <c r="F4" s="19" t="s">
        <v>5</v>
      </c>
      <c r="G4" s="19" t="s">
        <v>6</v>
      </c>
      <c r="H4" s="19" t="s">
        <v>7</v>
      </c>
      <c r="I4" s="19" t="s">
        <v>9</v>
      </c>
      <c r="J4" s="19" t="s">
        <v>318</v>
      </c>
      <c r="K4" s="19" t="s">
        <v>10</v>
      </c>
      <c r="L4" s="19" t="s">
        <v>11</v>
      </c>
      <c r="M4" s="11" t="s">
        <v>627</v>
      </c>
      <c r="N4" s="19" t="s">
        <v>628</v>
      </c>
      <c r="O4" s="19" t="s">
        <v>629</v>
      </c>
      <c r="P4" s="19" t="s">
        <v>12</v>
      </c>
      <c r="Q4" s="19" t="s">
        <v>630</v>
      </c>
      <c r="R4" s="19" t="s">
        <v>631</v>
      </c>
      <c r="S4" s="19" t="s">
        <v>632</v>
      </c>
      <c r="T4" s="19" t="s">
        <v>633</v>
      </c>
      <c r="U4" s="19" t="s">
        <v>634</v>
      </c>
      <c r="V4" s="19" t="s">
        <v>13</v>
      </c>
      <c r="W4" s="19" t="s">
        <v>14</v>
      </c>
      <c r="X4" s="19" t="s">
        <v>15</v>
      </c>
      <c r="Y4" s="19" t="s">
        <v>523</v>
      </c>
      <c r="Z4" s="19" t="s">
        <v>140</v>
      </c>
      <c r="AA4" s="19" t="s">
        <v>635</v>
      </c>
      <c r="AB4" s="19" t="s">
        <v>16</v>
      </c>
      <c r="AC4" s="418"/>
      <c r="AD4" s="415"/>
      <c r="AE4" s="415"/>
      <c r="AF4" s="415"/>
      <c r="AI4" s="247"/>
    </row>
    <row r="5" spans="1:39" s="5" customFormat="1">
      <c r="A5" s="3"/>
      <c r="B5" s="3"/>
      <c r="C5" s="48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3"/>
      <c r="AA5" s="3"/>
      <c r="AB5" s="3"/>
      <c r="AC5" s="418"/>
      <c r="AD5" s="415"/>
      <c r="AE5" s="415"/>
      <c r="AF5" s="415"/>
      <c r="AG5" s="418"/>
      <c r="AH5" s="31"/>
      <c r="AI5" s="247"/>
      <c r="AJ5" s="31"/>
      <c r="AK5" s="31"/>
      <c r="AL5" s="31"/>
      <c r="AM5" s="31"/>
    </row>
    <row r="6" spans="1:39" s="5" customFormat="1" ht="35.15" customHeight="1">
      <c r="A6" s="3">
        <v>1</v>
      </c>
      <c r="B6" s="3">
        <v>135</v>
      </c>
      <c r="C6" s="3" t="s">
        <v>100</v>
      </c>
      <c r="D6" s="4">
        <f>4582000-3349000</f>
        <v>1233000</v>
      </c>
      <c r="E6" s="4">
        <v>4582000</v>
      </c>
      <c r="F6" s="4">
        <f t="shared" ref="F6:F44" si="0">D6-E6</f>
        <v>-3349000</v>
      </c>
      <c r="G6" s="4">
        <v>1233000</v>
      </c>
      <c r="H6" s="4">
        <v>1142424</v>
      </c>
      <c r="I6" s="4"/>
      <c r="J6" s="4">
        <v>6728</v>
      </c>
      <c r="K6" s="4">
        <f>I6+J6</f>
        <v>6728</v>
      </c>
      <c r="L6" s="4">
        <f t="shared" ref="L6:L44" si="1">H6+K6</f>
        <v>1149152</v>
      </c>
      <c r="M6" s="4">
        <f t="shared" ref="M6:M44" si="2">P6+S6</f>
        <v>83848</v>
      </c>
      <c r="N6" s="4">
        <v>0</v>
      </c>
      <c r="O6" s="4">
        <f t="shared" ref="O6:O44" si="3">D6-L6-M6-N6</f>
        <v>0</v>
      </c>
      <c r="P6" s="4">
        <f t="shared" ref="P6:P44" si="4">G6-L6</f>
        <v>83848</v>
      </c>
      <c r="Q6" s="4"/>
      <c r="R6" s="4"/>
      <c r="S6" s="4">
        <f t="shared" ref="S6:S44" si="5">SUM(Q6:R6)</f>
        <v>0</v>
      </c>
      <c r="T6" s="4">
        <f t="shared" ref="T6:T44" si="6">P6-M6+S6</f>
        <v>0</v>
      </c>
      <c r="U6" s="4">
        <f t="shared" ref="U6:U44" si="7">N6-T6</f>
        <v>0</v>
      </c>
      <c r="V6" s="12"/>
      <c r="W6" s="4">
        <f>U6-V6-Y6-Z6</f>
        <v>0</v>
      </c>
      <c r="X6" s="4"/>
      <c r="Y6" s="4"/>
      <c r="Z6" s="3"/>
      <c r="AA6" s="3"/>
      <c r="AB6" s="3">
        <v>747000</v>
      </c>
      <c r="AC6" s="418"/>
      <c r="AD6" s="415"/>
      <c r="AE6" s="584"/>
      <c r="AF6" s="415"/>
      <c r="AG6" s="20"/>
      <c r="AH6" s="20"/>
      <c r="AI6" s="30"/>
      <c r="AJ6" s="31"/>
      <c r="AK6" s="31"/>
      <c r="AL6" s="31"/>
      <c r="AM6" s="31"/>
    </row>
    <row r="7" spans="1:39" s="5" customFormat="1" ht="35.15" customHeight="1">
      <c r="A7" s="3">
        <f>A6+1</f>
        <v>2</v>
      </c>
      <c r="B7" s="3">
        <v>1134</v>
      </c>
      <c r="C7" s="3" t="s">
        <v>101</v>
      </c>
      <c r="D7" s="4">
        <v>2700000</v>
      </c>
      <c r="E7" s="4">
        <v>2700000</v>
      </c>
      <c r="F7" s="4">
        <f t="shared" si="0"/>
        <v>0</v>
      </c>
      <c r="G7" s="4">
        <v>2495000</v>
      </c>
      <c r="H7" s="4">
        <v>2297601</v>
      </c>
      <c r="I7" s="4"/>
      <c r="J7" s="4">
        <v>115724.71</v>
      </c>
      <c r="K7" s="4">
        <f>I7+J7</f>
        <v>115724.71</v>
      </c>
      <c r="L7" s="4">
        <f t="shared" si="1"/>
        <v>2413325.71</v>
      </c>
      <c r="M7" s="4">
        <f t="shared" si="2"/>
        <v>81674.290000000037</v>
      </c>
      <c r="N7" s="4">
        <v>100000</v>
      </c>
      <c r="O7" s="4">
        <f t="shared" si="3"/>
        <v>105000</v>
      </c>
      <c r="P7" s="4">
        <f t="shared" si="4"/>
        <v>81674.290000000037</v>
      </c>
      <c r="Q7" s="4"/>
      <c r="R7" s="4"/>
      <c r="S7" s="4">
        <f t="shared" si="5"/>
        <v>0</v>
      </c>
      <c r="T7" s="4">
        <f t="shared" si="6"/>
        <v>0</v>
      </c>
      <c r="U7" s="4">
        <f t="shared" si="7"/>
        <v>100000</v>
      </c>
      <c r="V7" s="12">
        <f>U7-W7-X7-Y7-Z7</f>
        <v>0</v>
      </c>
      <c r="W7" s="4">
        <v>100000</v>
      </c>
      <c r="X7" s="4"/>
      <c r="Y7" s="4"/>
      <c r="Z7" s="3"/>
      <c r="AA7" s="3" t="s">
        <v>1353</v>
      </c>
      <c r="AB7" s="3">
        <v>746000</v>
      </c>
      <c r="AC7" s="418"/>
      <c r="AD7" s="415"/>
      <c r="AE7" s="584"/>
      <c r="AF7" s="415"/>
      <c r="AG7" s="20"/>
      <c r="AH7" s="20"/>
      <c r="AI7" s="30"/>
      <c r="AJ7" s="31"/>
      <c r="AK7" s="31"/>
      <c r="AL7" s="31"/>
      <c r="AM7" s="31"/>
    </row>
    <row r="8" spans="1:39" s="5" customFormat="1" ht="35.15" customHeight="1">
      <c r="A8" s="3">
        <f t="shared" ref="A8:A47" si="8">A7+1</f>
        <v>3</v>
      </c>
      <c r="B8" s="3">
        <v>1165</v>
      </c>
      <c r="C8" s="3" t="s">
        <v>142</v>
      </c>
      <c r="D8" s="4">
        <f>16300000-4250000</f>
        <v>12050000</v>
      </c>
      <c r="E8" s="4">
        <v>16300000</v>
      </c>
      <c r="F8" s="4">
        <f t="shared" si="0"/>
        <v>-4250000</v>
      </c>
      <c r="G8" s="4">
        <v>12050000</v>
      </c>
      <c r="H8" s="4">
        <v>11376110</v>
      </c>
      <c r="I8" s="4"/>
      <c r="J8" s="4">
        <v>573442</v>
      </c>
      <c r="K8" s="4">
        <f>I8+J8</f>
        <v>573442</v>
      </c>
      <c r="L8" s="4">
        <f t="shared" si="1"/>
        <v>11949552</v>
      </c>
      <c r="M8" s="4">
        <f t="shared" si="2"/>
        <v>100448</v>
      </c>
      <c r="N8" s="4"/>
      <c r="O8" s="4">
        <f t="shared" si="3"/>
        <v>0</v>
      </c>
      <c r="P8" s="4">
        <f t="shared" si="4"/>
        <v>100448</v>
      </c>
      <c r="Q8" s="4"/>
      <c r="R8" s="4"/>
      <c r="S8" s="4">
        <f t="shared" si="5"/>
        <v>0</v>
      </c>
      <c r="T8" s="4">
        <f t="shared" si="6"/>
        <v>0</v>
      </c>
      <c r="U8" s="4">
        <f t="shared" si="7"/>
        <v>0</v>
      </c>
      <c r="V8" s="12"/>
      <c r="W8" s="4">
        <f>U8-V8-Y8-Z8</f>
        <v>0</v>
      </c>
      <c r="X8" s="4"/>
      <c r="Y8" s="4"/>
      <c r="Z8" s="3"/>
      <c r="AA8" s="3" t="s">
        <v>1354</v>
      </c>
      <c r="AB8" s="3">
        <v>746000</v>
      </c>
      <c r="AC8" s="418"/>
      <c r="AD8" s="415"/>
      <c r="AE8" s="584"/>
      <c r="AF8" s="415"/>
      <c r="AG8" s="418"/>
      <c r="AH8" s="30"/>
      <c r="AI8" s="247"/>
      <c r="AJ8" s="30"/>
      <c r="AK8" s="30"/>
      <c r="AL8" s="30"/>
      <c r="AM8" s="30"/>
    </row>
    <row r="9" spans="1:39" s="5" customFormat="1" ht="35.15" customHeight="1">
      <c r="A9" s="3">
        <f t="shared" si="8"/>
        <v>4</v>
      </c>
      <c r="B9" s="3">
        <v>1166</v>
      </c>
      <c r="C9" s="3" t="s">
        <v>791</v>
      </c>
      <c r="D9" s="4">
        <f>10615000-1500000</f>
        <v>9115000</v>
      </c>
      <c r="E9" s="4">
        <v>10615000</v>
      </c>
      <c r="F9" s="4">
        <f t="shared" si="0"/>
        <v>-1500000</v>
      </c>
      <c r="G9" s="4">
        <v>9115000</v>
      </c>
      <c r="H9" s="4">
        <v>8351629</v>
      </c>
      <c r="I9" s="4"/>
      <c r="J9" s="4">
        <v>590891</v>
      </c>
      <c r="K9" s="4">
        <f>I9+J9</f>
        <v>590891</v>
      </c>
      <c r="L9" s="4">
        <f t="shared" si="1"/>
        <v>8942520</v>
      </c>
      <c r="M9" s="4">
        <f t="shared" si="2"/>
        <v>172480</v>
      </c>
      <c r="N9" s="4"/>
      <c r="O9" s="4">
        <f t="shared" si="3"/>
        <v>0</v>
      </c>
      <c r="P9" s="4">
        <f t="shared" si="4"/>
        <v>172480</v>
      </c>
      <c r="Q9" s="4"/>
      <c r="R9" s="4"/>
      <c r="S9" s="4">
        <f t="shared" si="5"/>
        <v>0</v>
      </c>
      <c r="T9" s="4">
        <f t="shared" si="6"/>
        <v>0</v>
      </c>
      <c r="U9" s="4">
        <f t="shared" si="7"/>
        <v>0</v>
      </c>
      <c r="V9" s="4"/>
      <c r="W9" s="4">
        <f>U9-V9-Y9-Z9</f>
        <v>0</v>
      </c>
      <c r="X9" s="4"/>
      <c r="Y9" s="4"/>
      <c r="Z9" s="3"/>
      <c r="AA9" s="3" t="s">
        <v>1354</v>
      </c>
      <c r="AB9" s="3">
        <v>746000</v>
      </c>
      <c r="AC9" s="418"/>
      <c r="AD9" s="415"/>
      <c r="AE9" s="584"/>
      <c r="AF9" s="415"/>
      <c r="AG9" s="418"/>
      <c r="AH9" s="30"/>
      <c r="AI9" s="247"/>
      <c r="AJ9" s="30"/>
      <c r="AK9" s="30"/>
      <c r="AL9" s="30"/>
      <c r="AM9" s="30"/>
    </row>
    <row r="10" spans="1:39" s="5" customFormat="1" ht="35.15" customHeight="1">
      <c r="A10" s="3">
        <f t="shared" si="8"/>
        <v>5</v>
      </c>
      <c r="B10" s="3">
        <v>1192</v>
      </c>
      <c r="C10" s="3" t="s">
        <v>119</v>
      </c>
      <c r="D10" s="4">
        <f>1085000-600000</f>
        <v>485000</v>
      </c>
      <c r="E10" s="4">
        <v>1085000</v>
      </c>
      <c r="F10" s="4">
        <f t="shared" si="0"/>
        <v>-600000</v>
      </c>
      <c r="G10" s="4">
        <v>485000</v>
      </c>
      <c r="H10" s="4">
        <v>405559.85</v>
      </c>
      <c r="I10" s="4"/>
      <c r="J10" s="4"/>
      <c r="K10" s="4">
        <f>I10+J10</f>
        <v>0</v>
      </c>
      <c r="L10" s="4">
        <f t="shared" si="1"/>
        <v>405559.85</v>
      </c>
      <c r="M10" s="4">
        <f t="shared" si="2"/>
        <v>79440.150000000023</v>
      </c>
      <c r="N10" s="4"/>
      <c r="O10" s="4">
        <f t="shared" si="3"/>
        <v>0</v>
      </c>
      <c r="P10" s="4">
        <f t="shared" si="4"/>
        <v>79440.150000000023</v>
      </c>
      <c r="Q10" s="4"/>
      <c r="R10" s="4"/>
      <c r="S10" s="4">
        <f t="shared" si="5"/>
        <v>0</v>
      </c>
      <c r="T10" s="4">
        <f t="shared" si="6"/>
        <v>0</v>
      </c>
      <c r="U10" s="4">
        <f t="shared" si="7"/>
        <v>0</v>
      </c>
      <c r="V10" s="4"/>
      <c r="W10" s="4">
        <f>U10-V10-Y10-Z10</f>
        <v>0</v>
      </c>
      <c r="X10" s="4"/>
      <c r="Y10" s="4"/>
      <c r="Z10" s="3"/>
      <c r="AA10" s="3" t="s">
        <v>1355</v>
      </c>
      <c r="AB10" s="3">
        <v>810000</v>
      </c>
      <c r="AC10" s="418"/>
      <c r="AD10" s="415"/>
      <c r="AE10" s="584"/>
      <c r="AF10" s="415"/>
      <c r="AG10" s="418"/>
      <c r="AH10" s="30"/>
      <c r="AI10" s="247"/>
      <c r="AJ10" s="30"/>
      <c r="AK10" s="30"/>
      <c r="AL10" s="30"/>
      <c r="AM10" s="30"/>
    </row>
    <row r="11" spans="1:39" s="5" customFormat="1" ht="35.15" customHeight="1">
      <c r="A11" s="3">
        <f t="shared" si="8"/>
        <v>6</v>
      </c>
      <c r="B11" s="3">
        <v>1209</v>
      </c>
      <c r="C11" s="3" t="s">
        <v>108</v>
      </c>
      <c r="D11" s="4">
        <v>940000</v>
      </c>
      <c r="E11" s="4">
        <v>940000</v>
      </c>
      <c r="F11" s="4">
        <f t="shared" si="0"/>
        <v>0</v>
      </c>
      <c r="G11" s="4">
        <v>940000</v>
      </c>
      <c r="H11" s="4">
        <v>912429</v>
      </c>
      <c r="I11" s="4"/>
      <c r="J11" s="4"/>
      <c r="K11" s="4">
        <f>SUM(I11:J11)</f>
        <v>0</v>
      </c>
      <c r="L11" s="4">
        <f t="shared" si="1"/>
        <v>912429</v>
      </c>
      <c r="M11" s="4">
        <f t="shared" si="2"/>
        <v>27571</v>
      </c>
      <c r="N11" s="4"/>
      <c r="O11" s="4">
        <f t="shared" si="3"/>
        <v>0</v>
      </c>
      <c r="P11" s="4">
        <f t="shared" si="4"/>
        <v>27571</v>
      </c>
      <c r="Q11" s="4"/>
      <c r="R11" s="4"/>
      <c r="S11" s="4">
        <f t="shared" si="5"/>
        <v>0</v>
      </c>
      <c r="T11" s="4">
        <f t="shared" si="6"/>
        <v>0</v>
      </c>
      <c r="U11" s="4">
        <f t="shared" si="7"/>
        <v>0</v>
      </c>
      <c r="V11" s="12">
        <f>U11-W11-Y11-Z11</f>
        <v>0</v>
      </c>
      <c r="W11" s="4"/>
      <c r="X11" s="4"/>
      <c r="Y11" s="4"/>
      <c r="Z11" s="4"/>
      <c r="AA11" s="3"/>
      <c r="AB11" s="3">
        <v>870000</v>
      </c>
      <c r="AC11" s="418"/>
      <c r="AD11" s="415"/>
      <c r="AE11" s="584"/>
      <c r="AF11" s="415"/>
      <c r="AG11" s="418"/>
      <c r="AH11" s="15"/>
      <c r="AI11" s="247"/>
    </row>
    <row r="12" spans="1:39" s="5" customFormat="1" ht="28">
      <c r="A12" s="3">
        <f t="shared" si="8"/>
        <v>7</v>
      </c>
      <c r="B12" s="3">
        <v>1210</v>
      </c>
      <c r="C12" s="3" t="s">
        <v>109</v>
      </c>
      <c r="D12" s="4">
        <f>120000000-32000000</f>
        <v>88000000</v>
      </c>
      <c r="E12" s="4">
        <v>88000000</v>
      </c>
      <c r="F12" s="4">
        <f t="shared" si="0"/>
        <v>0</v>
      </c>
      <c r="G12" s="4">
        <v>65250000</v>
      </c>
      <c r="H12" s="4">
        <v>65137184</v>
      </c>
      <c r="I12" s="4"/>
      <c r="J12" s="4">
        <v>1</v>
      </c>
      <c r="K12" s="4">
        <f>SUM(I12:J12)</f>
        <v>1</v>
      </c>
      <c r="L12" s="4">
        <f t="shared" si="1"/>
        <v>65137185</v>
      </c>
      <c r="M12" s="4">
        <f t="shared" si="2"/>
        <v>2112815</v>
      </c>
      <c r="N12" s="4">
        <f>26350000-10000000</f>
        <v>16350000</v>
      </c>
      <c r="O12" s="4">
        <f t="shared" si="3"/>
        <v>4400000</v>
      </c>
      <c r="P12" s="4">
        <f t="shared" si="4"/>
        <v>112815</v>
      </c>
      <c r="Q12" s="4">
        <v>2000000</v>
      </c>
      <c r="R12" s="4"/>
      <c r="S12" s="4">
        <f t="shared" si="5"/>
        <v>2000000</v>
      </c>
      <c r="T12" s="4">
        <f t="shared" si="6"/>
        <v>0</v>
      </c>
      <c r="U12" s="4">
        <f t="shared" si="7"/>
        <v>16350000</v>
      </c>
      <c r="V12" s="12"/>
      <c r="W12" s="4"/>
      <c r="X12" s="4"/>
      <c r="Y12" s="4"/>
      <c r="Z12" s="4">
        <f>N12-V12-W12-Y12</f>
        <v>16350000</v>
      </c>
      <c r="AA12" s="3" t="s">
        <v>1549</v>
      </c>
      <c r="AB12" s="3">
        <v>870000</v>
      </c>
      <c r="AC12" s="418"/>
      <c r="AD12" s="415"/>
      <c r="AE12" s="584"/>
      <c r="AF12" s="415"/>
      <c r="AG12" s="418"/>
      <c r="AH12" s="15"/>
      <c r="AI12" s="247"/>
    </row>
    <row r="13" spans="1:39" s="5" customFormat="1" ht="56">
      <c r="A13" s="3">
        <f t="shared" si="8"/>
        <v>8</v>
      </c>
      <c r="B13" s="3">
        <v>1254</v>
      </c>
      <c r="C13" s="3" t="s">
        <v>793</v>
      </c>
      <c r="D13" s="4">
        <f>42000000+5000000-9010000</f>
        <v>37990000</v>
      </c>
      <c r="E13" s="4">
        <v>37000000</v>
      </c>
      <c r="F13" s="4">
        <f t="shared" si="0"/>
        <v>990000</v>
      </c>
      <c r="G13" s="4">
        <v>31990000</v>
      </c>
      <c r="H13" s="4">
        <v>30104408</v>
      </c>
      <c r="I13" s="4"/>
      <c r="J13" s="4">
        <v>1556900</v>
      </c>
      <c r="K13" s="4">
        <f t="shared" ref="K13:K44" si="9">I13+J13</f>
        <v>1556900</v>
      </c>
      <c r="L13" s="4">
        <f t="shared" si="1"/>
        <v>31661308</v>
      </c>
      <c r="M13" s="4">
        <f t="shared" si="2"/>
        <v>328692</v>
      </c>
      <c r="N13" s="4">
        <f>5000000+2000000+1000000+2500000-2500000-2000000</f>
        <v>6000000</v>
      </c>
      <c r="O13" s="4">
        <f t="shared" si="3"/>
        <v>0</v>
      </c>
      <c r="P13" s="4">
        <f t="shared" si="4"/>
        <v>328692</v>
      </c>
      <c r="Q13" s="4"/>
      <c r="R13" s="4"/>
      <c r="S13" s="4">
        <f t="shared" si="5"/>
        <v>0</v>
      </c>
      <c r="T13" s="4">
        <f t="shared" si="6"/>
        <v>0</v>
      </c>
      <c r="U13" s="4">
        <f t="shared" si="7"/>
        <v>6000000</v>
      </c>
      <c r="V13" s="12">
        <f>U13*0.5</f>
        <v>3000000</v>
      </c>
      <c r="W13" s="4">
        <f t="shared" ref="W13:W44" si="10">U13-V13-Y13-Z13</f>
        <v>3000000</v>
      </c>
      <c r="X13" s="4"/>
      <c r="Y13" s="4"/>
      <c r="Z13" s="3"/>
      <c r="AA13" s="3" t="s">
        <v>1138</v>
      </c>
      <c r="AB13" s="3">
        <v>746000</v>
      </c>
      <c r="AC13" s="418"/>
      <c r="AD13" s="415"/>
      <c r="AE13" s="584"/>
      <c r="AF13" s="415"/>
      <c r="AG13" s="418"/>
      <c r="AH13" s="30"/>
      <c r="AI13" s="247"/>
      <c r="AJ13" s="30"/>
      <c r="AK13" s="30"/>
      <c r="AL13" s="30"/>
      <c r="AM13" s="30"/>
    </row>
    <row r="14" spans="1:39" s="5" customFormat="1" ht="35.15" customHeight="1">
      <c r="A14" s="3">
        <f t="shared" si="8"/>
        <v>9</v>
      </c>
      <c r="B14" s="3">
        <v>1341</v>
      </c>
      <c r="C14" s="3" t="s">
        <v>120</v>
      </c>
      <c r="D14" s="4">
        <v>550000</v>
      </c>
      <c r="E14" s="4">
        <v>550000</v>
      </c>
      <c r="F14" s="4">
        <f t="shared" si="0"/>
        <v>0</v>
      </c>
      <c r="G14" s="4">
        <v>550000</v>
      </c>
      <c r="H14" s="4">
        <v>465234.28</v>
      </c>
      <c r="I14" s="4"/>
      <c r="J14" s="4">
        <v>1711.52</v>
      </c>
      <c r="K14" s="4">
        <f t="shared" si="9"/>
        <v>1711.52</v>
      </c>
      <c r="L14" s="4">
        <f t="shared" si="1"/>
        <v>466945.80000000005</v>
      </c>
      <c r="M14" s="4">
        <f t="shared" si="2"/>
        <v>83054.199999999953</v>
      </c>
      <c r="N14" s="4"/>
      <c r="O14" s="4">
        <f t="shared" si="3"/>
        <v>0</v>
      </c>
      <c r="P14" s="4">
        <f t="shared" si="4"/>
        <v>83054.199999999953</v>
      </c>
      <c r="Q14" s="4"/>
      <c r="R14" s="4"/>
      <c r="S14" s="4">
        <f t="shared" si="5"/>
        <v>0</v>
      </c>
      <c r="T14" s="4">
        <f t="shared" si="6"/>
        <v>0</v>
      </c>
      <c r="U14" s="4">
        <f t="shared" si="7"/>
        <v>0</v>
      </c>
      <c r="V14" s="12"/>
      <c r="W14" s="4">
        <f t="shared" si="10"/>
        <v>0</v>
      </c>
      <c r="X14" s="4"/>
      <c r="Y14" s="4"/>
      <c r="Z14" s="3"/>
      <c r="AA14" s="3"/>
      <c r="AB14" s="3">
        <v>746000</v>
      </c>
      <c r="AC14" s="418"/>
      <c r="AD14" s="415"/>
      <c r="AE14" s="584"/>
      <c r="AF14" s="415"/>
      <c r="AG14" s="418"/>
      <c r="AH14" s="30"/>
      <c r="AI14" s="247"/>
      <c r="AJ14" s="30"/>
      <c r="AK14" s="30"/>
      <c r="AL14" s="30"/>
      <c r="AM14" s="30"/>
    </row>
    <row r="15" spans="1:39" s="5" customFormat="1" ht="35.15" customHeight="1">
      <c r="A15" s="3">
        <f t="shared" si="8"/>
        <v>10</v>
      </c>
      <c r="B15" s="3">
        <v>1342</v>
      </c>
      <c r="C15" s="3" t="s">
        <v>121</v>
      </c>
      <c r="D15" s="4">
        <f>4500000-500000</f>
        <v>4000000</v>
      </c>
      <c r="E15" s="4">
        <v>4000000</v>
      </c>
      <c r="F15" s="4">
        <f t="shared" si="0"/>
        <v>0</v>
      </c>
      <c r="G15" s="4">
        <v>2700000</v>
      </c>
      <c r="H15" s="4">
        <v>1986870.56</v>
      </c>
      <c r="I15" s="4"/>
      <c r="J15" s="4">
        <v>299393.09999999998</v>
      </c>
      <c r="K15" s="4">
        <f t="shared" si="9"/>
        <v>299393.09999999998</v>
      </c>
      <c r="L15" s="4">
        <f t="shared" si="1"/>
        <v>2286263.66</v>
      </c>
      <c r="M15" s="4">
        <f t="shared" si="2"/>
        <v>663736.33999999985</v>
      </c>
      <c r="N15" s="4">
        <f>750000-250000</f>
        <v>500000</v>
      </c>
      <c r="O15" s="4">
        <f t="shared" si="3"/>
        <v>550000</v>
      </c>
      <c r="P15" s="4">
        <f t="shared" si="4"/>
        <v>413736.33999999985</v>
      </c>
      <c r="Q15" s="4">
        <v>250000</v>
      </c>
      <c r="R15" s="4"/>
      <c r="S15" s="4">
        <f t="shared" si="5"/>
        <v>250000</v>
      </c>
      <c r="T15" s="4">
        <f t="shared" si="6"/>
        <v>0</v>
      </c>
      <c r="U15" s="4">
        <f t="shared" si="7"/>
        <v>500000</v>
      </c>
      <c r="V15" s="12">
        <f>U15-W15-X15-Y15-Z15</f>
        <v>500000</v>
      </c>
      <c r="W15" s="4"/>
      <c r="X15" s="4"/>
      <c r="Y15" s="4"/>
      <c r="Z15" s="3"/>
      <c r="AA15" s="3" t="s">
        <v>794</v>
      </c>
      <c r="AB15" s="3">
        <v>746000</v>
      </c>
      <c r="AC15" s="418"/>
      <c r="AD15" s="415"/>
      <c r="AE15" s="584"/>
      <c r="AF15" s="415"/>
      <c r="AG15" s="418"/>
      <c r="AH15" s="30"/>
      <c r="AI15" s="247"/>
      <c r="AJ15" s="30"/>
      <c r="AK15" s="30"/>
      <c r="AL15" s="30"/>
      <c r="AM15" s="30"/>
    </row>
    <row r="16" spans="1:39" s="5" customFormat="1" ht="35.15" customHeight="1">
      <c r="A16" s="3">
        <f t="shared" si="8"/>
        <v>11</v>
      </c>
      <c r="B16" s="3">
        <v>1343</v>
      </c>
      <c r="C16" s="3" t="s">
        <v>122</v>
      </c>
      <c r="D16" s="4">
        <v>8320000</v>
      </c>
      <c r="E16" s="4">
        <v>8320000</v>
      </c>
      <c r="F16" s="4">
        <f t="shared" si="0"/>
        <v>0</v>
      </c>
      <c r="G16" s="4">
        <v>6020000</v>
      </c>
      <c r="H16" s="4">
        <v>4544185</v>
      </c>
      <c r="I16" s="4"/>
      <c r="J16" s="4">
        <v>1460307</v>
      </c>
      <c r="K16" s="4">
        <f t="shared" si="9"/>
        <v>1460307</v>
      </c>
      <c r="L16" s="4">
        <f t="shared" si="1"/>
        <v>6004492</v>
      </c>
      <c r="M16" s="4">
        <f t="shared" si="2"/>
        <v>15508</v>
      </c>
      <c r="N16" s="4">
        <v>1000000</v>
      </c>
      <c r="O16" s="4">
        <f t="shared" si="3"/>
        <v>1300000</v>
      </c>
      <c r="P16" s="4">
        <f t="shared" si="4"/>
        <v>15508</v>
      </c>
      <c r="Q16" s="4"/>
      <c r="R16" s="4"/>
      <c r="S16" s="4">
        <f t="shared" si="5"/>
        <v>0</v>
      </c>
      <c r="T16" s="4">
        <f t="shared" si="6"/>
        <v>0</v>
      </c>
      <c r="U16" s="4">
        <f t="shared" si="7"/>
        <v>1000000</v>
      </c>
      <c r="V16" s="12">
        <f>U16-W16-X16-Y16-Z16</f>
        <v>1000000</v>
      </c>
      <c r="W16" s="4"/>
      <c r="X16" s="4"/>
      <c r="Y16" s="4"/>
      <c r="Z16" s="3"/>
      <c r="AA16" s="3" t="s">
        <v>795</v>
      </c>
      <c r="AB16" s="3">
        <v>746000</v>
      </c>
      <c r="AC16" s="418"/>
      <c r="AD16" s="415"/>
      <c r="AE16" s="584"/>
      <c r="AF16" s="415"/>
      <c r="AG16" s="418"/>
      <c r="AH16" s="30"/>
      <c r="AI16" s="247"/>
      <c r="AJ16" s="30"/>
      <c r="AK16" s="30"/>
      <c r="AL16" s="30"/>
      <c r="AM16" s="30"/>
    </row>
    <row r="17" spans="1:39" s="5" customFormat="1" ht="28">
      <c r="A17" s="3">
        <f t="shared" si="8"/>
        <v>12</v>
      </c>
      <c r="B17" s="3">
        <v>1345</v>
      </c>
      <c r="C17" s="3" t="s">
        <v>1356</v>
      </c>
      <c r="D17" s="4">
        <v>1739000</v>
      </c>
      <c r="E17" s="4">
        <v>1739000</v>
      </c>
      <c r="F17" s="4">
        <f t="shared" si="0"/>
        <v>0</v>
      </c>
      <c r="G17" s="4">
        <v>815000</v>
      </c>
      <c r="H17" s="4">
        <v>725760.94</v>
      </c>
      <c r="I17" s="4"/>
      <c r="J17" s="4">
        <v>60680</v>
      </c>
      <c r="K17" s="4">
        <f t="shared" si="9"/>
        <v>60680</v>
      </c>
      <c r="L17" s="4">
        <f t="shared" si="1"/>
        <v>786440.94</v>
      </c>
      <c r="M17" s="4">
        <f t="shared" si="2"/>
        <v>48559.060000000056</v>
      </c>
      <c r="N17" s="4">
        <v>80000</v>
      </c>
      <c r="O17" s="4">
        <f t="shared" si="3"/>
        <v>824000</v>
      </c>
      <c r="P17" s="4">
        <f t="shared" si="4"/>
        <v>28559.060000000056</v>
      </c>
      <c r="Q17" s="4">
        <v>20000</v>
      </c>
      <c r="R17" s="4"/>
      <c r="S17" s="4">
        <f t="shared" si="5"/>
        <v>20000</v>
      </c>
      <c r="T17" s="4">
        <f t="shared" si="6"/>
        <v>0</v>
      </c>
      <c r="U17" s="4">
        <f t="shared" si="7"/>
        <v>80000</v>
      </c>
      <c r="V17" s="12"/>
      <c r="W17" s="4">
        <f t="shared" si="10"/>
        <v>80000</v>
      </c>
      <c r="X17" s="4"/>
      <c r="Y17" s="4"/>
      <c r="Z17" s="3"/>
      <c r="AA17" s="3" t="s">
        <v>1550</v>
      </c>
      <c r="AB17" s="3">
        <v>870000</v>
      </c>
      <c r="AC17" s="418"/>
      <c r="AD17" s="415"/>
      <c r="AE17" s="584"/>
      <c r="AF17" s="415"/>
      <c r="AG17" s="20"/>
      <c r="AH17" s="20"/>
      <c r="AI17" s="30"/>
      <c r="AJ17" s="31"/>
      <c r="AK17" s="31"/>
      <c r="AL17" s="31"/>
      <c r="AM17" s="31"/>
    </row>
    <row r="18" spans="1:39" s="5" customFormat="1" ht="42">
      <c r="A18" s="3">
        <f t="shared" si="8"/>
        <v>13</v>
      </c>
      <c r="B18" s="3">
        <v>1435</v>
      </c>
      <c r="C18" s="42" t="s">
        <v>1275</v>
      </c>
      <c r="D18" s="4">
        <f>30000000-2700000</f>
        <v>27300000</v>
      </c>
      <c r="E18" s="4">
        <v>26300000</v>
      </c>
      <c r="F18" s="4">
        <f t="shared" si="0"/>
        <v>1000000</v>
      </c>
      <c r="G18" s="4">
        <f>21674320+400000+200000</f>
        <v>22274320</v>
      </c>
      <c r="H18" s="4">
        <v>20025245</v>
      </c>
      <c r="I18" s="4"/>
      <c r="J18" s="4">
        <v>2197843</v>
      </c>
      <c r="K18" s="4">
        <f t="shared" si="9"/>
        <v>2197843</v>
      </c>
      <c r="L18" s="4">
        <f t="shared" si="1"/>
        <v>22223088</v>
      </c>
      <c r="M18" s="4">
        <f t="shared" si="2"/>
        <v>51232</v>
      </c>
      <c r="N18" s="4">
        <v>4000000</v>
      </c>
      <c r="O18" s="4">
        <f t="shared" si="3"/>
        <v>1025680</v>
      </c>
      <c r="P18" s="4">
        <f t="shared" si="4"/>
        <v>51232</v>
      </c>
      <c r="Q18" s="4"/>
      <c r="R18" s="4"/>
      <c r="S18" s="4">
        <f t="shared" si="5"/>
        <v>0</v>
      </c>
      <c r="T18" s="4">
        <f t="shared" si="6"/>
        <v>0</v>
      </c>
      <c r="U18" s="4">
        <f t="shared" si="7"/>
        <v>4000000</v>
      </c>
      <c r="V18" s="12">
        <f>3000000-3000000</f>
        <v>0</v>
      </c>
      <c r="W18" s="4">
        <f t="shared" si="10"/>
        <v>4000000</v>
      </c>
      <c r="X18" s="4"/>
      <c r="Y18" s="4"/>
      <c r="Z18" s="3"/>
      <c r="AA18" s="124" t="s">
        <v>1139</v>
      </c>
      <c r="AB18" s="3">
        <v>848500</v>
      </c>
      <c r="AC18" s="418"/>
      <c r="AD18" s="415"/>
      <c r="AE18" s="584"/>
      <c r="AF18" s="415"/>
      <c r="AG18" s="418"/>
      <c r="AH18" s="30"/>
      <c r="AI18" s="247"/>
      <c r="AJ18" s="30"/>
      <c r="AK18" s="30"/>
      <c r="AL18" s="30"/>
      <c r="AM18" s="30"/>
    </row>
    <row r="19" spans="1:39" s="5" customFormat="1" ht="35.15" customHeight="1">
      <c r="A19" s="3">
        <f t="shared" si="8"/>
        <v>14</v>
      </c>
      <c r="B19" s="3">
        <v>1491</v>
      </c>
      <c r="C19" s="3" t="s">
        <v>123</v>
      </c>
      <c r="D19" s="4">
        <f>13700000-6830000</f>
        <v>6870000</v>
      </c>
      <c r="E19" s="4">
        <v>13700000</v>
      </c>
      <c r="F19" s="4">
        <f t="shared" si="0"/>
        <v>-6830000</v>
      </c>
      <c r="G19" s="4">
        <v>6870000</v>
      </c>
      <c r="H19" s="4">
        <v>5602803</v>
      </c>
      <c r="I19" s="4"/>
      <c r="J19" s="4">
        <v>1163977</v>
      </c>
      <c r="K19" s="4">
        <f t="shared" si="9"/>
        <v>1163977</v>
      </c>
      <c r="L19" s="4">
        <f t="shared" si="1"/>
        <v>6766780</v>
      </c>
      <c r="M19" s="4">
        <f t="shared" si="2"/>
        <v>103220</v>
      </c>
      <c r="N19" s="4"/>
      <c r="O19" s="4">
        <f t="shared" si="3"/>
        <v>0</v>
      </c>
      <c r="P19" s="4">
        <f t="shared" si="4"/>
        <v>103220</v>
      </c>
      <c r="Q19" s="4"/>
      <c r="R19" s="4"/>
      <c r="S19" s="4">
        <f t="shared" si="5"/>
        <v>0</v>
      </c>
      <c r="T19" s="4">
        <f t="shared" si="6"/>
        <v>0</v>
      </c>
      <c r="U19" s="4">
        <f t="shared" si="7"/>
        <v>0</v>
      </c>
      <c r="V19" s="12"/>
      <c r="W19" s="4">
        <f t="shared" si="10"/>
        <v>0</v>
      </c>
      <c r="X19" s="4"/>
      <c r="Y19" s="4"/>
      <c r="Z19" s="3"/>
      <c r="AA19" s="3" t="s">
        <v>1354</v>
      </c>
      <c r="AB19" s="3">
        <v>746000</v>
      </c>
      <c r="AC19" s="418"/>
      <c r="AD19" s="415"/>
      <c r="AE19" s="584"/>
      <c r="AF19" s="415"/>
      <c r="AG19" s="418"/>
      <c r="AH19" s="30"/>
      <c r="AI19" s="247"/>
      <c r="AJ19" s="30"/>
      <c r="AK19" s="30"/>
      <c r="AL19" s="30"/>
      <c r="AM19" s="30"/>
    </row>
    <row r="20" spans="1:39" s="5" customFormat="1" ht="35.15" customHeight="1">
      <c r="A20" s="3">
        <f t="shared" si="8"/>
        <v>15</v>
      </c>
      <c r="B20" s="3">
        <v>1504</v>
      </c>
      <c r="C20" s="3" t="s">
        <v>124</v>
      </c>
      <c r="D20" s="4">
        <v>1700000</v>
      </c>
      <c r="E20" s="4">
        <v>1700000</v>
      </c>
      <c r="F20" s="4">
        <f t="shared" si="0"/>
        <v>0</v>
      </c>
      <c r="G20" s="4">
        <v>1400000</v>
      </c>
      <c r="H20" s="4">
        <v>1352205</v>
      </c>
      <c r="I20" s="4"/>
      <c r="J20" s="4">
        <v>37919</v>
      </c>
      <c r="K20" s="4">
        <f t="shared" si="9"/>
        <v>37919</v>
      </c>
      <c r="L20" s="4">
        <f t="shared" si="1"/>
        <v>1390124</v>
      </c>
      <c r="M20" s="4">
        <f t="shared" si="2"/>
        <v>9876</v>
      </c>
      <c r="N20" s="4">
        <v>100000</v>
      </c>
      <c r="O20" s="4">
        <f t="shared" si="3"/>
        <v>200000</v>
      </c>
      <c r="P20" s="4">
        <f t="shared" si="4"/>
        <v>9876</v>
      </c>
      <c r="Q20" s="4"/>
      <c r="R20" s="4"/>
      <c r="S20" s="4">
        <f t="shared" si="5"/>
        <v>0</v>
      </c>
      <c r="T20" s="4">
        <f t="shared" si="6"/>
        <v>0</v>
      </c>
      <c r="U20" s="4">
        <f t="shared" si="7"/>
        <v>100000</v>
      </c>
      <c r="V20" s="12">
        <f>U20-W20-X20-Y20-Z20</f>
        <v>100000</v>
      </c>
      <c r="W20" s="4"/>
      <c r="X20" s="4"/>
      <c r="Y20" s="4"/>
      <c r="Z20" s="3"/>
      <c r="AA20" s="3" t="s">
        <v>1361</v>
      </c>
      <c r="AB20" s="3">
        <v>746000</v>
      </c>
      <c r="AC20" s="418"/>
      <c r="AD20" s="415"/>
      <c r="AE20" s="584"/>
      <c r="AF20" s="415"/>
      <c r="AG20" s="418"/>
      <c r="AH20" s="30"/>
      <c r="AI20" s="247"/>
      <c r="AJ20" s="30"/>
      <c r="AK20" s="30"/>
      <c r="AL20" s="30"/>
      <c r="AM20" s="30"/>
    </row>
    <row r="21" spans="1:39" s="5" customFormat="1" ht="35.15" customHeight="1">
      <c r="A21" s="3">
        <f t="shared" si="8"/>
        <v>16</v>
      </c>
      <c r="B21" s="3">
        <v>1579</v>
      </c>
      <c r="C21" s="3" t="s">
        <v>1089</v>
      </c>
      <c r="D21" s="4">
        <v>170000</v>
      </c>
      <c r="E21" s="4">
        <v>170000</v>
      </c>
      <c r="F21" s="4">
        <f t="shared" si="0"/>
        <v>0</v>
      </c>
      <c r="G21" s="4">
        <v>170000</v>
      </c>
      <c r="H21" s="4">
        <v>145723.28</v>
      </c>
      <c r="I21" s="4"/>
      <c r="J21" s="4">
        <v>918.98</v>
      </c>
      <c r="K21" s="4">
        <f t="shared" si="9"/>
        <v>918.98</v>
      </c>
      <c r="L21" s="4">
        <f t="shared" si="1"/>
        <v>146642.26</v>
      </c>
      <c r="M21" s="4">
        <f t="shared" si="2"/>
        <v>23357.739999999991</v>
      </c>
      <c r="N21" s="4">
        <v>0</v>
      </c>
      <c r="O21" s="4">
        <f t="shared" si="3"/>
        <v>0</v>
      </c>
      <c r="P21" s="4">
        <f t="shared" si="4"/>
        <v>23357.739999999991</v>
      </c>
      <c r="Q21" s="4"/>
      <c r="R21" s="4"/>
      <c r="S21" s="4">
        <f t="shared" si="5"/>
        <v>0</v>
      </c>
      <c r="T21" s="4">
        <f t="shared" si="6"/>
        <v>0</v>
      </c>
      <c r="U21" s="4">
        <f t="shared" si="7"/>
        <v>0</v>
      </c>
      <c r="V21" s="12"/>
      <c r="W21" s="4">
        <f t="shared" si="10"/>
        <v>0</v>
      </c>
      <c r="X21" s="4"/>
      <c r="Y21" s="4"/>
      <c r="Z21" s="3"/>
      <c r="AA21" s="3"/>
      <c r="AB21" s="3">
        <v>870000</v>
      </c>
      <c r="AC21" s="418"/>
      <c r="AD21" s="415"/>
      <c r="AE21" s="584"/>
      <c r="AF21" s="415"/>
      <c r="AG21" s="20"/>
      <c r="AH21" s="20"/>
      <c r="AI21" s="30"/>
      <c r="AJ21" s="31"/>
      <c r="AK21" s="31"/>
      <c r="AL21" s="31"/>
      <c r="AM21" s="31"/>
    </row>
    <row r="22" spans="1:39" s="5" customFormat="1" ht="35.15" customHeight="1">
      <c r="A22" s="3">
        <f t="shared" si="8"/>
        <v>17</v>
      </c>
      <c r="B22" s="3">
        <v>1598</v>
      </c>
      <c r="C22" s="3" t="s">
        <v>104</v>
      </c>
      <c r="D22" s="4">
        <f>414500+35000+140000</f>
        <v>589500</v>
      </c>
      <c r="E22" s="4">
        <v>414500</v>
      </c>
      <c r="F22" s="4">
        <f t="shared" si="0"/>
        <v>175000</v>
      </c>
      <c r="G22" s="4">
        <v>334500</v>
      </c>
      <c r="H22" s="4">
        <v>222879</v>
      </c>
      <c r="I22" s="4"/>
      <c r="J22" s="4">
        <v>57353</v>
      </c>
      <c r="K22" s="4">
        <f t="shared" si="9"/>
        <v>57353</v>
      </c>
      <c r="L22" s="4">
        <f t="shared" si="1"/>
        <v>280232</v>
      </c>
      <c r="M22" s="4">
        <f t="shared" si="2"/>
        <v>134268</v>
      </c>
      <c r="N22" s="4">
        <f>35000+140000</f>
        <v>175000</v>
      </c>
      <c r="O22" s="4">
        <f t="shared" si="3"/>
        <v>0</v>
      </c>
      <c r="P22" s="4">
        <f t="shared" si="4"/>
        <v>54268</v>
      </c>
      <c r="Q22" s="4">
        <v>80000</v>
      </c>
      <c r="R22" s="4"/>
      <c r="S22" s="4">
        <f t="shared" si="5"/>
        <v>80000</v>
      </c>
      <c r="T22" s="4">
        <f t="shared" si="6"/>
        <v>0</v>
      </c>
      <c r="U22" s="4">
        <f t="shared" si="7"/>
        <v>175000</v>
      </c>
      <c r="V22" s="12"/>
      <c r="W22" s="4">
        <f t="shared" si="10"/>
        <v>35000</v>
      </c>
      <c r="X22" s="4"/>
      <c r="Y22" s="4"/>
      <c r="Z22" s="4">
        <v>140000</v>
      </c>
      <c r="AA22" s="3" t="s">
        <v>1362</v>
      </c>
      <c r="AB22" s="3">
        <v>870000</v>
      </c>
      <c r="AC22" s="418"/>
      <c r="AD22" s="415"/>
      <c r="AE22" s="584"/>
      <c r="AF22" s="415"/>
      <c r="AG22" s="20"/>
      <c r="AH22" s="20"/>
      <c r="AI22" s="30"/>
      <c r="AJ22" s="31"/>
      <c r="AK22" s="31"/>
      <c r="AL22" s="31"/>
      <c r="AM22" s="31"/>
    </row>
    <row r="23" spans="1:39" s="5" customFormat="1" ht="35.15" customHeight="1">
      <c r="A23" s="3">
        <f t="shared" si="8"/>
        <v>18</v>
      </c>
      <c r="B23" s="3">
        <v>1629</v>
      </c>
      <c r="C23" s="3" t="s">
        <v>125</v>
      </c>
      <c r="D23" s="4">
        <f>1400000-950000</f>
        <v>450000</v>
      </c>
      <c r="E23" s="4">
        <v>1400000</v>
      </c>
      <c r="F23" s="4">
        <f t="shared" si="0"/>
        <v>-950000</v>
      </c>
      <c r="G23" s="4">
        <v>450000</v>
      </c>
      <c r="H23" s="4">
        <v>349830.63</v>
      </c>
      <c r="I23" s="4"/>
      <c r="J23" s="4"/>
      <c r="K23" s="4">
        <f t="shared" si="9"/>
        <v>0</v>
      </c>
      <c r="L23" s="4">
        <f t="shared" si="1"/>
        <v>349830.63</v>
      </c>
      <c r="M23" s="4">
        <f t="shared" si="2"/>
        <v>100169.37</v>
      </c>
      <c r="N23" s="4">
        <f>500000-400000-100000</f>
        <v>0</v>
      </c>
      <c r="O23" s="4">
        <f t="shared" si="3"/>
        <v>0</v>
      </c>
      <c r="P23" s="4">
        <f t="shared" si="4"/>
        <v>100169.37</v>
      </c>
      <c r="Q23" s="4"/>
      <c r="R23" s="4"/>
      <c r="S23" s="4">
        <f t="shared" si="5"/>
        <v>0</v>
      </c>
      <c r="T23" s="4">
        <f t="shared" si="6"/>
        <v>0</v>
      </c>
      <c r="U23" s="4">
        <f t="shared" si="7"/>
        <v>0</v>
      </c>
      <c r="V23" s="12"/>
      <c r="W23" s="4">
        <f t="shared" si="10"/>
        <v>0</v>
      </c>
      <c r="X23" s="4"/>
      <c r="Y23" s="4"/>
      <c r="Z23" s="3"/>
      <c r="AA23" s="3"/>
      <c r="AB23" s="3">
        <v>746000</v>
      </c>
      <c r="AC23" s="418"/>
      <c r="AD23" s="415"/>
      <c r="AE23" s="584"/>
      <c r="AF23" s="415"/>
      <c r="AG23" s="418"/>
      <c r="AH23" s="30"/>
      <c r="AI23" s="247"/>
      <c r="AJ23" s="30"/>
      <c r="AK23" s="31"/>
      <c r="AL23" s="31"/>
      <c r="AM23" s="31"/>
    </row>
    <row r="24" spans="1:39" s="5" customFormat="1" ht="42">
      <c r="A24" s="3">
        <f t="shared" si="8"/>
        <v>19</v>
      </c>
      <c r="B24" s="3">
        <v>1680</v>
      </c>
      <c r="C24" s="3" t="s">
        <v>126</v>
      </c>
      <c r="D24" s="4">
        <v>950000</v>
      </c>
      <c r="E24" s="4">
        <v>950000</v>
      </c>
      <c r="F24" s="4">
        <f t="shared" si="0"/>
        <v>0</v>
      </c>
      <c r="G24" s="4">
        <v>300000</v>
      </c>
      <c r="H24" s="4">
        <v>88803</v>
      </c>
      <c r="I24" s="4"/>
      <c r="J24" s="4">
        <v>49440</v>
      </c>
      <c r="K24" s="4">
        <f t="shared" si="9"/>
        <v>49440</v>
      </c>
      <c r="L24" s="4">
        <f t="shared" si="1"/>
        <v>138243</v>
      </c>
      <c r="M24" s="4">
        <f t="shared" si="2"/>
        <v>161757</v>
      </c>
      <c r="N24" s="4">
        <f>400000-200000</f>
        <v>200000</v>
      </c>
      <c r="O24" s="4">
        <f t="shared" si="3"/>
        <v>450000</v>
      </c>
      <c r="P24" s="4">
        <f t="shared" si="4"/>
        <v>161757</v>
      </c>
      <c r="Q24" s="4">
        <v>0</v>
      </c>
      <c r="R24" s="4"/>
      <c r="S24" s="4">
        <f t="shared" si="5"/>
        <v>0</v>
      </c>
      <c r="T24" s="4">
        <f t="shared" si="6"/>
        <v>0</v>
      </c>
      <c r="U24" s="4">
        <f t="shared" si="7"/>
        <v>200000</v>
      </c>
      <c r="V24" s="12"/>
      <c r="W24" s="4">
        <f t="shared" si="10"/>
        <v>200000</v>
      </c>
      <c r="X24" s="4"/>
      <c r="Y24" s="4"/>
      <c r="Z24" s="3"/>
      <c r="AA24" s="3" t="s">
        <v>1363</v>
      </c>
      <c r="AB24" s="3">
        <v>746000</v>
      </c>
      <c r="AC24" s="418"/>
      <c r="AD24" s="415"/>
      <c r="AE24" s="584"/>
      <c r="AF24" s="415"/>
      <c r="AG24" s="418"/>
      <c r="AH24" s="30"/>
      <c r="AI24" s="247"/>
      <c r="AJ24" s="30"/>
      <c r="AK24" s="31"/>
      <c r="AL24" s="31"/>
      <c r="AM24" s="31"/>
    </row>
    <row r="25" spans="1:39" s="5" customFormat="1" ht="35.15" customHeight="1">
      <c r="A25" s="3">
        <f t="shared" si="8"/>
        <v>20</v>
      </c>
      <c r="B25" s="3">
        <v>1831</v>
      </c>
      <c r="C25" s="3" t="s">
        <v>240</v>
      </c>
      <c r="D25" s="4">
        <f>166059-20000</f>
        <v>146059</v>
      </c>
      <c r="E25" s="4">
        <v>166059</v>
      </c>
      <c r="F25" s="4">
        <f t="shared" si="0"/>
        <v>-20000</v>
      </c>
      <c r="G25" s="4">
        <v>146059</v>
      </c>
      <c r="H25" s="4">
        <v>38025</v>
      </c>
      <c r="I25" s="4"/>
      <c r="J25" s="4"/>
      <c r="K25" s="4">
        <f t="shared" si="9"/>
        <v>0</v>
      </c>
      <c r="L25" s="4">
        <f t="shared" si="1"/>
        <v>38025</v>
      </c>
      <c r="M25" s="4">
        <f t="shared" si="2"/>
        <v>108034</v>
      </c>
      <c r="N25" s="4"/>
      <c r="O25" s="4">
        <f t="shared" si="3"/>
        <v>0</v>
      </c>
      <c r="P25" s="4">
        <f t="shared" si="4"/>
        <v>108034</v>
      </c>
      <c r="Q25" s="4"/>
      <c r="R25" s="4"/>
      <c r="S25" s="4">
        <f t="shared" si="5"/>
        <v>0</v>
      </c>
      <c r="T25" s="4">
        <f t="shared" si="6"/>
        <v>0</v>
      </c>
      <c r="U25" s="4">
        <f t="shared" si="7"/>
        <v>0</v>
      </c>
      <c r="V25" s="12"/>
      <c r="W25" s="4">
        <f t="shared" si="10"/>
        <v>0</v>
      </c>
      <c r="X25" s="4"/>
      <c r="Y25" s="4"/>
      <c r="Z25" s="3"/>
      <c r="AA25" s="4"/>
      <c r="AB25" s="3">
        <v>870000</v>
      </c>
      <c r="AC25" s="418"/>
      <c r="AD25" s="415"/>
      <c r="AE25" s="584"/>
      <c r="AF25" s="415"/>
      <c r="AG25" s="20"/>
      <c r="AH25" s="20"/>
      <c r="AI25" s="30"/>
      <c r="AJ25" s="31"/>
      <c r="AK25" s="31"/>
      <c r="AL25" s="31"/>
      <c r="AM25" s="31"/>
    </row>
    <row r="26" spans="1:39" s="5" customFormat="1" ht="35.15" customHeight="1">
      <c r="A26" s="3">
        <f t="shared" si="8"/>
        <v>21</v>
      </c>
      <c r="B26" s="3">
        <v>1861</v>
      </c>
      <c r="C26" s="3" t="s">
        <v>241</v>
      </c>
      <c r="D26" s="4">
        <v>270000</v>
      </c>
      <c r="E26" s="4">
        <v>270000</v>
      </c>
      <c r="F26" s="4">
        <f t="shared" si="0"/>
        <v>0</v>
      </c>
      <c r="G26" s="4">
        <v>270000</v>
      </c>
      <c r="H26" s="4">
        <v>138589.71</v>
      </c>
      <c r="I26" s="4"/>
      <c r="J26" s="4">
        <v>131407.82</v>
      </c>
      <c r="K26" s="4">
        <f t="shared" si="9"/>
        <v>131407.82</v>
      </c>
      <c r="L26" s="4">
        <f t="shared" si="1"/>
        <v>269997.53000000003</v>
      </c>
      <c r="M26" s="4">
        <f t="shared" si="2"/>
        <v>2.4699999999720603</v>
      </c>
      <c r="N26" s="4"/>
      <c r="O26" s="4">
        <f t="shared" si="3"/>
        <v>0</v>
      </c>
      <c r="P26" s="4">
        <f t="shared" si="4"/>
        <v>2.4699999999720603</v>
      </c>
      <c r="Q26" s="4"/>
      <c r="R26" s="4"/>
      <c r="S26" s="4">
        <f t="shared" si="5"/>
        <v>0</v>
      </c>
      <c r="T26" s="4">
        <f t="shared" si="6"/>
        <v>0</v>
      </c>
      <c r="U26" s="4">
        <f t="shared" si="7"/>
        <v>0</v>
      </c>
      <c r="V26" s="12"/>
      <c r="W26" s="4">
        <f t="shared" si="10"/>
        <v>0</v>
      </c>
      <c r="X26" s="4"/>
      <c r="Y26" s="4"/>
      <c r="Z26" s="3"/>
      <c r="AA26" s="124"/>
      <c r="AB26" s="3">
        <v>714000</v>
      </c>
      <c r="AC26" s="418"/>
      <c r="AD26" s="415"/>
      <c r="AE26" s="584"/>
      <c r="AF26" s="415"/>
      <c r="AG26" s="418"/>
      <c r="AH26" s="30"/>
      <c r="AI26" s="247"/>
      <c r="AJ26" s="30"/>
      <c r="AK26" s="31"/>
      <c r="AL26" s="31"/>
      <c r="AM26" s="31"/>
    </row>
    <row r="27" spans="1:39" s="5" customFormat="1" ht="35.15" customHeight="1">
      <c r="A27" s="3">
        <f t="shared" si="8"/>
        <v>22</v>
      </c>
      <c r="B27" s="3">
        <v>1866</v>
      </c>
      <c r="C27" s="3" t="s">
        <v>245</v>
      </c>
      <c r="D27" s="4">
        <v>300000</v>
      </c>
      <c r="E27" s="4">
        <v>300000</v>
      </c>
      <c r="F27" s="4">
        <f t="shared" si="0"/>
        <v>0</v>
      </c>
      <c r="G27" s="4">
        <v>150000</v>
      </c>
      <c r="H27" s="4">
        <v>94624</v>
      </c>
      <c r="I27" s="4"/>
      <c r="J27" s="4">
        <v>51739</v>
      </c>
      <c r="K27" s="4">
        <f t="shared" si="9"/>
        <v>51739</v>
      </c>
      <c r="L27" s="4">
        <f t="shared" si="1"/>
        <v>146363</v>
      </c>
      <c r="M27" s="4">
        <f t="shared" si="2"/>
        <v>3637</v>
      </c>
      <c r="N27" s="4">
        <v>75000</v>
      </c>
      <c r="O27" s="4">
        <f t="shared" si="3"/>
        <v>75000</v>
      </c>
      <c r="P27" s="4">
        <f t="shared" si="4"/>
        <v>3637</v>
      </c>
      <c r="Q27" s="4"/>
      <c r="R27" s="4"/>
      <c r="S27" s="4">
        <f t="shared" si="5"/>
        <v>0</v>
      </c>
      <c r="T27" s="4">
        <f t="shared" si="6"/>
        <v>0</v>
      </c>
      <c r="U27" s="4">
        <f t="shared" si="7"/>
        <v>75000</v>
      </c>
      <c r="V27" s="12"/>
      <c r="W27" s="4">
        <f t="shared" si="10"/>
        <v>75000</v>
      </c>
      <c r="X27" s="4"/>
      <c r="Y27" s="4"/>
      <c r="Z27" s="3"/>
      <c r="AA27" s="124" t="s">
        <v>797</v>
      </c>
      <c r="AB27" s="3">
        <v>870000</v>
      </c>
      <c r="AC27" s="418"/>
      <c r="AD27" s="415"/>
      <c r="AE27" s="584"/>
      <c r="AF27" s="415"/>
      <c r="AG27" s="20"/>
      <c r="AH27" s="20"/>
      <c r="AI27" s="30"/>
      <c r="AJ27" s="31"/>
      <c r="AK27" s="31"/>
      <c r="AL27" s="31"/>
      <c r="AM27" s="31"/>
    </row>
    <row r="28" spans="1:39" s="5" customFormat="1" ht="35.15" customHeight="1">
      <c r="A28" s="3">
        <f t="shared" si="8"/>
        <v>23</v>
      </c>
      <c r="B28" s="3">
        <v>1899</v>
      </c>
      <c r="C28" s="3" t="s">
        <v>274</v>
      </c>
      <c r="D28" s="4">
        <f>1000000-500000</f>
        <v>500000</v>
      </c>
      <c r="E28" s="4">
        <v>500000</v>
      </c>
      <c r="F28" s="4">
        <f t="shared" si="0"/>
        <v>0</v>
      </c>
      <c r="G28" s="4">
        <v>170000</v>
      </c>
      <c r="H28" s="4">
        <v>169983.45</v>
      </c>
      <c r="I28" s="4"/>
      <c r="J28" s="4"/>
      <c r="K28" s="4">
        <f t="shared" si="9"/>
        <v>0</v>
      </c>
      <c r="L28" s="4">
        <f t="shared" si="1"/>
        <v>169983.45</v>
      </c>
      <c r="M28" s="4">
        <f t="shared" si="2"/>
        <v>16.549999999988358</v>
      </c>
      <c r="N28" s="4">
        <f>500000-250000+50000</f>
        <v>300000</v>
      </c>
      <c r="O28" s="4">
        <f t="shared" si="3"/>
        <v>30000</v>
      </c>
      <c r="P28" s="4">
        <f t="shared" si="4"/>
        <v>16.549999999988358</v>
      </c>
      <c r="Q28" s="4"/>
      <c r="R28" s="4"/>
      <c r="S28" s="4">
        <f t="shared" si="5"/>
        <v>0</v>
      </c>
      <c r="T28" s="4">
        <f t="shared" si="6"/>
        <v>0</v>
      </c>
      <c r="U28" s="4">
        <f t="shared" si="7"/>
        <v>300000</v>
      </c>
      <c r="V28" s="12"/>
      <c r="W28" s="4">
        <f t="shared" si="10"/>
        <v>300000</v>
      </c>
      <c r="X28" s="4"/>
      <c r="Y28" s="4"/>
      <c r="Z28" s="3"/>
      <c r="AA28" s="3" t="s">
        <v>798</v>
      </c>
      <c r="AB28" s="3">
        <v>870000</v>
      </c>
      <c r="AC28" s="418"/>
      <c r="AD28" s="415"/>
      <c r="AE28" s="584"/>
      <c r="AF28" s="415"/>
      <c r="AG28" s="418"/>
      <c r="AH28" s="30"/>
      <c r="AI28" s="247"/>
      <c r="AJ28" s="30"/>
      <c r="AK28" s="31"/>
      <c r="AL28" s="31"/>
      <c r="AM28" s="31"/>
    </row>
    <row r="29" spans="1:39" s="5" customFormat="1" ht="35.15" customHeight="1">
      <c r="A29" s="3">
        <f>A28+1</f>
        <v>24</v>
      </c>
      <c r="B29" s="3">
        <v>1922</v>
      </c>
      <c r="C29" s="3" t="s">
        <v>242</v>
      </c>
      <c r="D29" s="4">
        <v>330000</v>
      </c>
      <c r="E29" s="4">
        <v>330000</v>
      </c>
      <c r="F29" s="4">
        <f t="shared" si="0"/>
        <v>0</v>
      </c>
      <c r="G29" s="4">
        <v>150000</v>
      </c>
      <c r="H29" s="4">
        <v>22669</v>
      </c>
      <c r="I29" s="4"/>
      <c r="J29" s="4">
        <v>0</v>
      </c>
      <c r="K29" s="4">
        <f t="shared" si="9"/>
        <v>0</v>
      </c>
      <c r="L29" s="4">
        <f t="shared" si="1"/>
        <v>22669</v>
      </c>
      <c r="M29" s="4">
        <f t="shared" si="2"/>
        <v>177331</v>
      </c>
      <c r="N29" s="4"/>
      <c r="O29" s="4">
        <f t="shared" si="3"/>
        <v>130000</v>
      </c>
      <c r="P29" s="4">
        <f t="shared" si="4"/>
        <v>127331</v>
      </c>
      <c r="Q29" s="4">
        <v>50000</v>
      </c>
      <c r="R29" s="4"/>
      <c r="S29" s="4">
        <f t="shared" si="5"/>
        <v>50000</v>
      </c>
      <c r="T29" s="4">
        <f t="shared" si="6"/>
        <v>0</v>
      </c>
      <c r="U29" s="4">
        <f t="shared" si="7"/>
        <v>0</v>
      </c>
      <c r="V29" s="12"/>
      <c r="W29" s="4">
        <f t="shared" si="10"/>
        <v>0</v>
      </c>
      <c r="X29" s="4"/>
      <c r="Y29" s="4"/>
      <c r="Z29" s="3"/>
      <c r="AA29" s="4"/>
      <c r="AB29" s="3">
        <v>870000</v>
      </c>
      <c r="AC29" s="418"/>
      <c r="AD29" s="415"/>
      <c r="AE29" s="584"/>
      <c r="AF29" s="415"/>
      <c r="AG29" s="20"/>
      <c r="AH29" s="20"/>
      <c r="AI29" s="30"/>
      <c r="AJ29" s="31"/>
      <c r="AK29" s="31"/>
      <c r="AL29" s="31"/>
      <c r="AM29" s="31"/>
    </row>
    <row r="30" spans="1:39" s="5" customFormat="1" ht="35.15" customHeight="1">
      <c r="A30" s="3">
        <f t="shared" si="8"/>
        <v>25</v>
      </c>
      <c r="B30" s="3">
        <v>1971</v>
      </c>
      <c r="C30" s="3" t="s">
        <v>275</v>
      </c>
      <c r="D30" s="4">
        <v>500000</v>
      </c>
      <c r="E30" s="4">
        <v>2500000</v>
      </c>
      <c r="F30" s="4">
        <f t="shared" si="0"/>
        <v>-2000000</v>
      </c>
      <c r="G30" s="4">
        <v>500000</v>
      </c>
      <c r="H30" s="4">
        <v>11700</v>
      </c>
      <c r="I30" s="4"/>
      <c r="J30" s="4">
        <v>175849.65</v>
      </c>
      <c r="K30" s="4">
        <f t="shared" si="9"/>
        <v>175849.65</v>
      </c>
      <c r="L30" s="4">
        <f t="shared" si="1"/>
        <v>187549.65</v>
      </c>
      <c r="M30" s="4">
        <f t="shared" si="2"/>
        <v>312450.34999999998</v>
      </c>
      <c r="N30" s="4"/>
      <c r="O30" s="4">
        <f t="shared" si="3"/>
        <v>0</v>
      </c>
      <c r="P30" s="4">
        <f t="shared" si="4"/>
        <v>312450.34999999998</v>
      </c>
      <c r="Q30" s="4"/>
      <c r="R30" s="4"/>
      <c r="S30" s="4">
        <f t="shared" si="5"/>
        <v>0</v>
      </c>
      <c r="T30" s="4">
        <f t="shared" si="6"/>
        <v>0</v>
      </c>
      <c r="U30" s="4">
        <f t="shared" si="7"/>
        <v>0</v>
      </c>
      <c r="V30" s="12"/>
      <c r="W30" s="4">
        <f t="shared" si="10"/>
        <v>0</v>
      </c>
      <c r="X30" s="4"/>
      <c r="Y30" s="4"/>
      <c r="Z30" s="3"/>
      <c r="AA30" s="4"/>
      <c r="AB30" s="3">
        <v>746000</v>
      </c>
      <c r="AC30" s="418"/>
      <c r="AD30" s="415"/>
      <c r="AE30" s="584"/>
      <c r="AF30" s="415"/>
      <c r="AG30" s="418"/>
      <c r="AH30" s="30"/>
      <c r="AI30" s="247"/>
      <c r="AJ30" s="30"/>
      <c r="AK30" s="31"/>
      <c r="AL30" s="31"/>
      <c r="AM30" s="31"/>
    </row>
    <row r="31" spans="1:39" s="5" customFormat="1" ht="42">
      <c r="A31" s="3">
        <f t="shared" si="8"/>
        <v>26</v>
      </c>
      <c r="B31" s="3">
        <v>1973</v>
      </c>
      <c r="C31" s="3" t="s">
        <v>276</v>
      </c>
      <c r="D31" s="4">
        <v>1800000</v>
      </c>
      <c r="E31" s="4">
        <v>1800000</v>
      </c>
      <c r="F31" s="4">
        <f t="shared" si="0"/>
        <v>0</v>
      </c>
      <c r="G31" s="4">
        <v>900000</v>
      </c>
      <c r="H31" s="4">
        <v>239713.26</v>
      </c>
      <c r="I31" s="4"/>
      <c r="J31" s="4">
        <v>30771</v>
      </c>
      <c r="K31" s="4">
        <f t="shared" si="9"/>
        <v>30771</v>
      </c>
      <c r="L31" s="4">
        <f t="shared" si="1"/>
        <v>270484.26</v>
      </c>
      <c r="M31" s="4">
        <f t="shared" si="2"/>
        <v>629515.74</v>
      </c>
      <c r="N31" s="4">
        <f>300000-200000</f>
        <v>100000</v>
      </c>
      <c r="O31" s="4">
        <f t="shared" si="3"/>
        <v>800000</v>
      </c>
      <c r="P31" s="4">
        <f t="shared" si="4"/>
        <v>629515.74</v>
      </c>
      <c r="Q31" s="4"/>
      <c r="R31" s="4"/>
      <c r="S31" s="4">
        <f t="shared" si="5"/>
        <v>0</v>
      </c>
      <c r="T31" s="4">
        <f t="shared" si="6"/>
        <v>0</v>
      </c>
      <c r="U31" s="4">
        <f t="shared" si="7"/>
        <v>100000</v>
      </c>
      <c r="V31" s="12"/>
      <c r="W31" s="4">
        <f t="shared" si="10"/>
        <v>100000</v>
      </c>
      <c r="X31" s="4"/>
      <c r="Y31" s="4"/>
      <c r="Z31" s="3"/>
      <c r="AA31" s="3" t="s">
        <v>1364</v>
      </c>
      <c r="AB31" s="3">
        <v>742000</v>
      </c>
      <c r="AC31" s="418"/>
      <c r="AD31" s="415"/>
      <c r="AE31" s="584"/>
      <c r="AF31" s="415"/>
      <c r="AG31" s="418"/>
      <c r="AH31" s="30"/>
      <c r="AI31" s="247"/>
      <c r="AJ31" s="30"/>
      <c r="AK31" s="31"/>
      <c r="AL31" s="31"/>
      <c r="AM31" s="31"/>
    </row>
    <row r="32" spans="1:39" s="5" customFormat="1" ht="35.15" customHeight="1">
      <c r="A32" s="3">
        <f t="shared" si="8"/>
        <v>27</v>
      </c>
      <c r="B32" s="3">
        <v>1974</v>
      </c>
      <c r="C32" s="3" t="s">
        <v>799</v>
      </c>
      <c r="D32" s="4">
        <f>500000-400000-40000</f>
        <v>60000</v>
      </c>
      <c r="E32" s="4">
        <v>500000</v>
      </c>
      <c r="F32" s="4">
        <f t="shared" si="0"/>
        <v>-440000</v>
      </c>
      <c r="G32" s="4">
        <v>100000</v>
      </c>
      <c r="H32" s="4">
        <v>45565.72</v>
      </c>
      <c r="I32" s="4"/>
      <c r="J32" s="4">
        <v>9977.16</v>
      </c>
      <c r="K32" s="4">
        <f t="shared" si="9"/>
        <v>9977.16</v>
      </c>
      <c r="L32" s="4">
        <f t="shared" si="1"/>
        <v>55542.880000000005</v>
      </c>
      <c r="M32" s="4">
        <f>P32+S32-40000</f>
        <v>4457.1199999999953</v>
      </c>
      <c r="N32" s="4"/>
      <c r="O32" s="4">
        <f t="shared" si="3"/>
        <v>0</v>
      </c>
      <c r="P32" s="4">
        <f t="shared" si="4"/>
        <v>44457.119999999995</v>
      </c>
      <c r="Q32" s="4"/>
      <c r="R32" s="4"/>
      <c r="S32" s="4">
        <f t="shared" si="5"/>
        <v>0</v>
      </c>
      <c r="T32" s="4">
        <f t="shared" si="6"/>
        <v>40000</v>
      </c>
      <c r="U32" s="4">
        <f t="shared" si="7"/>
        <v>-40000</v>
      </c>
      <c r="V32" s="12"/>
      <c r="W32" s="4">
        <f t="shared" si="10"/>
        <v>-40000</v>
      </c>
      <c r="X32" s="4"/>
      <c r="Y32" s="4"/>
      <c r="Z32" s="3"/>
      <c r="AA32" s="4"/>
      <c r="AB32" s="3">
        <v>746000</v>
      </c>
      <c r="AC32" s="418"/>
      <c r="AD32" s="415"/>
      <c r="AE32" s="584"/>
      <c r="AF32" s="415"/>
      <c r="AG32" s="418"/>
      <c r="AH32" s="30"/>
      <c r="AI32" s="247"/>
      <c r="AJ32" s="30"/>
      <c r="AK32" s="31"/>
      <c r="AL32" s="31"/>
      <c r="AM32" s="31"/>
    </row>
    <row r="33" spans="1:39" s="5" customFormat="1" ht="35.15" customHeight="1">
      <c r="A33" s="3">
        <f t="shared" si="8"/>
        <v>28</v>
      </c>
      <c r="B33" s="3">
        <v>1989</v>
      </c>
      <c r="C33" s="3" t="s">
        <v>1357</v>
      </c>
      <c r="D33" s="4">
        <v>860000</v>
      </c>
      <c r="E33" s="4">
        <v>860000</v>
      </c>
      <c r="F33" s="4">
        <f t="shared" si="0"/>
        <v>0</v>
      </c>
      <c r="G33" s="4">
        <v>505000</v>
      </c>
      <c r="H33" s="4">
        <v>0</v>
      </c>
      <c r="I33" s="4"/>
      <c r="J33" s="4">
        <v>501538.51</v>
      </c>
      <c r="K33" s="4">
        <f t="shared" si="9"/>
        <v>501538.51</v>
      </c>
      <c r="L33" s="4">
        <f t="shared" si="1"/>
        <v>501538.51</v>
      </c>
      <c r="M33" s="4">
        <f t="shared" si="2"/>
        <v>3461.4899999999907</v>
      </c>
      <c r="N33" s="4">
        <v>355000</v>
      </c>
      <c r="O33" s="4">
        <f t="shared" si="3"/>
        <v>0</v>
      </c>
      <c r="P33" s="4">
        <f t="shared" si="4"/>
        <v>3461.4899999999907</v>
      </c>
      <c r="Q33" s="4"/>
      <c r="R33" s="4"/>
      <c r="S33" s="4">
        <f t="shared" si="5"/>
        <v>0</v>
      </c>
      <c r="T33" s="4">
        <f t="shared" si="6"/>
        <v>0</v>
      </c>
      <c r="U33" s="4">
        <f t="shared" si="7"/>
        <v>355000</v>
      </c>
      <c r="V33" s="12">
        <f>U33-W33-X33-Y33-Z33</f>
        <v>355000</v>
      </c>
      <c r="W33" s="4"/>
      <c r="X33" s="4"/>
      <c r="Y33" s="4"/>
      <c r="Z33" s="3"/>
      <c r="AA33" s="124" t="s">
        <v>801</v>
      </c>
      <c r="AB33" s="3">
        <v>746000</v>
      </c>
      <c r="AC33" s="418"/>
      <c r="AD33" s="415"/>
      <c r="AE33" s="584"/>
      <c r="AF33" s="415"/>
      <c r="AG33" s="418"/>
      <c r="AH33" s="30"/>
      <c r="AI33" s="247"/>
      <c r="AJ33" s="30"/>
      <c r="AK33" s="31"/>
      <c r="AL33" s="31"/>
      <c r="AM33" s="31"/>
    </row>
    <row r="34" spans="1:39" s="5" customFormat="1" ht="42">
      <c r="A34" s="3">
        <f t="shared" si="8"/>
        <v>29</v>
      </c>
      <c r="B34" s="3">
        <v>1998</v>
      </c>
      <c r="C34" s="3" t="s">
        <v>517</v>
      </c>
      <c r="D34" s="4">
        <v>4630000</v>
      </c>
      <c r="E34" s="4">
        <v>4630000</v>
      </c>
      <c r="F34" s="4">
        <f t="shared" si="0"/>
        <v>0</v>
      </c>
      <c r="G34" s="4">
        <v>0</v>
      </c>
      <c r="H34" s="4">
        <v>0</v>
      </c>
      <c r="I34" s="4"/>
      <c r="J34" s="4"/>
      <c r="K34" s="4">
        <f t="shared" si="9"/>
        <v>0</v>
      </c>
      <c r="L34" s="4">
        <f t="shared" si="1"/>
        <v>0</v>
      </c>
      <c r="M34" s="4">
        <f t="shared" si="2"/>
        <v>0</v>
      </c>
      <c r="N34" s="4">
        <v>2000000</v>
      </c>
      <c r="O34" s="4">
        <f t="shared" si="3"/>
        <v>2630000</v>
      </c>
      <c r="P34" s="4">
        <f t="shared" si="4"/>
        <v>0</v>
      </c>
      <c r="Q34" s="4"/>
      <c r="R34" s="4"/>
      <c r="S34" s="4">
        <f t="shared" si="5"/>
        <v>0</v>
      </c>
      <c r="T34" s="4">
        <f t="shared" si="6"/>
        <v>0</v>
      </c>
      <c r="U34" s="4">
        <f t="shared" si="7"/>
        <v>2000000</v>
      </c>
      <c r="V34" s="12">
        <f>700000-400000</f>
        <v>300000</v>
      </c>
      <c r="W34" s="4">
        <f t="shared" si="10"/>
        <v>700000</v>
      </c>
      <c r="X34" s="4"/>
      <c r="Y34" s="4"/>
      <c r="Z34" s="4">
        <v>1000000</v>
      </c>
      <c r="AA34" s="124" t="s">
        <v>1365</v>
      </c>
      <c r="AB34" s="3">
        <v>870000</v>
      </c>
      <c r="AC34" s="418"/>
      <c r="AD34" s="415"/>
      <c r="AE34" s="584"/>
      <c r="AF34" s="415"/>
      <c r="AG34" s="20"/>
      <c r="AH34" s="20"/>
      <c r="AI34" s="30"/>
      <c r="AJ34" s="31"/>
      <c r="AK34" s="31"/>
      <c r="AL34" s="31"/>
      <c r="AM34" s="31"/>
    </row>
    <row r="35" spans="1:39" s="5" customFormat="1" ht="35.15" customHeight="1">
      <c r="A35" s="3">
        <f t="shared" si="8"/>
        <v>30</v>
      </c>
      <c r="B35" s="3">
        <v>2035</v>
      </c>
      <c r="C35" s="3" t="s">
        <v>363</v>
      </c>
      <c r="D35" s="4">
        <v>953000</v>
      </c>
      <c r="E35" s="4">
        <v>953000</v>
      </c>
      <c r="F35" s="4">
        <f t="shared" si="0"/>
        <v>0</v>
      </c>
      <c r="G35" s="4">
        <v>953000</v>
      </c>
      <c r="H35" s="4">
        <v>0</v>
      </c>
      <c r="I35" s="4"/>
      <c r="J35" s="4">
        <v>647934.81000000006</v>
      </c>
      <c r="K35" s="4">
        <f t="shared" si="9"/>
        <v>647934.81000000006</v>
      </c>
      <c r="L35" s="4">
        <f t="shared" si="1"/>
        <v>647934.81000000006</v>
      </c>
      <c r="M35" s="4">
        <f t="shared" si="2"/>
        <v>305065.18999999994</v>
      </c>
      <c r="N35" s="4"/>
      <c r="O35" s="4">
        <f t="shared" si="3"/>
        <v>0</v>
      </c>
      <c r="P35" s="4">
        <f t="shared" si="4"/>
        <v>305065.18999999994</v>
      </c>
      <c r="Q35" s="4"/>
      <c r="R35" s="4"/>
      <c r="S35" s="4">
        <f t="shared" si="5"/>
        <v>0</v>
      </c>
      <c r="T35" s="4">
        <f t="shared" si="6"/>
        <v>0</v>
      </c>
      <c r="U35" s="4">
        <f t="shared" si="7"/>
        <v>0</v>
      </c>
      <c r="V35" s="12"/>
      <c r="W35" s="4">
        <f t="shared" si="10"/>
        <v>0</v>
      </c>
      <c r="X35" s="4"/>
      <c r="Y35" s="4"/>
      <c r="Z35" s="3"/>
      <c r="AA35" s="3"/>
      <c r="AB35" s="3">
        <v>746000</v>
      </c>
      <c r="AC35" s="418"/>
      <c r="AD35" s="415"/>
      <c r="AE35" s="584"/>
      <c r="AF35" s="415"/>
      <c r="AG35" s="418"/>
      <c r="AH35" s="30"/>
      <c r="AI35" s="247"/>
      <c r="AJ35" s="30"/>
      <c r="AK35" s="30"/>
      <c r="AL35" s="30"/>
      <c r="AM35" s="30"/>
    </row>
    <row r="36" spans="1:39" s="5" customFormat="1" ht="42">
      <c r="A36" s="3">
        <f t="shared" si="8"/>
        <v>31</v>
      </c>
      <c r="B36" s="3">
        <v>2036</v>
      </c>
      <c r="C36" s="3" t="s">
        <v>802</v>
      </c>
      <c r="D36" s="4">
        <v>1120000</v>
      </c>
      <c r="E36" s="4">
        <v>950000</v>
      </c>
      <c r="F36" s="4">
        <f t="shared" si="0"/>
        <v>170000</v>
      </c>
      <c r="G36" s="4">
        <v>500000</v>
      </c>
      <c r="H36" s="4">
        <v>0</v>
      </c>
      <c r="I36" s="4">
        <v>474201</v>
      </c>
      <c r="J36" s="4">
        <v>25798.5</v>
      </c>
      <c r="K36" s="4">
        <f t="shared" si="9"/>
        <v>499999.5</v>
      </c>
      <c r="L36" s="4">
        <f t="shared" si="1"/>
        <v>499999.5</v>
      </c>
      <c r="M36" s="4">
        <f t="shared" si="2"/>
        <v>0.5</v>
      </c>
      <c r="N36" s="4">
        <v>620000</v>
      </c>
      <c r="O36" s="4">
        <f t="shared" si="3"/>
        <v>0</v>
      </c>
      <c r="P36" s="4">
        <f t="shared" si="4"/>
        <v>0.5</v>
      </c>
      <c r="Q36" s="4"/>
      <c r="R36" s="4"/>
      <c r="S36" s="4">
        <f t="shared" si="5"/>
        <v>0</v>
      </c>
      <c r="T36" s="4">
        <f t="shared" si="6"/>
        <v>0</v>
      </c>
      <c r="U36" s="4">
        <f t="shared" si="7"/>
        <v>620000</v>
      </c>
      <c r="V36" s="12">
        <f>U36-W36-X36-Y36-Z36</f>
        <v>620000</v>
      </c>
      <c r="W36" s="4"/>
      <c r="X36" s="4"/>
      <c r="Y36" s="4"/>
      <c r="Z36" s="3"/>
      <c r="AA36" s="3" t="s">
        <v>1140</v>
      </c>
      <c r="AB36" s="3">
        <v>810000</v>
      </c>
      <c r="AC36" s="418"/>
      <c r="AD36" s="415"/>
      <c r="AE36" s="584"/>
      <c r="AF36" s="415"/>
      <c r="AG36" s="418"/>
      <c r="AH36" s="30"/>
      <c r="AI36" s="247"/>
      <c r="AJ36" s="30"/>
      <c r="AK36" s="30"/>
      <c r="AL36" s="30"/>
      <c r="AM36" s="30"/>
    </row>
    <row r="37" spans="1:39" s="5" customFormat="1" ht="42">
      <c r="A37" s="3">
        <f t="shared" si="8"/>
        <v>32</v>
      </c>
      <c r="B37" s="3">
        <v>2037</v>
      </c>
      <c r="C37" s="3" t="s">
        <v>1276</v>
      </c>
      <c r="D37" s="4">
        <v>5000000</v>
      </c>
      <c r="E37" s="4">
        <v>5000000</v>
      </c>
      <c r="F37" s="4">
        <f t="shared" si="0"/>
        <v>0</v>
      </c>
      <c r="G37" s="4">
        <v>500000</v>
      </c>
      <c r="H37" s="4">
        <v>7020</v>
      </c>
      <c r="I37" s="4"/>
      <c r="J37" s="4">
        <v>492980</v>
      </c>
      <c r="K37" s="4">
        <f t="shared" si="9"/>
        <v>492980</v>
      </c>
      <c r="L37" s="4">
        <f t="shared" si="1"/>
        <v>500000</v>
      </c>
      <c r="M37" s="4">
        <f t="shared" si="2"/>
        <v>0</v>
      </c>
      <c r="N37" s="4">
        <f>1000000-500000</f>
        <v>500000</v>
      </c>
      <c r="O37" s="4">
        <f t="shared" si="3"/>
        <v>4000000</v>
      </c>
      <c r="P37" s="4">
        <f t="shared" si="4"/>
        <v>0</v>
      </c>
      <c r="Q37" s="4">
        <v>0</v>
      </c>
      <c r="R37" s="4"/>
      <c r="S37" s="4">
        <f t="shared" si="5"/>
        <v>0</v>
      </c>
      <c r="T37" s="4">
        <f t="shared" si="6"/>
        <v>0</v>
      </c>
      <c r="U37" s="4">
        <f t="shared" si="7"/>
        <v>500000</v>
      </c>
      <c r="V37" s="12">
        <f>U37-W37-X37-Y37-Z37</f>
        <v>500000</v>
      </c>
      <c r="W37" s="4"/>
      <c r="X37" s="4"/>
      <c r="Y37" s="4"/>
      <c r="Z37" s="3"/>
      <c r="AA37" s="3" t="s">
        <v>804</v>
      </c>
      <c r="AB37" s="3">
        <v>870000</v>
      </c>
      <c r="AC37" s="418"/>
      <c r="AD37" s="415"/>
      <c r="AE37" s="584"/>
      <c r="AF37" s="415"/>
      <c r="AG37" s="418"/>
      <c r="AH37" s="30"/>
      <c r="AI37" s="247"/>
      <c r="AJ37" s="30"/>
      <c r="AK37" s="31"/>
      <c r="AL37" s="31"/>
      <c r="AM37" s="31"/>
    </row>
    <row r="38" spans="1:39" s="5" customFormat="1" ht="56">
      <c r="A38" s="3">
        <f t="shared" si="8"/>
        <v>33</v>
      </c>
      <c r="B38" s="3">
        <v>2038</v>
      </c>
      <c r="C38" s="3" t="s">
        <v>805</v>
      </c>
      <c r="D38" s="4">
        <f>4000000-1500000-250000</f>
        <v>2250000</v>
      </c>
      <c r="E38" s="4">
        <v>1500000</v>
      </c>
      <c r="F38" s="4">
        <f t="shared" si="0"/>
        <v>750000</v>
      </c>
      <c r="G38" s="4">
        <f>800000+700000</f>
        <v>1500000</v>
      </c>
      <c r="H38" s="4">
        <v>88254</v>
      </c>
      <c r="I38" s="4"/>
      <c r="J38" s="4">
        <v>1366897</v>
      </c>
      <c r="K38" s="4">
        <f t="shared" si="9"/>
        <v>1366897</v>
      </c>
      <c r="L38" s="4">
        <f t="shared" si="1"/>
        <v>1455151</v>
      </c>
      <c r="M38" s="4">
        <f t="shared" si="2"/>
        <v>44849</v>
      </c>
      <c r="N38" s="4">
        <f>2500000-1000000-750000</f>
        <v>750000</v>
      </c>
      <c r="O38" s="4">
        <f t="shared" si="3"/>
        <v>0</v>
      </c>
      <c r="P38" s="4">
        <f t="shared" si="4"/>
        <v>44849</v>
      </c>
      <c r="Q38" s="4"/>
      <c r="R38" s="4"/>
      <c r="S38" s="4">
        <f t="shared" si="5"/>
        <v>0</v>
      </c>
      <c r="T38" s="4">
        <f t="shared" si="6"/>
        <v>0</v>
      </c>
      <c r="U38" s="4">
        <f t="shared" si="7"/>
        <v>750000</v>
      </c>
      <c r="V38" s="12">
        <f>U38-W38-X38-Y38-Z38</f>
        <v>750000</v>
      </c>
      <c r="W38" s="4"/>
      <c r="X38" s="4"/>
      <c r="Y38" s="4"/>
      <c r="Z38" s="3"/>
      <c r="AA38" s="3" t="s">
        <v>1366</v>
      </c>
      <c r="AB38" s="3">
        <v>810000</v>
      </c>
      <c r="AC38" s="418"/>
      <c r="AD38" s="415"/>
      <c r="AE38" s="584"/>
      <c r="AF38" s="415"/>
      <c r="AG38" s="418"/>
      <c r="AH38" s="30"/>
      <c r="AI38" s="247"/>
      <c r="AJ38" s="30"/>
      <c r="AK38" s="31"/>
      <c r="AL38" s="31"/>
      <c r="AM38" s="31"/>
    </row>
    <row r="39" spans="1:39" s="5" customFormat="1" ht="35.15" customHeight="1">
      <c r="A39" s="3">
        <f t="shared" si="8"/>
        <v>34</v>
      </c>
      <c r="B39" s="3">
        <v>2039</v>
      </c>
      <c r="C39" s="3" t="s">
        <v>367</v>
      </c>
      <c r="D39" s="4">
        <v>285000</v>
      </c>
      <c r="E39" s="4">
        <v>285000</v>
      </c>
      <c r="F39" s="4">
        <f t="shared" si="0"/>
        <v>0</v>
      </c>
      <c r="G39" s="4">
        <v>285000</v>
      </c>
      <c r="H39" s="4">
        <v>0</v>
      </c>
      <c r="I39" s="4"/>
      <c r="J39" s="4">
        <v>10000</v>
      </c>
      <c r="K39" s="4">
        <f t="shared" si="9"/>
        <v>10000</v>
      </c>
      <c r="L39" s="4">
        <f t="shared" si="1"/>
        <v>10000</v>
      </c>
      <c r="M39" s="4">
        <f t="shared" si="2"/>
        <v>275000</v>
      </c>
      <c r="N39" s="4"/>
      <c r="O39" s="4">
        <f t="shared" si="3"/>
        <v>0</v>
      </c>
      <c r="P39" s="4">
        <f t="shared" si="4"/>
        <v>275000</v>
      </c>
      <c r="Q39" s="4"/>
      <c r="R39" s="4"/>
      <c r="S39" s="4">
        <f t="shared" si="5"/>
        <v>0</v>
      </c>
      <c r="T39" s="4">
        <f t="shared" si="6"/>
        <v>0</v>
      </c>
      <c r="U39" s="4">
        <f t="shared" si="7"/>
        <v>0</v>
      </c>
      <c r="V39" s="12"/>
      <c r="W39" s="4">
        <f t="shared" si="10"/>
        <v>0</v>
      </c>
      <c r="X39" s="4"/>
      <c r="Y39" s="4"/>
      <c r="Z39" s="3"/>
      <c r="AA39" s="4"/>
      <c r="AB39" s="3">
        <v>760000</v>
      </c>
      <c r="AC39" s="418"/>
      <c r="AD39" s="415"/>
      <c r="AE39" s="584"/>
      <c r="AF39" s="415"/>
      <c r="AG39" s="418"/>
      <c r="AH39" s="30"/>
      <c r="AI39" s="247"/>
      <c r="AJ39" s="30"/>
      <c r="AK39" s="31"/>
      <c r="AL39" s="31"/>
      <c r="AM39" s="31"/>
    </row>
    <row r="40" spans="1:39" s="5" customFormat="1" ht="35.15" customHeight="1">
      <c r="A40" s="3">
        <f t="shared" si="8"/>
        <v>35</v>
      </c>
      <c r="B40" s="3">
        <v>2040</v>
      </c>
      <c r="C40" s="3" t="s">
        <v>806</v>
      </c>
      <c r="D40" s="4">
        <v>410000</v>
      </c>
      <c r="E40" s="4">
        <v>410000</v>
      </c>
      <c r="F40" s="4">
        <f t="shared" si="0"/>
        <v>0</v>
      </c>
      <c r="G40" s="4">
        <v>410000</v>
      </c>
      <c r="H40" s="4">
        <v>339613</v>
      </c>
      <c r="I40" s="4"/>
      <c r="J40" s="4">
        <v>49861.02</v>
      </c>
      <c r="K40" s="4">
        <f t="shared" si="9"/>
        <v>49861.02</v>
      </c>
      <c r="L40" s="4">
        <f t="shared" si="1"/>
        <v>389474.02</v>
      </c>
      <c r="M40" s="4">
        <f t="shared" si="2"/>
        <v>20525.979999999981</v>
      </c>
      <c r="N40" s="4"/>
      <c r="O40" s="4">
        <f t="shared" si="3"/>
        <v>0</v>
      </c>
      <c r="P40" s="4">
        <f t="shared" si="4"/>
        <v>20525.979999999981</v>
      </c>
      <c r="Q40" s="4"/>
      <c r="R40" s="4"/>
      <c r="S40" s="4">
        <f t="shared" si="5"/>
        <v>0</v>
      </c>
      <c r="T40" s="4">
        <f t="shared" si="6"/>
        <v>0</v>
      </c>
      <c r="U40" s="4">
        <f t="shared" si="7"/>
        <v>0</v>
      </c>
      <c r="V40" s="12"/>
      <c r="W40" s="4">
        <f t="shared" si="10"/>
        <v>0</v>
      </c>
      <c r="X40" s="4"/>
      <c r="Y40" s="4"/>
      <c r="Z40" s="3"/>
      <c r="AA40" s="3"/>
      <c r="AB40" s="3">
        <v>829000</v>
      </c>
      <c r="AC40" s="418"/>
      <c r="AD40" s="415"/>
      <c r="AE40" s="584"/>
      <c r="AF40" s="415"/>
      <c r="AG40" s="418"/>
      <c r="AH40" s="30"/>
      <c r="AI40" s="247"/>
      <c r="AJ40" s="30"/>
      <c r="AK40" s="31"/>
      <c r="AL40" s="31"/>
      <c r="AM40" s="31"/>
    </row>
    <row r="41" spans="1:39" s="5" customFormat="1" ht="35.15" customHeight="1">
      <c r="A41" s="3">
        <f t="shared" si="8"/>
        <v>36</v>
      </c>
      <c r="B41" s="3">
        <v>2041</v>
      </c>
      <c r="C41" s="3" t="s">
        <v>807</v>
      </c>
      <c r="D41" s="4">
        <v>650000</v>
      </c>
      <c r="E41" s="4">
        <v>650000</v>
      </c>
      <c r="F41" s="4">
        <f t="shared" si="0"/>
        <v>0</v>
      </c>
      <c r="G41" s="4">
        <v>650000</v>
      </c>
      <c r="H41" s="4">
        <v>23807</v>
      </c>
      <c r="I41" s="4"/>
      <c r="J41" s="4">
        <v>573450</v>
      </c>
      <c r="K41" s="4">
        <f t="shared" si="9"/>
        <v>573450</v>
      </c>
      <c r="L41" s="4">
        <f t="shared" si="1"/>
        <v>597257</v>
      </c>
      <c r="M41" s="4">
        <f t="shared" si="2"/>
        <v>52743</v>
      </c>
      <c r="N41" s="4"/>
      <c r="O41" s="4">
        <f t="shared" si="3"/>
        <v>0</v>
      </c>
      <c r="P41" s="4">
        <f t="shared" si="4"/>
        <v>52743</v>
      </c>
      <c r="Q41" s="4"/>
      <c r="R41" s="4"/>
      <c r="S41" s="4">
        <f t="shared" si="5"/>
        <v>0</v>
      </c>
      <c r="T41" s="4">
        <f t="shared" si="6"/>
        <v>0</v>
      </c>
      <c r="U41" s="4">
        <f t="shared" si="7"/>
        <v>0</v>
      </c>
      <c r="V41" s="12"/>
      <c r="W41" s="4">
        <f t="shared" si="10"/>
        <v>0</v>
      </c>
      <c r="X41" s="4"/>
      <c r="Y41" s="4"/>
      <c r="Z41" s="3"/>
      <c r="AA41" s="4"/>
      <c r="AB41" s="3">
        <v>810000</v>
      </c>
      <c r="AC41" s="418"/>
      <c r="AD41" s="415"/>
      <c r="AE41" s="584"/>
      <c r="AF41" s="415"/>
      <c r="AG41" s="418"/>
      <c r="AH41" s="30"/>
      <c r="AI41" s="247"/>
      <c r="AJ41" s="30"/>
      <c r="AK41" s="31"/>
      <c r="AL41" s="31"/>
      <c r="AM41" s="31"/>
    </row>
    <row r="42" spans="1:39" s="5" customFormat="1" ht="35.15" customHeight="1">
      <c r="A42" s="3">
        <f t="shared" si="8"/>
        <v>37</v>
      </c>
      <c r="B42" s="3">
        <v>2042</v>
      </c>
      <c r="C42" s="3" t="s">
        <v>1358</v>
      </c>
      <c r="D42" s="4">
        <v>740000</v>
      </c>
      <c r="E42" s="4">
        <v>740000</v>
      </c>
      <c r="F42" s="4">
        <f t="shared" si="0"/>
        <v>0</v>
      </c>
      <c r="G42" s="4">
        <v>250000</v>
      </c>
      <c r="H42" s="4">
        <v>181745</v>
      </c>
      <c r="I42" s="4"/>
      <c r="J42" s="4"/>
      <c r="K42" s="4">
        <f t="shared" si="9"/>
        <v>0</v>
      </c>
      <c r="L42" s="4">
        <f t="shared" si="1"/>
        <v>181745</v>
      </c>
      <c r="M42" s="4">
        <f t="shared" si="2"/>
        <v>68255</v>
      </c>
      <c r="N42" s="4">
        <v>490000</v>
      </c>
      <c r="O42" s="4">
        <f t="shared" si="3"/>
        <v>0</v>
      </c>
      <c r="P42" s="4">
        <f t="shared" si="4"/>
        <v>68255</v>
      </c>
      <c r="Q42" s="4"/>
      <c r="R42" s="4"/>
      <c r="S42" s="4">
        <f t="shared" si="5"/>
        <v>0</v>
      </c>
      <c r="T42" s="4">
        <f t="shared" si="6"/>
        <v>0</v>
      </c>
      <c r="U42" s="4">
        <f t="shared" si="7"/>
        <v>490000</v>
      </c>
      <c r="V42" s="12">
        <f>U42-W42-X42-Y42-Z42</f>
        <v>490000</v>
      </c>
      <c r="W42" s="4"/>
      <c r="X42" s="4"/>
      <c r="Y42" s="4"/>
      <c r="Z42" s="3"/>
      <c r="AA42" s="3" t="s">
        <v>809</v>
      </c>
      <c r="AB42" s="3">
        <v>746000</v>
      </c>
      <c r="AC42" s="418"/>
      <c r="AD42" s="415"/>
      <c r="AE42" s="584"/>
      <c r="AF42" s="415"/>
      <c r="AG42" s="418"/>
      <c r="AH42" s="30"/>
      <c r="AI42" s="247"/>
      <c r="AJ42" s="30"/>
      <c r="AK42" s="31"/>
      <c r="AL42" s="31"/>
      <c r="AM42" s="31"/>
    </row>
    <row r="43" spans="1:39" s="5" customFormat="1" ht="35.15" customHeight="1">
      <c r="A43" s="3">
        <f t="shared" si="8"/>
        <v>38</v>
      </c>
      <c r="B43" s="3">
        <v>2051</v>
      </c>
      <c r="C43" s="3" t="s">
        <v>810</v>
      </c>
      <c r="D43" s="4">
        <v>2600000</v>
      </c>
      <c r="E43" s="4">
        <v>2600000</v>
      </c>
      <c r="F43" s="4">
        <f t="shared" si="0"/>
        <v>0</v>
      </c>
      <c r="G43" s="4">
        <v>100000</v>
      </c>
      <c r="H43" s="4">
        <v>0</v>
      </c>
      <c r="I43" s="4"/>
      <c r="J43" s="4">
        <v>80352</v>
      </c>
      <c r="K43" s="4">
        <f t="shared" si="9"/>
        <v>80352</v>
      </c>
      <c r="L43" s="4">
        <f t="shared" si="1"/>
        <v>80352</v>
      </c>
      <c r="M43" s="4">
        <f t="shared" si="2"/>
        <v>319648</v>
      </c>
      <c r="N43" s="4">
        <v>350000</v>
      </c>
      <c r="O43" s="4">
        <f t="shared" si="3"/>
        <v>1850000</v>
      </c>
      <c r="P43" s="4">
        <f t="shared" si="4"/>
        <v>19648</v>
      </c>
      <c r="Q43" s="4">
        <v>300000</v>
      </c>
      <c r="R43" s="4"/>
      <c r="S43" s="4">
        <f t="shared" si="5"/>
        <v>300000</v>
      </c>
      <c r="T43" s="4">
        <f t="shared" si="6"/>
        <v>0</v>
      </c>
      <c r="U43" s="4">
        <f t="shared" si="7"/>
        <v>350000</v>
      </c>
      <c r="V43" s="12">
        <f>U43-W43-X43-Y43-Z43</f>
        <v>350000</v>
      </c>
      <c r="W43" s="4"/>
      <c r="X43" s="4"/>
      <c r="Y43" s="4"/>
      <c r="Z43" s="3"/>
      <c r="AA43" s="124" t="s">
        <v>811</v>
      </c>
      <c r="AB43" s="3">
        <v>746000</v>
      </c>
      <c r="AC43" s="418"/>
      <c r="AD43" s="415"/>
      <c r="AE43" s="584"/>
      <c r="AF43" s="415"/>
      <c r="AG43" s="20"/>
      <c r="AH43" s="20"/>
      <c r="AI43" s="30"/>
      <c r="AJ43" s="31"/>
      <c r="AK43" s="31"/>
      <c r="AL43" s="31"/>
      <c r="AM43" s="31"/>
    </row>
    <row r="44" spans="1:39" s="5" customFormat="1" ht="35.15" customHeight="1">
      <c r="A44" s="3">
        <f t="shared" si="8"/>
        <v>39</v>
      </c>
      <c r="B44" s="3">
        <v>2066</v>
      </c>
      <c r="C44" s="3" t="s">
        <v>812</v>
      </c>
      <c r="D44" s="4">
        <v>112500</v>
      </c>
      <c r="E44" s="4">
        <v>112500</v>
      </c>
      <c r="F44" s="4">
        <f t="shared" si="0"/>
        <v>0</v>
      </c>
      <c r="G44" s="4">
        <v>112500</v>
      </c>
      <c r="H44" s="4">
        <v>0</v>
      </c>
      <c r="I44" s="4"/>
      <c r="J44" s="4">
        <v>97500</v>
      </c>
      <c r="K44" s="4">
        <f t="shared" si="9"/>
        <v>97500</v>
      </c>
      <c r="L44" s="4">
        <f t="shared" si="1"/>
        <v>97500</v>
      </c>
      <c r="M44" s="4">
        <f t="shared" si="2"/>
        <v>15000</v>
      </c>
      <c r="N44" s="4"/>
      <c r="O44" s="4">
        <f t="shared" si="3"/>
        <v>0</v>
      </c>
      <c r="P44" s="4">
        <f t="shared" si="4"/>
        <v>15000</v>
      </c>
      <c r="Q44" s="4"/>
      <c r="R44" s="4"/>
      <c r="S44" s="4">
        <f t="shared" si="5"/>
        <v>0</v>
      </c>
      <c r="T44" s="4">
        <f t="shared" si="6"/>
        <v>0</v>
      </c>
      <c r="U44" s="4">
        <f t="shared" si="7"/>
        <v>0</v>
      </c>
      <c r="V44" s="12"/>
      <c r="W44" s="4">
        <f t="shared" si="10"/>
        <v>0</v>
      </c>
      <c r="X44" s="4"/>
      <c r="Y44" s="4"/>
      <c r="Z44" s="3"/>
      <c r="AA44" s="4"/>
      <c r="AB44" s="3">
        <v>732000</v>
      </c>
      <c r="AC44" s="418"/>
      <c r="AD44" s="415"/>
      <c r="AE44" s="584"/>
      <c r="AF44" s="415"/>
      <c r="AG44" s="417"/>
      <c r="AH44" s="67"/>
      <c r="AI44" s="30"/>
      <c r="AJ44" s="30"/>
      <c r="AK44" s="31"/>
      <c r="AL44" s="31"/>
      <c r="AM44" s="31"/>
    </row>
    <row r="45" spans="1:39" s="5" customFormat="1" ht="35.15" customHeight="1">
      <c r="A45" s="3">
        <f t="shared" si="8"/>
        <v>40</v>
      </c>
      <c r="B45" s="3">
        <v>2075</v>
      </c>
      <c r="C45" s="3" t="s">
        <v>813</v>
      </c>
      <c r="D45" s="4">
        <v>800000</v>
      </c>
      <c r="E45" s="4">
        <v>800000</v>
      </c>
      <c r="F45" s="4">
        <f>D45-E45</f>
        <v>0</v>
      </c>
      <c r="G45" s="4">
        <v>772200</v>
      </c>
      <c r="H45" s="4">
        <v>110682</v>
      </c>
      <c r="I45" s="4"/>
      <c r="J45" s="4">
        <v>174852</v>
      </c>
      <c r="K45" s="4">
        <f>I45+J45</f>
        <v>174852</v>
      </c>
      <c r="L45" s="4">
        <f>H45+K45</f>
        <v>285534</v>
      </c>
      <c r="M45" s="4">
        <f>P45+S45</f>
        <v>514466</v>
      </c>
      <c r="N45" s="4"/>
      <c r="O45" s="4">
        <f>D45-L45-M45-N45</f>
        <v>0</v>
      </c>
      <c r="P45" s="4">
        <f>G45-L45</f>
        <v>486666</v>
      </c>
      <c r="Q45" s="4"/>
      <c r="R45" s="4">
        <v>27800</v>
      </c>
      <c r="S45" s="4">
        <f>SUM(Q45:R45)</f>
        <v>27800</v>
      </c>
      <c r="T45" s="4">
        <f>P45-M45+S45</f>
        <v>0</v>
      </c>
      <c r="U45" s="4">
        <f>N45-T45</f>
        <v>0</v>
      </c>
      <c r="V45" s="12"/>
      <c r="W45" s="4">
        <f>U45-V45-Y45-Z45</f>
        <v>0</v>
      </c>
      <c r="X45" s="4"/>
      <c r="Y45" s="4"/>
      <c r="Z45" s="3"/>
      <c r="AA45" s="124" t="s">
        <v>1359</v>
      </c>
      <c r="AB45" s="3">
        <v>742000</v>
      </c>
      <c r="AC45" s="418"/>
      <c r="AD45" s="415"/>
      <c r="AE45" s="584"/>
      <c r="AF45" s="415"/>
      <c r="AG45" s="418"/>
      <c r="AH45" s="30"/>
      <c r="AI45" s="247"/>
      <c r="AJ45" s="30"/>
      <c r="AK45" s="31"/>
      <c r="AL45" s="31"/>
      <c r="AM45" s="31"/>
    </row>
    <row r="46" spans="1:39" s="5" customFormat="1" ht="42">
      <c r="A46" s="3">
        <f t="shared" si="8"/>
        <v>41</v>
      </c>
      <c r="B46" s="42">
        <v>2087</v>
      </c>
      <c r="C46" s="3" t="s">
        <v>814</v>
      </c>
      <c r="D46" s="4">
        <v>1200000</v>
      </c>
      <c r="E46" s="4"/>
      <c r="F46" s="4">
        <f>D46-E46</f>
        <v>1200000</v>
      </c>
      <c r="G46" s="4">
        <v>0</v>
      </c>
      <c r="H46" s="4">
        <v>0</v>
      </c>
      <c r="I46" s="4">
        <v>0</v>
      </c>
      <c r="J46" s="4"/>
      <c r="K46" s="4">
        <f>I46+J46</f>
        <v>0</v>
      </c>
      <c r="L46" s="4">
        <f>H46+K46</f>
        <v>0</v>
      </c>
      <c r="M46" s="4">
        <f>P46+S46</f>
        <v>0</v>
      </c>
      <c r="N46" s="4">
        <v>1200000</v>
      </c>
      <c r="O46" s="4">
        <f>D46-L46-M46-N46</f>
        <v>0</v>
      </c>
      <c r="P46" s="4">
        <f>G46-L46</f>
        <v>0</v>
      </c>
      <c r="Q46" s="4"/>
      <c r="R46" s="4"/>
      <c r="S46" s="4">
        <f>SUM(Q46:R46)</f>
        <v>0</v>
      </c>
      <c r="T46" s="4">
        <f>P46-M46+S46</f>
        <v>0</v>
      </c>
      <c r="U46" s="4">
        <f>N46-T46</f>
        <v>1200000</v>
      </c>
      <c r="V46" s="12">
        <f>U46-W46-X46-Y46-Z46</f>
        <v>1200000</v>
      </c>
      <c r="W46" s="4"/>
      <c r="X46" s="4"/>
      <c r="Y46" s="4"/>
      <c r="Z46" s="3"/>
      <c r="AA46" s="3" t="s">
        <v>1360</v>
      </c>
      <c r="AB46" s="3">
        <v>746000</v>
      </c>
      <c r="AC46" s="418"/>
      <c r="AD46" s="415"/>
      <c r="AE46" s="415"/>
      <c r="AF46" s="415"/>
      <c r="AG46" s="418"/>
      <c r="AH46" s="30"/>
      <c r="AI46" s="247"/>
      <c r="AJ46" s="30"/>
      <c r="AK46" s="31"/>
      <c r="AL46" s="31"/>
      <c r="AM46" s="31"/>
    </row>
    <row r="47" spans="1:39" s="5" customFormat="1" ht="28">
      <c r="A47" s="3">
        <f t="shared" si="8"/>
        <v>42</v>
      </c>
      <c r="B47" s="42">
        <v>2088</v>
      </c>
      <c r="C47" s="3" t="s">
        <v>815</v>
      </c>
      <c r="D47" s="4">
        <f>2000000-800000</f>
        <v>1200000</v>
      </c>
      <c r="E47" s="4"/>
      <c r="F47" s="4">
        <f>D47-E47</f>
        <v>1200000</v>
      </c>
      <c r="G47" s="4">
        <v>0</v>
      </c>
      <c r="H47" s="4">
        <v>0</v>
      </c>
      <c r="I47" s="4"/>
      <c r="J47" s="4"/>
      <c r="K47" s="4">
        <f>I47+J47</f>
        <v>0</v>
      </c>
      <c r="L47" s="4">
        <f>H47+K47</f>
        <v>0</v>
      </c>
      <c r="M47" s="4">
        <f>P47+S47</f>
        <v>0</v>
      </c>
      <c r="N47" s="4">
        <f>2000000-800000</f>
        <v>1200000</v>
      </c>
      <c r="O47" s="4">
        <f>D47-L47-M47-N47</f>
        <v>0</v>
      </c>
      <c r="P47" s="4">
        <f>G47-L47</f>
        <v>0</v>
      </c>
      <c r="Q47" s="4"/>
      <c r="R47" s="4"/>
      <c r="S47" s="4">
        <f>SUM(Q47:R47)</f>
        <v>0</v>
      </c>
      <c r="T47" s="4">
        <f>P47-M47+S47</f>
        <v>0</v>
      </c>
      <c r="U47" s="4">
        <f>N47-T47</f>
        <v>1200000</v>
      </c>
      <c r="V47" s="12">
        <f>U47-W47-X47-Y47-Z47</f>
        <v>1200000</v>
      </c>
      <c r="W47" s="4"/>
      <c r="X47" s="4"/>
      <c r="Y47" s="4"/>
      <c r="Z47" s="3"/>
      <c r="AA47" s="3" t="s">
        <v>1367</v>
      </c>
      <c r="AB47" s="3">
        <v>746000</v>
      </c>
      <c r="AC47" s="418"/>
      <c r="AD47" s="415"/>
      <c r="AE47" s="415"/>
      <c r="AF47" s="415"/>
      <c r="AG47" s="418"/>
      <c r="AH47" s="30"/>
      <c r="AI47" s="247"/>
      <c r="AJ47" s="30"/>
      <c r="AK47" s="31"/>
      <c r="AL47" s="31"/>
      <c r="AM47" s="31"/>
    </row>
    <row r="48" spans="1:39" s="6" customFormat="1" ht="35.15" customHeight="1">
      <c r="A48" s="9">
        <f>A47</f>
        <v>42</v>
      </c>
      <c r="B48" s="9"/>
      <c r="C48" s="260" t="s">
        <v>1193</v>
      </c>
      <c r="D48" s="10">
        <f t="shared" ref="D48:Z48" si="11">SUM(D6:D47)</f>
        <v>231868059</v>
      </c>
      <c r="E48" s="10">
        <f t="shared" si="11"/>
        <v>246322059</v>
      </c>
      <c r="F48" s="10">
        <f t="shared" si="11"/>
        <v>-14454000</v>
      </c>
      <c r="G48" s="10">
        <f t="shared" si="11"/>
        <v>174365579</v>
      </c>
      <c r="H48" s="10">
        <f t="shared" si="11"/>
        <v>156748875.67999998</v>
      </c>
      <c r="I48" s="10">
        <f t="shared" si="11"/>
        <v>474201</v>
      </c>
      <c r="J48" s="10">
        <f t="shared" si="11"/>
        <v>12594137.780000001</v>
      </c>
      <c r="K48" s="10">
        <f t="shared" si="11"/>
        <v>13068338.780000001</v>
      </c>
      <c r="L48" s="10">
        <f t="shared" si="11"/>
        <v>169817214.45999995</v>
      </c>
      <c r="M48" s="10">
        <f t="shared" si="11"/>
        <v>7236164.5399999991</v>
      </c>
      <c r="N48" s="10">
        <f t="shared" si="11"/>
        <v>36445000</v>
      </c>
      <c r="O48" s="10">
        <f t="shared" si="11"/>
        <v>18369680</v>
      </c>
      <c r="P48" s="10">
        <f t="shared" si="11"/>
        <v>4548364.54</v>
      </c>
      <c r="Q48" s="10">
        <f t="shared" si="11"/>
        <v>2700000</v>
      </c>
      <c r="R48" s="10">
        <f t="shared" si="11"/>
        <v>27800</v>
      </c>
      <c r="S48" s="10">
        <f t="shared" si="11"/>
        <v>2727800</v>
      </c>
      <c r="T48" s="10">
        <f t="shared" si="11"/>
        <v>40000</v>
      </c>
      <c r="U48" s="10">
        <f t="shared" si="11"/>
        <v>36405000</v>
      </c>
      <c r="V48" s="10">
        <f t="shared" si="11"/>
        <v>10365000</v>
      </c>
      <c r="W48" s="10">
        <f t="shared" si="11"/>
        <v>8550000</v>
      </c>
      <c r="X48" s="10">
        <f t="shared" si="11"/>
        <v>0</v>
      </c>
      <c r="Y48" s="10">
        <f t="shared" si="11"/>
        <v>0</v>
      </c>
      <c r="Z48" s="10">
        <f t="shared" si="11"/>
        <v>17490000</v>
      </c>
      <c r="AA48" s="10"/>
      <c r="AB48" s="10"/>
      <c r="AC48" s="418"/>
      <c r="AD48" s="415"/>
      <c r="AE48" s="415"/>
      <c r="AF48" s="415"/>
      <c r="AG48" s="418"/>
      <c r="AH48" s="30"/>
      <c r="AI48" s="247"/>
      <c r="AJ48" s="32"/>
      <c r="AK48" s="32"/>
      <c r="AL48" s="32"/>
      <c r="AM48" s="32"/>
    </row>
    <row r="49" spans="1:39" s="56" customFormat="1" hidden="1">
      <c r="A49" s="62"/>
      <c r="B49" s="62"/>
      <c r="C49" s="62"/>
      <c r="D49" s="36"/>
      <c r="E49" s="36"/>
      <c r="F49" s="36"/>
      <c r="G49" s="36"/>
      <c r="H49" s="36"/>
      <c r="I49" s="36"/>
      <c r="J49" s="36"/>
      <c r="K49" s="36"/>
      <c r="L49" s="24">
        <f>H48+K48</f>
        <v>169817214.45999998</v>
      </c>
      <c r="M49" s="24">
        <f>P48+S48-T48</f>
        <v>7236164.54</v>
      </c>
      <c r="N49" s="51"/>
      <c r="O49" s="27"/>
      <c r="P49" s="24">
        <f>G48-L48</f>
        <v>4548364.5400000513</v>
      </c>
      <c r="Q49" s="27"/>
      <c r="R49" s="27"/>
      <c r="S49" s="27"/>
      <c r="T49" s="27"/>
      <c r="U49" s="24">
        <f>N48-T48</f>
        <v>36405000</v>
      </c>
      <c r="V49" s="36"/>
      <c r="W49" s="36"/>
      <c r="X49" s="36"/>
      <c r="Y49" s="36"/>
      <c r="Z49" s="36"/>
      <c r="AB49" s="62"/>
      <c r="AC49" s="418"/>
      <c r="AD49" s="415"/>
      <c r="AE49" s="415"/>
      <c r="AF49" s="415"/>
      <c r="AG49" s="418"/>
      <c r="AH49" s="30"/>
      <c r="AI49" s="247"/>
      <c r="AJ49" s="62"/>
      <c r="AK49" s="62"/>
      <c r="AL49" s="62"/>
      <c r="AM49" s="62"/>
    </row>
    <row r="50" spans="1:39" s="56" customFormat="1">
      <c r="A50" s="62"/>
      <c r="B50" s="62"/>
      <c r="C50" s="62"/>
      <c r="D50" s="36"/>
      <c r="E50" s="36"/>
      <c r="F50" s="36"/>
      <c r="G50" s="36"/>
      <c r="H50" s="36"/>
      <c r="I50" s="36"/>
      <c r="J50" s="36"/>
      <c r="K50" s="36"/>
      <c r="L50" s="27"/>
      <c r="M50" s="27"/>
      <c r="N50" s="36"/>
      <c r="O50" s="36"/>
      <c r="P50" s="17"/>
      <c r="Q50" s="36"/>
      <c r="R50" s="36"/>
      <c r="S50" s="36"/>
      <c r="T50" s="36"/>
      <c r="U50" s="27"/>
      <c r="V50" s="36"/>
      <c r="W50" s="36"/>
      <c r="X50" s="36"/>
      <c r="Y50" s="36"/>
      <c r="Z50" s="36"/>
      <c r="AB50" s="62"/>
      <c r="AC50" s="418"/>
      <c r="AD50" s="415"/>
      <c r="AE50" s="415"/>
      <c r="AF50" s="415"/>
      <c r="AG50" s="418"/>
      <c r="AH50" s="30"/>
      <c r="AI50" s="247"/>
      <c r="AJ50" s="62"/>
      <c r="AK50" s="62"/>
      <c r="AL50" s="62"/>
      <c r="AM50" s="62"/>
    </row>
    <row r="51" spans="1:39" s="45" customForma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7"/>
      <c r="O51" s="17"/>
      <c r="P51" s="17"/>
      <c r="Q51" s="17"/>
      <c r="R51" s="17"/>
      <c r="S51" s="17"/>
      <c r="T51" s="17"/>
      <c r="U51" s="15"/>
      <c r="V51" s="15"/>
      <c r="W51" s="15"/>
      <c r="X51" s="15"/>
      <c r="Y51" s="15"/>
      <c r="Z51" s="15"/>
      <c r="AA51" s="15"/>
      <c r="AB51" s="15"/>
      <c r="AC51" s="418"/>
      <c r="AD51" s="415"/>
      <c r="AE51" s="415"/>
      <c r="AF51" s="415"/>
      <c r="AG51" s="418"/>
      <c r="AH51" s="20"/>
      <c r="AI51" s="247"/>
      <c r="AJ51" s="20"/>
      <c r="AK51" s="20"/>
      <c r="AL51" s="20"/>
      <c r="AM51" s="20"/>
    </row>
    <row r="52" spans="1:39" s="45" customForma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7"/>
      <c r="O52" s="17"/>
      <c r="P52" s="17"/>
      <c r="Q52" s="17"/>
      <c r="R52" s="17"/>
      <c r="S52" s="17"/>
      <c r="T52" s="17"/>
      <c r="U52" s="15"/>
      <c r="V52" s="15"/>
      <c r="W52" s="15"/>
      <c r="X52" s="15"/>
      <c r="Y52" s="15"/>
      <c r="Z52" s="15"/>
      <c r="AA52" s="15"/>
      <c r="AB52" s="15"/>
      <c r="AC52" s="418"/>
      <c r="AD52" s="415"/>
      <c r="AE52" s="415"/>
      <c r="AF52" s="415"/>
      <c r="AG52" s="418"/>
      <c r="AH52" s="20"/>
      <c r="AI52" s="247"/>
      <c r="AJ52" s="20"/>
      <c r="AK52" s="20"/>
      <c r="AL52" s="20"/>
      <c r="AM52" s="20"/>
    </row>
    <row r="53" spans="1:39" s="45" customForma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7"/>
      <c r="O53" s="17"/>
      <c r="P53" s="17"/>
      <c r="Q53" s="17"/>
      <c r="R53" s="17"/>
      <c r="S53" s="17"/>
      <c r="T53" s="17"/>
      <c r="U53" s="15"/>
      <c r="V53" s="15"/>
      <c r="W53" s="15"/>
      <c r="X53" s="15"/>
      <c r="Y53" s="15"/>
      <c r="Z53" s="15"/>
      <c r="AA53" s="15"/>
      <c r="AB53" s="15"/>
      <c r="AC53" s="418"/>
      <c r="AD53" s="415"/>
      <c r="AE53" s="415"/>
      <c r="AF53" s="415"/>
      <c r="AG53" s="418"/>
      <c r="AH53" s="20"/>
      <c r="AI53" s="247"/>
      <c r="AJ53" s="20"/>
      <c r="AK53" s="20"/>
      <c r="AL53" s="20"/>
      <c r="AM53" s="20"/>
    </row>
    <row r="54" spans="1:39" s="45" customFormat="1">
      <c r="A54" s="40"/>
      <c r="B54" s="15"/>
      <c r="C54" s="15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5"/>
      <c r="V54" s="15"/>
      <c r="W54" s="15"/>
      <c r="X54" s="15"/>
      <c r="Y54" s="15"/>
      <c r="Z54" s="15"/>
      <c r="AA54" s="15"/>
      <c r="AB54" s="15"/>
      <c r="AC54" s="418"/>
      <c r="AD54" s="415"/>
      <c r="AE54" s="415"/>
      <c r="AF54" s="415"/>
      <c r="AG54" s="418"/>
      <c r="AH54" s="20"/>
      <c r="AI54" s="247"/>
      <c r="AJ54" s="20"/>
      <c r="AK54" s="20"/>
      <c r="AL54" s="20"/>
      <c r="AM54" s="20"/>
    </row>
    <row r="55" spans="1:39" hidden="1"/>
    <row r="56" spans="1:39" s="45" customFormat="1" hidden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7"/>
      <c r="O56" s="17"/>
      <c r="P56" s="17"/>
      <c r="Q56" s="17"/>
      <c r="R56" s="17"/>
      <c r="S56" s="17"/>
      <c r="T56" s="17"/>
      <c r="U56" s="15"/>
      <c r="V56" s="15"/>
      <c r="W56" s="15"/>
      <c r="X56" s="15"/>
      <c r="Y56" s="15"/>
      <c r="Z56" s="15"/>
      <c r="AA56" s="15"/>
      <c r="AB56" s="15"/>
      <c r="AC56" s="418"/>
      <c r="AD56" s="415"/>
      <c r="AE56" s="415"/>
      <c r="AF56" s="415"/>
      <c r="AG56" s="418"/>
      <c r="AH56" s="20"/>
      <c r="AI56" s="247"/>
      <c r="AJ56" s="20"/>
      <c r="AK56" s="20"/>
      <c r="AL56" s="20"/>
      <c r="AM56" s="20"/>
    </row>
    <row r="57" spans="1:39" s="45" customFormat="1" hidden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7"/>
      <c r="O57" s="17"/>
      <c r="P57" s="17"/>
      <c r="Q57" s="17"/>
      <c r="R57" s="17"/>
      <c r="S57" s="17"/>
      <c r="T57" s="17"/>
      <c r="U57" s="15"/>
      <c r="V57" s="15"/>
      <c r="W57" s="15"/>
      <c r="X57" s="15"/>
      <c r="Y57" s="15"/>
      <c r="Z57" s="15"/>
      <c r="AA57" s="15"/>
      <c r="AB57" s="15"/>
      <c r="AC57" s="418"/>
      <c r="AD57" s="415"/>
      <c r="AE57" s="415"/>
      <c r="AF57" s="415"/>
      <c r="AG57" s="418"/>
      <c r="AH57" s="20"/>
      <c r="AI57" s="247"/>
      <c r="AJ57" s="20"/>
      <c r="AK57" s="20"/>
      <c r="AL57" s="20"/>
      <c r="AM57" s="20"/>
    </row>
    <row r="58" spans="1:39" s="45" customFormat="1" hidden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7"/>
      <c r="O58" s="17"/>
      <c r="P58" s="17"/>
      <c r="Q58" s="17"/>
      <c r="R58" s="17"/>
      <c r="S58" s="17"/>
      <c r="T58" s="17"/>
      <c r="U58" s="15"/>
      <c r="V58" s="15"/>
      <c r="W58" s="15"/>
      <c r="X58" s="15"/>
      <c r="Y58" s="15"/>
      <c r="Z58" s="15"/>
      <c r="AA58" s="15"/>
      <c r="AB58" s="15"/>
      <c r="AC58" s="418"/>
      <c r="AD58" s="415"/>
      <c r="AE58" s="415"/>
      <c r="AF58" s="415"/>
      <c r="AG58" s="418"/>
      <c r="AH58" s="20"/>
      <c r="AI58" s="247"/>
      <c r="AJ58" s="20"/>
      <c r="AK58" s="20"/>
      <c r="AL58" s="20"/>
      <c r="AM58" s="20"/>
    </row>
    <row r="59" spans="1:39" s="45" customFormat="1" hidden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7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418"/>
      <c r="AD59" s="415"/>
      <c r="AE59" s="415"/>
      <c r="AF59" s="415"/>
      <c r="AG59" s="418"/>
      <c r="AH59" s="20"/>
      <c r="AI59" s="247"/>
      <c r="AJ59" s="20"/>
      <c r="AK59" s="20"/>
      <c r="AL59" s="20"/>
      <c r="AM59" s="20"/>
    </row>
    <row r="60" spans="1:39" hidden="1"/>
    <row r="61" spans="1:39" hidden="1"/>
    <row r="62" spans="1:39" s="40" customFormat="1" hidden="1">
      <c r="B62" s="15"/>
      <c r="C62" s="15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5"/>
      <c r="V62" s="15"/>
      <c r="W62" s="15"/>
      <c r="X62" s="15"/>
      <c r="Y62" s="15"/>
      <c r="Z62" s="15"/>
      <c r="AA62" s="15"/>
      <c r="AB62" s="15"/>
      <c r="AC62" s="418"/>
      <c r="AD62" s="415"/>
      <c r="AE62" s="415"/>
      <c r="AF62" s="415"/>
      <c r="AG62" s="418"/>
      <c r="AH62" s="20"/>
      <c r="AI62" s="247"/>
      <c r="AJ62" s="20"/>
      <c r="AK62" s="20"/>
      <c r="AL62" s="20"/>
      <c r="AM62" s="20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0"/>
  <sheetViews>
    <sheetView rightToLeft="1" topLeftCell="A4" workbookViewId="0">
      <selection activeCell="T20" sqref="T20"/>
    </sheetView>
  </sheetViews>
  <sheetFormatPr defaultColWidth="9.1796875" defaultRowHeight="14"/>
  <cols>
    <col min="1" max="3" width="4.1796875" style="353" customWidth="1"/>
    <col min="4" max="4" width="34.81640625" style="353" customWidth="1"/>
    <col min="5" max="5" width="30.453125" style="353" customWidth="1"/>
    <col min="6" max="6" width="10.81640625" style="353" customWidth="1"/>
    <col min="7" max="7" width="5.54296875" style="353" customWidth="1"/>
    <col min="8" max="9" width="12.1796875" style="353" customWidth="1"/>
    <col min="10" max="10" width="7.81640625" style="353" customWidth="1"/>
    <col min="11" max="16384" width="9.1796875" style="353"/>
  </cols>
  <sheetData>
    <row r="3" spans="1:17" ht="20.5">
      <c r="A3" s="352"/>
      <c r="C3" s="354" t="s">
        <v>371</v>
      </c>
      <c r="D3" s="352"/>
      <c r="E3" s="352"/>
      <c r="F3" s="352"/>
      <c r="G3" s="352"/>
      <c r="H3" s="352"/>
      <c r="I3" s="352"/>
      <c r="J3" s="352"/>
      <c r="K3" s="352"/>
      <c r="L3" s="352"/>
    </row>
    <row r="4" spans="1:17" ht="20.5">
      <c r="A4" s="352"/>
      <c r="C4" s="354"/>
      <c r="D4" s="352"/>
      <c r="E4" s="352"/>
      <c r="F4" s="352"/>
      <c r="G4" s="352"/>
      <c r="H4" s="352"/>
      <c r="I4" s="352"/>
      <c r="J4" s="352"/>
      <c r="K4" s="352"/>
      <c r="L4" s="352"/>
    </row>
    <row r="5" spans="1:17" ht="15.5">
      <c r="A5" s="352"/>
      <c r="C5" s="352"/>
      <c r="D5" s="352"/>
      <c r="E5" s="352"/>
      <c r="F5" s="352"/>
      <c r="G5" s="352"/>
      <c r="H5" s="352"/>
      <c r="I5" s="352"/>
      <c r="J5" s="352"/>
      <c r="K5" s="352"/>
      <c r="L5" s="352"/>
    </row>
    <row r="6" spans="1:17" ht="16" thickBot="1">
      <c r="A6" s="352"/>
      <c r="C6" s="352"/>
      <c r="D6" s="352"/>
      <c r="E6" s="352"/>
      <c r="F6" s="352"/>
      <c r="G6" s="352"/>
      <c r="H6" s="352"/>
      <c r="I6" s="352"/>
      <c r="J6" s="352"/>
      <c r="K6" s="352"/>
      <c r="L6" s="352"/>
    </row>
    <row r="7" spans="1:17" ht="16" thickBot="1">
      <c r="A7" s="352"/>
      <c r="B7" s="355" t="s">
        <v>344</v>
      </c>
      <c r="C7" s="352" t="s">
        <v>1206</v>
      </c>
      <c r="D7" s="352"/>
      <c r="E7" s="352"/>
      <c r="F7" s="356">
        <f>'תקציב רשות החופים 2019'!U25</f>
        <v>1866159</v>
      </c>
      <c r="I7" s="352"/>
      <c r="J7" s="352"/>
      <c r="K7" s="352"/>
      <c r="L7" s="352"/>
    </row>
    <row r="8" spans="1:17" ht="21" thickBot="1">
      <c r="A8" s="352"/>
      <c r="C8" s="354"/>
      <c r="D8" s="352"/>
      <c r="E8" s="352"/>
      <c r="F8" s="352"/>
      <c r="H8" s="352"/>
      <c r="I8" s="352"/>
      <c r="J8" s="352"/>
      <c r="K8" s="352"/>
      <c r="L8" s="352"/>
    </row>
    <row r="9" spans="1:17" ht="16" thickBot="1">
      <c r="B9" s="355" t="s">
        <v>344</v>
      </c>
      <c r="C9" s="352" t="s">
        <v>606</v>
      </c>
      <c r="D9" s="352"/>
      <c r="F9" s="364">
        <f>'תקציב רשות החופים 2019'!A25</f>
        <v>19</v>
      </c>
      <c r="I9" s="352"/>
      <c r="J9" s="352"/>
      <c r="K9" s="352"/>
      <c r="L9" s="352"/>
      <c r="M9" s="352"/>
      <c r="N9" s="352"/>
      <c r="O9" s="352"/>
      <c r="P9" s="352"/>
      <c r="Q9" s="352"/>
    </row>
    <row r="10" spans="1:17" ht="15.5">
      <c r="B10" s="355"/>
      <c r="C10" s="352"/>
      <c r="D10" s="352"/>
      <c r="F10" s="358"/>
      <c r="I10" s="352"/>
      <c r="J10" s="352"/>
      <c r="K10" s="352"/>
      <c r="L10" s="352"/>
      <c r="M10" s="352"/>
      <c r="N10" s="352"/>
      <c r="O10" s="352"/>
      <c r="P10" s="352"/>
      <c r="Q10" s="352"/>
    </row>
    <row r="11" spans="1:17" ht="15.5">
      <c r="B11" s="355"/>
      <c r="C11" s="352"/>
      <c r="D11" s="352"/>
      <c r="F11" s="358"/>
      <c r="I11" s="352"/>
      <c r="J11" s="352"/>
      <c r="K11" s="352"/>
      <c r="L11" s="352"/>
      <c r="M11" s="352"/>
      <c r="N11" s="352"/>
      <c r="O11" s="352"/>
      <c r="P11" s="352"/>
      <c r="Q11" s="352"/>
    </row>
    <row r="12" spans="1:17" ht="15.5">
      <c r="B12" s="355" t="s">
        <v>344</v>
      </c>
      <c r="C12" s="352" t="s">
        <v>547</v>
      </c>
      <c r="D12" s="352"/>
      <c r="E12" s="352"/>
      <c r="F12" s="352"/>
      <c r="G12" s="352"/>
      <c r="H12" s="352"/>
      <c r="I12" s="352"/>
      <c r="J12" s="352"/>
      <c r="K12" s="352"/>
      <c r="L12" s="352"/>
    </row>
    <row r="13" spans="1:17" ht="16" thickBot="1">
      <c r="B13" s="352"/>
      <c r="C13" s="352"/>
      <c r="D13" s="352"/>
      <c r="E13" s="352"/>
      <c r="F13" s="352"/>
      <c r="G13" s="352"/>
      <c r="H13" s="352"/>
      <c r="I13" s="352"/>
      <c r="J13" s="352"/>
      <c r="K13" s="352"/>
      <c r="L13" s="352"/>
      <c r="M13" s="352"/>
      <c r="N13" s="352"/>
      <c r="O13" s="352"/>
      <c r="P13" s="352"/>
      <c r="Q13" s="352"/>
    </row>
    <row r="14" spans="1:17" ht="15.5">
      <c r="D14" s="365" t="s">
        <v>548</v>
      </c>
      <c r="E14" s="366" t="s">
        <v>549</v>
      </c>
      <c r="F14" s="367" t="s">
        <v>551</v>
      </c>
      <c r="G14" s="352"/>
      <c r="H14" s="352"/>
      <c r="I14" s="352"/>
      <c r="J14" s="352"/>
      <c r="K14" s="352"/>
      <c r="L14" s="352"/>
      <c r="M14" s="352"/>
      <c r="N14" s="352"/>
      <c r="O14" s="352"/>
      <c r="P14" s="352"/>
      <c r="Q14" s="352"/>
    </row>
    <row r="15" spans="1:17" ht="15.5">
      <c r="C15" s="355"/>
      <c r="D15" s="359" t="s">
        <v>14</v>
      </c>
      <c r="E15" s="368">
        <f>'תקציב רשות החופים 2019'!W25</f>
        <v>1670000</v>
      </c>
      <c r="F15" s="376">
        <f>E15/$E$17</f>
        <v>0.89488623423834734</v>
      </c>
      <c r="G15" s="352"/>
      <c r="H15" s="352"/>
      <c r="I15" s="352"/>
      <c r="J15" s="352"/>
      <c r="K15" s="352"/>
      <c r="L15" s="352"/>
      <c r="M15" s="352"/>
      <c r="N15" s="352"/>
      <c r="O15" s="352"/>
      <c r="P15" s="352"/>
      <c r="Q15" s="352"/>
    </row>
    <row r="16" spans="1:17" ht="15.5">
      <c r="C16" s="355"/>
      <c r="D16" s="359" t="s">
        <v>140</v>
      </c>
      <c r="E16" s="368">
        <f>'תקציב רשות החופים 2019'!Z25</f>
        <v>196159</v>
      </c>
      <c r="F16" s="376">
        <f>E16/$E$17</f>
        <v>0.10511376576165268</v>
      </c>
      <c r="G16" s="352"/>
      <c r="H16" s="352"/>
      <c r="I16" s="352"/>
      <c r="J16" s="352"/>
      <c r="K16" s="352"/>
      <c r="L16" s="352"/>
      <c r="M16" s="352"/>
      <c r="N16" s="352"/>
      <c r="O16" s="352"/>
      <c r="P16" s="352"/>
      <c r="Q16" s="352"/>
    </row>
    <row r="17" spans="1:17" ht="16" thickBot="1">
      <c r="C17" s="355"/>
      <c r="D17" s="362" t="s">
        <v>160</v>
      </c>
      <c r="E17" s="370">
        <f>SUM(E15:E16)</f>
        <v>1866159</v>
      </c>
      <c r="F17" s="219">
        <f>SUM(F15:F16)</f>
        <v>1</v>
      </c>
      <c r="G17" s="352"/>
      <c r="H17" s="352"/>
      <c r="I17" s="352"/>
      <c r="J17" s="352"/>
      <c r="K17" s="352"/>
      <c r="L17" s="352"/>
      <c r="M17" s="352"/>
      <c r="N17" s="352"/>
      <c r="O17" s="352"/>
      <c r="P17" s="352"/>
      <c r="Q17" s="352"/>
    </row>
    <row r="18" spans="1:17" ht="15.5">
      <c r="C18" s="355"/>
      <c r="D18" s="358"/>
      <c r="E18" s="379"/>
      <c r="F18" s="383"/>
      <c r="G18" s="352"/>
      <c r="H18" s="352"/>
      <c r="I18" s="352"/>
      <c r="J18" s="352"/>
      <c r="K18" s="352"/>
      <c r="L18" s="352"/>
      <c r="M18" s="352"/>
      <c r="N18" s="352"/>
      <c r="O18" s="352"/>
      <c r="P18" s="352"/>
      <c r="Q18" s="352"/>
    </row>
    <row r="19" spans="1:17" ht="15.5">
      <c r="C19" s="355"/>
      <c r="D19" s="358"/>
      <c r="E19" s="379"/>
      <c r="F19" s="383"/>
      <c r="G19" s="352"/>
      <c r="H19" s="352"/>
      <c r="I19" s="352"/>
      <c r="J19" s="352"/>
      <c r="K19" s="352"/>
      <c r="L19" s="352"/>
      <c r="M19" s="352"/>
      <c r="N19" s="352"/>
      <c r="O19" s="352"/>
      <c r="P19" s="352"/>
      <c r="Q19" s="352"/>
    </row>
    <row r="20" spans="1:17" ht="15.5">
      <c r="C20" s="355"/>
      <c r="D20" s="358"/>
      <c r="E20" s="379"/>
      <c r="F20" s="383"/>
      <c r="G20" s="352"/>
      <c r="H20" s="352"/>
      <c r="I20" s="352"/>
      <c r="J20" s="352"/>
      <c r="K20" s="352"/>
      <c r="L20" s="352"/>
      <c r="M20" s="352"/>
      <c r="N20" s="352"/>
      <c r="O20" s="352"/>
      <c r="P20" s="352"/>
      <c r="Q20" s="352"/>
    </row>
    <row r="21" spans="1:17" ht="15.5">
      <c r="B21" s="355" t="s">
        <v>344</v>
      </c>
      <c r="C21" s="352" t="s">
        <v>1207</v>
      </c>
      <c r="D21" s="352"/>
      <c r="F21" s="352"/>
      <c r="H21" s="361"/>
      <c r="I21" s="352"/>
      <c r="J21" s="352"/>
      <c r="K21" s="352"/>
      <c r="L21" s="352"/>
      <c r="M21" s="352"/>
      <c r="N21" s="352"/>
      <c r="O21" s="352"/>
      <c r="P21" s="352"/>
      <c r="Q21" s="352"/>
    </row>
    <row r="22" spans="1:17" ht="15.5">
      <c r="B22" s="355"/>
      <c r="C22" s="352"/>
      <c r="D22" s="352"/>
      <c r="E22" s="352"/>
      <c r="F22" s="352"/>
      <c r="G22" s="352"/>
      <c r="H22" s="352"/>
      <c r="I22" s="352"/>
      <c r="J22" s="352"/>
      <c r="K22" s="352"/>
      <c r="L22" s="352"/>
      <c r="M22" s="352"/>
      <c r="N22" s="352"/>
      <c r="O22" s="352"/>
      <c r="P22" s="352"/>
      <c r="Q22" s="352"/>
    </row>
    <row r="24" spans="1:17" s="628" customFormat="1" ht="15.5">
      <c r="C24" s="630" t="s">
        <v>344</v>
      </c>
      <c r="D24" s="627" t="s">
        <v>1478</v>
      </c>
      <c r="E24" s="627"/>
      <c r="F24" s="627"/>
      <c r="G24" s="627"/>
      <c r="H24" s="627"/>
      <c r="I24" s="627"/>
      <c r="J24" s="627"/>
      <c r="K24" s="627"/>
      <c r="L24" s="627"/>
      <c r="M24" s="627"/>
      <c r="N24" s="627"/>
      <c r="O24" s="627"/>
      <c r="P24" s="627"/>
      <c r="Q24" s="627"/>
    </row>
    <row r="25" spans="1:17" s="628" customFormat="1" ht="15.5">
      <c r="A25" s="627"/>
      <c r="B25" s="627"/>
      <c r="C25" s="627"/>
      <c r="D25" s="627"/>
      <c r="E25" s="627"/>
      <c r="F25" s="627"/>
      <c r="G25" s="627"/>
      <c r="H25" s="627"/>
      <c r="I25" s="627"/>
      <c r="J25" s="627"/>
      <c r="K25" s="627"/>
      <c r="L25" s="627"/>
      <c r="M25" s="627"/>
      <c r="N25" s="627"/>
      <c r="O25" s="627"/>
      <c r="P25" s="627"/>
      <c r="Q25" s="627"/>
    </row>
    <row r="26" spans="1:17" s="628" customFormat="1" ht="15.5">
      <c r="A26" s="627"/>
      <c r="B26" s="627"/>
      <c r="C26" s="627"/>
      <c r="D26" s="627" t="s">
        <v>1208</v>
      </c>
      <c r="E26" s="627"/>
      <c r="F26" s="627"/>
      <c r="G26" s="627"/>
      <c r="H26" s="627"/>
      <c r="I26" s="627"/>
      <c r="J26" s="627"/>
      <c r="K26" s="627"/>
      <c r="L26" s="627"/>
      <c r="M26" s="627"/>
      <c r="N26" s="627"/>
      <c r="O26" s="627"/>
      <c r="P26" s="627"/>
      <c r="Q26" s="627"/>
    </row>
    <row r="27" spans="1:17" s="628" customFormat="1"/>
    <row r="28" spans="1:17" ht="15.5">
      <c r="C28" s="352"/>
      <c r="D28" s="352"/>
      <c r="E28" s="352"/>
      <c r="F28" s="352"/>
      <c r="H28" s="352"/>
      <c r="I28" s="352"/>
      <c r="J28" s="352"/>
      <c r="K28" s="352"/>
      <c r="L28" s="352"/>
    </row>
    <row r="29" spans="1:17" ht="15.5">
      <c r="B29" s="355"/>
      <c r="C29" s="352"/>
      <c r="D29" s="352"/>
      <c r="E29" s="352"/>
      <c r="F29" s="352"/>
      <c r="G29" s="352"/>
      <c r="H29" s="352"/>
      <c r="I29" s="352"/>
      <c r="J29" s="352"/>
      <c r="K29" s="352"/>
      <c r="L29" s="352"/>
      <c r="M29" s="352"/>
      <c r="N29" s="352"/>
      <c r="O29" s="352"/>
      <c r="P29" s="352"/>
      <c r="Q29" s="352"/>
    </row>
    <row r="30" spans="1:17" ht="15.5">
      <c r="B30" s="355"/>
      <c r="C30" s="352"/>
      <c r="D30" s="352"/>
      <c r="E30" s="352"/>
      <c r="F30" s="352"/>
      <c r="G30" s="352"/>
      <c r="H30" s="352"/>
      <c r="I30" s="352"/>
      <c r="J30" s="352"/>
      <c r="K30" s="352"/>
      <c r="L30" s="352"/>
      <c r="M30" s="352"/>
      <c r="N30" s="352"/>
      <c r="O30" s="352"/>
      <c r="P30" s="352"/>
      <c r="Q30" s="352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0"/>
  <sheetViews>
    <sheetView showZeros="0" rightToLeft="1" zoomScaleNormal="100" workbookViewId="0">
      <pane xSplit="3" ySplit="4" topLeftCell="D14" activePane="bottomRight" state="frozen"/>
      <selection activeCell="T20" sqref="T20"/>
      <selection pane="topRight" activeCell="T20" sqref="T20"/>
      <selection pane="bottomLeft" activeCell="T20" sqref="T20"/>
      <selection pane="bottomRight" activeCell="T20" sqref="T20"/>
    </sheetView>
  </sheetViews>
  <sheetFormatPr defaultColWidth="9.1796875" defaultRowHeight="14"/>
  <cols>
    <col min="1" max="1" width="3.54296875" style="40" customWidth="1"/>
    <col min="2" max="2" width="5.453125" style="15" customWidth="1"/>
    <col min="3" max="3" width="35.7265625" style="15" customWidth="1"/>
    <col min="4" max="4" width="9.453125" style="17" customWidth="1"/>
    <col min="5" max="5" width="9.1796875" style="17" customWidth="1"/>
    <col min="6" max="6" width="10.54296875" style="17" customWidth="1"/>
    <col min="7" max="7" width="11.1796875" style="17" hidden="1" customWidth="1"/>
    <col min="8" max="10" width="12.7265625" style="17" hidden="1" customWidth="1"/>
    <col min="11" max="11" width="11.26953125" style="17" hidden="1" customWidth="1"/>
    <col min="12" max="12" width="9.26953125" style="17" customWidth="1"/>
    <col min="13" max="13" width="7.54296875" style="17" customWidth="1"/>
    <col min="14" max="14" width="10.453125" style="17" customWidth="1"/>
    <col min="15" max="15" width="8.54296875" style="17" customWidth="1"/>
    <col min="16" max="17" width="11.1796875" style="17" hidden="1" customWidth="1"/>
    <col min="18" max="19" width="12" style="17" hidden="1" customWidth="1"/>
    <col min="20" max="20" width="7.26953125" style="17" customWidth="1"/>
    <col min="21" max="21" width="10" style="15" customWidth="1"/>
    <col min="22" max="22" width="10.26953125" style="15" hidden="1" customWidth="1"/>
    <col min="23" max="23" width="9.1796875" style="15" customWidth="1"/>
    <col min="24" max="25" width="5.26953125" style="15" hidden="1" customWidth="1"/>
    <col min="26" max="26" width="7.81640625" style="15" customWidth="1"/>
    <col min="27" max="27" width="28.1796875" style="15" customWidth="1"/>
    <col min="28" max="28" width="7.81640625" style="15" hidden="1" customWidth="1"/>
    <col min="29" max="29" width="24.453125" style="418" customWidth="1"/>
    <col min="30" max="30" width="9.1796875" style="266" bestFit="1" customWidth="1"/>
    <col min="31" max="31" width="24.453125" style="266" customWidth="1"/>
    <col min="32" max="32" width="9.54296875" style="266" customWidth="1"/>
    <col min="33" max="33" width="10.453125" style="34" customWidth="1"/>
    <col min="34" max="34" width="7.54296875" style="34" bestFit="1" customWidth="1"/>
    <col min="35" max="35" width="12.26953125" style="34" customWidth="1"/>
    <col min="36" max="36" width="13.1796875" style="34" customWidth="1"/>
    <col min="37" max="37" width="21.7265625" style="34" customWidth="1"/>
    <col min="38" max="39" width="9.1796875" style="20" customWidth="1"/>
    <col min="40" max="40" width="1.54296875" style="20" customWidth="1"/>
    <col min="41" max="42" width="9.1796875" style="20" customWidth="1"/>
    <col min="43" max="16384" width="9.1796875" style="15"/>
  </cols>
  <sheetData>
    <row r="1" spans="1:42" s="416" customFormat="1" ht="18">
      <c r="A1" s="414"/>
      <c r="B1" s="414"/>
      <c r="C1" s="414"/>
      <c r="D1" s="414"/>
      <c r="E1" s="414"/>
      <c r="F1" s="414"/>
      <c r="G1" s="414"/>
      <c r="H1" s="414"/>
      <c r="I1" s="414"/>
      <c r="J1" s="414"/>
      <c r="K1" s="414"/>
      <c r="L1" s="414"/>
      <c r="M1" s="414"/>
      <c r="N1" s="414"/>
      <c r="O1" s="414"/>
      <c r="P1" s="414"/>
      <c r="Q1" s="414"/>
      <c r="R1" s="414"/>
      <c r="S1" s="414"/>
      <c r="T1" s="414"/>
      <c r="U1" s="414"/>
      <c r="V1" s="414"/>
      <c r="W1" s="414"/>
      <c r="X1" s="414"/>
      <c r="Y1" s="414"/>
      <c r="Z1" s="414"/>
      <c r="AA1" s="415"/>
      <c r="AB1" s="415"/>
      <c r="AC1" s="418"/>
      <c r="AD1" s="266"/>
      <c r="AE1" s="266"/>
      <c r="AF1" s="266"/>
      <c r="AG1" s="34"/>
      <c r="AH1" s="34"/>
      <c r="AI1" s="34"/>
      <c r="AJ1" s="34"/>
      <c r="AK1" s="34"/>
    </row>
    <row r="2" spans="1:42" s="247" customFormat="1" ht="18">
      <c r="A2" s="414" t="s">
        <v>371</v>
      </c>
      <c r="B2" s="414"/>
      <c r="C2" s="414"/>
      <c r="D2" s="414"/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414"/>
      <c r="R2" s="414"/>
      <c r="S2" s="414"/>
      <c r="T2" s="414"/>
      <c r="U2" s="414"/>
      <c r="V2" s="414"/>
      <c r="W2" s="414"/>
      <c r="X2" s="414"/>
      <c r="Y2" s="414"/>
      <c r="Z2" s="414"/>
      <c r="AA2" s="418"/>
      <c r="AB2" s="418"/>
      <c r="AC2" s="418"/>
      <c r="AD2" s="266"/>
      <c r="AE2" s="266"/>
      <c r="AF2" s="266"/>
      <c r="AG2" s="34"/>
      <c r="AH2" s="34"/>
      <c r="AI2" s="34"/>
      <c r="AJ2" s="34"/>
      <c r="AK2" s="34"/>
    </row>
    <row r="4" spans="1:42" s="34" customFormat="1" ht="86.25" customHeight="1">
      <c r="A4" s="19" t="s">
        <v>0</v>
      </c>
      <c r="B4" s="19" t="s">
        <v>1</v>
      </c>
      <c r="C4" s="19" t="s">
        <v>2</v>
      </c>
      <c r="D4" s="19" t="s">
        <v>3</v>
      </c>
      <c r="E4" s="19" t="s">
        <v>4</v>
      </c>
      <c r="F4" s="19" t="s">
        <v>5</v>
      </c>
      <c r="G4" s="19" t="s">
        <v>6</v>
      </c>
      <c r="H4" s="19" t="s">
        <v>7</v>
      </c>
      <c r="I4" s="19" t="s">
        <v>9</v>
      </c>
      <c r="J4" s="19" t="s">
        <v>318</v>
      </c>
      <c r="K4" s="19" t="s">
        <v>10</v>
      </c>
      <c r="L4" s="19" t="s">
        <v>11</v>
      </c>
      <c r="M4" s="11" t="s">
        <v>627</v>
      </c>
      <c r="N4" s="19" t="s">
        <v>628</v>
      </c>
      <c r="O4" s="19" t="s">
        <v>629</v>
      </c>
      <c r="P4" s="19" t="s">
        <v>12</v>
      </c>
      <c r="Q4" s="19" t="s">
        <v>630</v>
      </c>
      <c r="R4" s="19" t="s">
        <v>631</v>
      </c>
      <c r="S4" s="19" t="s">
        <v>632</v>
      </c>
      <c r="T4" s="19" t="s">
        <v>633</v>
      </c>
      <c r="U4" s="19" t="s">
        <v>634</v>
      </c>
      <c r="V4" s="19" t="s">
        <v>13</v>
      </c>
      <c r="W4" s="19" t="s">
        <v>14</v>
      </c>
      <c r="X4" s="19" t="s">
        <v>15</v>
      </c>
      <c r="Y4" s="19" t="s">
        <v>523</v>
      </c>
      <c r="Z4" s="19" t="s">
        <v>140</v>
      </c>
      <c r="AA4" s="421" t="s">
        <v>635</v>
      </c>
      <c r="AB4" s="19" t="s">
        <v>16</v>
      </c>
      <c r="AC4" s="418"/>
      <c r="AD4" s="266"/>
      <c r="AE4" s="266"/>
      <c r="AF4" s="266"/>
    </row>
    <row r="5" spans="1:42" s="5" customFormat="1" ht="18.75" customHeight="1">
      <c r="A5" s="3"/>
      <c r="B5" s="3"/>
      <c r="C5" s="48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3"/>
      <c r="AA5" s="3"/>
      <c r="AB5" s="3"/>
      <c r="AC5" s="418"/>
      <c r="AD5" s="266"/>
      <c r="AE5" s="266"/>
      <c r="AF5" s="266"/>
      <c r="AG5" s="34"/>
      <c r="AH5" s="34"/>
      <c r="AI5" s="34"/>
      <c r="AJ5" s="34"/>
      <c r="AK5" s="34"/>
      <c r="AL5" s="30"/>
      <c r="AM5" s="31"/>
      <c r="AN5" s="31"/>
      <c r="AO5" s="31"/>
      <c r="AP5" s="31"/>
    </row>
    <row r="6" spans="1:42" s="5" customFormat="1" ht="35.15" customHeight="1">
      <c r="A6" s="3">
        <f>A5+1</f>
        <v>1</v>
      </c>
      <c r="B6" s="3">
        <v>1630</v>
      </c>
      <c r="C6" s="3" t="s">
        <v>1141</v>
      </c>
      <c r="D6" s="4">
        <f>960000-460000</f>
        <v>500000</v>
      </c>
      <c r="E6" s="4">
        <v>960000</v>
      </c>
      <c r="F6" s="4">
        <f>D6-E6</f>
        <v>-460000</v>
      </c>
      <c r="G6" s="4">
        <v>530000</v>
      </c>
      <c r="H6" s="4">
        <v>495765</v>
      </c>
      <c r="I6" s="4"/>
      <c r="J6" s="4"/>
      <c r="K6" s="4">
        <f t="shared" ref="K6:K20" si="0">I6+J6</f>
        <v>0</v>
      </c>
      <c r="L6" s="4">
        <f t="shared" ref="L6:L20" si="1">H6+K6</f>
        <v>495765</v>
      </c>
      <c r="M6" s="4">
        <f>P6+S6-30000</f>
        <v>4235</v>
      </c>
      <c r="N6" s="4">
        <f>200000-110000-90000</f>
        <v>0</v>
      </c>
      <c r="O6" s="4">
        <f t="shared" ref="O6:O20" si="2">D6-L6-M6-N6</f>
        <v>0</v>
      </c>
      <c r="P6" s="4">
        <f t="shared" ref="P6:P20" si="3">G6-L6</f>
        <v>34235</v>
      </c>
      <c r="Q6" s="4"/>
      <c r="R6" s="4"/>
      <c r="S6" s="4">
        <f t="shared" ref="S6:S20" si="4">SUM(Q6:R6)</f>
        <v>0</v>
      </c>
      <c r="T6" s="4">
        <f t="shared" ref="T6:T20" si="5">P6-M6+S6</f>
        <v>30000</v>
      </c>
      <c r="U6" s="4">
        <f t="shared" ref="U6:U20" si="6">N6-T6</f>
        <v>-30000</v>
      </c>
      <c r="V6" s="12"/>
      <c r="W6" s="4">
        <f t="shared" ref="W6:W20" si="7">U6-V6-Y6-Z6</f>
        <v>-30000</v>
      </c>
      <c r="X6" s="4"/>
      <c r="Y6" s="4"/>
      <c r="Z6" s="3"/>
      <c r="AA6" s="3"/>
      <c r="AB6" s="3">
        <v>747000</v>
      </c>
      <c r="AC6" s="418"/>
      <c r="AD6" s="266"/>
      <c r="AE6" s="266"/>
      <c r="AF6" s="266"/>
      <c r="AG6" s="34"/>
      <c r="AH6" s="41"/>
      <c r="AI6" s="34"/>
      <c r="AJ6" s="34"/>
      <c r="AK6" s="34"/>
      <c r="AL6" s="30"/>
      <c r="AM6" s="31"/>
      <c r="AN6" s="31"/>
      <c r="AO6" s="31"/>
      <c r="AP6" s="31"/>
    </row>
    <row r="7" spans="1:42" s="5" customFormat="1" ht="35.15" customHeight="1">
      <c r="A7" s="3">
        <f t="shared" ref="A7:A24" si="8">A6+1</f>
        <v>2</v>
      </c>
      <c r="B7" s="3">
        <v>1700</v>
      </c>
      <c r="C7" s="3" t="s">
        <v>308</v>
      </c>
      <c r="D7" s="4">
        <v>72000</v>
      </c>
      <c r="E7" s="4">
        <v>72000</v>
      </c>
      <c r="F7" s="4">
        <f t="shared" ref="F7:F20" si="9">D7-E7</f>
        <v>0</v>
      </c>
      <c r="G7" s="4">
        <v>72000</v>
      </c>
      <c r="H7" s="4">
        <v>56971</v>
      </c>
      <c r="I7" s="4"/>
      <c r="J7" s="4"/>
      <c r="K7" s="4">
        <f t="shared" si="0"/>
        <v>0</v>
      </c>
      <c r="L7" s="4">
        <f t="shared" si="1"/>
        <v>56971</v>
      </c>
      <c r="M7" s="4">
        <f t="shared" ref="M7:M20" si="10">P7+S7</f>
        <v>15029</v>
      </c>
      <c r="N7" s="4"/>
      <c r="O7" s="4">
        <f t="shared" si="2"/>
        <v>0</v>
      </c>
      <c r="P7" s="4">
        <f t="shared" si="3"/>
        <v>15029</v>
      </c>
      <c r="Q7" s="4"/>
      <c r="R7" s="4"/>
      <c r="S7" s="4">
        <f t="shared" si="4"/>
        <v>0</v>
      </c>
      <c r="T7" s="4">
        <f t="shared" si="5"/>
        <v>0</v>
      </c>
      <c r="U7" s="4">
        <f t="shared" si="6"/>
        <v>0</v>
      </c>
      <c r="V7" s="12"/>
      <c r="W7" s="4">
        <f t="shared" si="7"/>
        <v>0</v>
      </c>
      <c r="X7" s="4"/>
      <c r="Y7" s="4"/>
      <c r="Z7" s="3"/>
      <c r="AA7" s="3" t="s">
        <v>1368</v>
      </c>
      <c r="AB7" s="3">
        <v>747000</v>
      </c>
      <c r="AC7" s="418"/>
      <c r="AD7" s="266"/>
      <c r="AE7" s="266"/>
      <c r="AF7" s="266"/>
      <c r="AG7" s="34"/>
      <c r="AH7" s="41"/>
      <c r="AI7" s="34"/>
      <c r="AJ7" s="34"/>
      <c r="AK7" s="34"/>
      <c r="AL7" s="30"/>
      <c r="AM7" s="31"/>
      <c r="AN7" s="31"/>
      <c r="AO7" s="31"/>
      <c r="AP7" s="31"/>
    </row>
    <row r="8" spans="1:42" s="5" customFormat="1" ht="35.15" customHeight="1">
      <c r="A8" s="3">
        <f t="shared" si="8"/>
        <v>3</v>
      </c>
      <c r="B8" s="3">
        <v>1862</v>
      </c>
      <c r="C8" s="3" t="s">
        <v>501</v>
      </c>
      <c r="D8" s="4">
        <v>2200000</v>
      </c>
      <c r="E8" s="4">
        <v>2200000</v>
      </c>
      <c r="F8" s="4">
        <f t="shared" si="9"/>
        <v>0</v>
      </c>
      <c r="G8" s="4">
        <v>2200000</v>
      </c>
      <c r="H8" s="4">
        <v>2136042.8199999998</v>
      </c>
      <c r="I8" s="4"/>
      <c r="J8" s="4">
        <v>59654.47</v>
      </c>
      <c r="K8" s="4">
        <f t="shared" si="0"/>
        <v>59654.47</v>
      </c>
      <c r="L8" s="4">
        <f t="shared" si="1"/>
        <v>2195697.29</v>
      </c>
      <c r="M8" s="4">
        <f t="shared" si="10"/>
        <v>4302.7099999999627</v>
      </c>
      <c r="N8" s="4"/>
      <c r="O8" s="4">
        <f t="shared" si="2"/>
        <v>0</v>
      </c>
      <c r="P8" s="4">
        <f t="shared" si="3"/>
        <v>4302.7099999999627</v>
      </c>
      <c r="Q8" s="4"/>
      <c r="R8" s="4"/>
      <c r="S8" s="4">
        <f t="shared" si="4"/>
        <v>0</v>
      </c>
      <c r="T8" s="4">
        <f t="shared" si="5"/>
        <v>0</v>
      </c>
      <c r="U8" s="4">
        <f t="shared" si="6"/>
        <v>0</v>
      </c>
      <c r="V8" s="12"/>
      <c r="W8" s="4">
        <f t="shared" si="7"/>
        <v>0</v>
      </c>
      <c r="X8" s="4"/>
      <c r="Y8" s="4"/>
      <c r="Z8" s="3"/>
      <c r="AA8" s="3"/>
      <c r="AB8" s="3">
        <v>747000</v>
      </c>
      <c r="AC8" s="418"/>
      <c r="AD8" s="266"/>
      <c r="AE8" s="266"/>
      <c r="AF8" s="266"/>
      <c r="AG8" s="34"/>
      <c r="AH8" s="41"/>
      <c r="AI8" s="34"/>
      <c r="AJ8" s="34"/>
      <c r="AK8" s="34"/>
      <c r="AL8" s="30"/>
      <c r="AM8" s="31"/>
      <c r="AN8" s="31"/>
      <c r="AO8" s="31"/>
      <c r="AP8" s="31"/>
    </row>
    <row r="9" spans="1:42" s="5" customFormat="1" ht="35.15" customHeight="1">
      <c r="A9" s="3">
        <f t="shared" si="8"/>
        <v>4</v>
      </c>
      <c r="B9" s="3">
        <v>1864</v>
      </c>
      <c r="C9" s="3" t="s">
        <v>1167</v>
      </c>
      <c r="D9" s="4">
        <f>1500000-1200000</f>
        <v>300000</v>
      </c>
      <c r="E9" s="4">
        <v>1500000</v>
      </c>
      <c r="F9" s="4">
        <f t="shared" si="9"/>
        <v>-1200000</v>
      </c>
      <c r="G9" s="4">
        <v>300000</v>
      </c>
      <c r="H9" s="4">
        <v>250000</v>
      </c>
      <c r="I9" s="4"/>
      <c r="J9" s="4">
        <v>12110</v>
      </c>
      <c r="K9" s="4">
        <f t="shared" si="0"/>
        <v>12110</v>
      </c>
      <c r="L9" s="4">
        <f t="shared" si="1"/>
        <v>262110</v>
      </c>
      <c r="M9" s="4">
        <f t="shared" si="10"/>
        <v>37890</v>
      </c>
      <c r="N9" s="4"/>
      <c r="O9" s="4">
        <f t="shared" si="2"/>
        <v>0</v>
      </c>
      <c r="P9" s="4">
        <f t="shared" si="3"/>
        <v>37890</v>
      </c>
      <c r="Q9" s="4"/>
      <c r="R9" s="4"/>
      <c r="S9" s="4">
        <f t="shared" si="4"/>
        <v>0</v>
      </c>
      <c r="T9" s="4">
        <f t="shared" si="5"/>
        <v>0</v>
      </c>
      <c r="U9" s="4">
        <f t="shared" si="6"/>
        <v>0</v>
      </c>
      <c r="V9" s="12"/>
      <c r="W9" s="4">
        <f t="shared" si="7"/>
        <v>0</v>
      </c>
      <c r="X9" s="4"/>
      <c r="Y9" s="4"/>
      <c r="Z9" s="3"/>
      <c r="AA9" s="3" t="s">
        <v>1369</v>
      </c>
      <c r="AB9" s="3">
        <v>747000</v>
      </c>
      <c r="AC9" s="418"/>
      <c r="AD9" s="266"/>
      <c r="AE9" s="266"/>
      <c r="AF9" s="266"/>
      <c r="AG9" s="34"/>
      <c r="AH9" s="41"/>
      <c r="AI9" s="34"/>
      <c r="AJ9" s="34"/>
      <c r="AK9" s="34"/>
      <c r="AL9" s="30"/>
      <c r="AM9" s="31"/>
      <c r="AN9" s="31"/>
      <c r="AO9" s="31"/>
      <c r="AP9" s="31"/>
    </row>
    <row r="10" spans="1:42" s="5" customFormat="1" ht="35.15" customHeight="1">
      <c r="A10" s="3">
        <f t="shared" si="8"/>
        <v>5</v>
      </c>
      <c r="B10" s="3">
        <v>1923</v>
      </c>
      <c r="C10" s="3" t="s">
        <v>244</v>
      </c>
      <c r="D10" s="4">
        <f>350000-198000</f>
        <v>152000</v>
      </c>
      <c r="E10" s="4">
        <v>350000</v>
      </c>
      <c r="F10" s="4">
        <f t="shared" si="9"/>
        <v>-198000</v>
      </c>
      <c r="G10" s="4">
        <v>152000</v>
      </c>
      <c r="H10" s="4">
        <v>138855.6</v>
      </c>
      <c r="I10" s="4"/>
      <c r="J10" s="4">
        <v>13144</v>
      </c>
      <c r="K10" s="4">
        <f t="shared" si="0"/>
        <v>13144</v>
      </c>
      <c r="L10" s="4">
        <f t="shared" si="1"/>
        <v>151999.6</v>
      </c>
      <c r="M10" s="4">
        <f t="shared" si="10"/>
        <v>0.39999999999417923</v>
      </c>
      <c r="N10" s="4"/>
      <c r="O10" s="4">
        <f t="shared" si="2"/>
        <v>0</v>
      </c>
      <c r="P10" s="4">
        <f t="shared" si="3"/>
        <v>0.39999999999417923</v>
      </c>
      <c r="Q10" s="4"/>
      <c r="R10" s="4"/>
      <c r="S10" s="4">
        <f t="shared" si="4"/>
        <v>0</v>
      </c>
      <c r="T10" s="4">
        <f t="shared" si="5"/>
        <v>0</v>
      </c>
      <c r="U10" s="4">
        <f t="shared" si="6"/>
        <v>0</v>
      </c>
      <c r="V10" s="12"/>
      <c r="W10" s="4">
        <f t="shared" si="7"/>
        <v>0</v>
      </c>
      <c r="X10" s="4"/>
      <c r="Y10" s="4"/>
      <c r="Z10" s="3"/>
      <c r="AA10" s="3" t="s">
        <v>1165</v>
      </c>
      <c r="AB10" s="3">
        <v>747000</v>
      </c>
      <c r="AC10" s="418"/>
      <c r="AD10" s="266"/>
      <c r="AE10" s="266"/>
      <c r="AF10" s="266"/>
      <c r="AG10" s="34"/>
      <c r="AH10" s="41"/>
      <c r="AI10" s="34"/>
      <c r="AJ10" s="34"/>
      <c r="AK10" s="34"/>
      <c r="AL10" s="30"/>
      <c r="AM10" s="31"/>
      <c r="AN10" s="31"/>
      <c r="AO10" s="31"/>
      <c r="AP10" s="31"/>
    </row>
    <row r="11" spans="1:42" s="5" customFormat="1" ht="35.15" customHeight="1">
      <c r="A11" s="3">
        <f t="shared" si="8"/>
        <v>6</v>
      </c>
      <c r="B11" s="3">
        <v>1995</v>
      </c>
      <c r="C11" s="3" t="s">
        <v>338</v>
      </c>
      <c r="D11" s="4">
        <v>170000</v>
      </c>
      <c r="E11" s="4">
        <v>170000</v>
      </c>
      <c r="F11" s="4">
        <f t="shared" si="9"/>
        <v>0</v>
      </c>
      <c r="G11" s="4">
        <v>170000</v>
      </c>
      <c r="H11" s="4">
        <v>170000</v>
      </c>
      <c r="I11" s="4"/>
      <c r="J11" s="4"/>
      <c r="K11" s="4">
        <f t="shared" si="0"/>
        <v>0</v>
      </c>
      <c r="L11" s="4">
        <f t="shared" si="1"/>
        <v>170000</v>
      </c>
      <c r="M11" s="4">
        <f t="shared" si="10"/>
        <v>0</v>
      </c>
      <c r="N11" s="4"/>
      <c r="O11" s="4">
        <f t="shared" si="2"/>
        <v>0</v>
      </c>
      <c r="P11" s="4">
        <f t="shared" si="3"/>
        <v>0</v>
      </c>
      <c r="Q11" s="4"/>
      <c r="R11" s="4"/>
      <c r="S11" s="4">
        <f t="shared" si="4"/>
        <v>0</v>
      </c>
      <c r="T11" s="4">
        <f t="shared" si="5"/>
        <v>0</v>
      </c>
      <c r="U11" s="4">
        <f t="shared" si="6"/>
        <v>0</v>
      </c>
      <c r="V11" s="12"/>
      <c r="W11" s="4">
        <f t="shared" si="7"/>
        <v>0</v>
      </c>
      <c r="X11" s="4"/>
      <c r="Y11" s="4"/>
      <c r="Z11" s="3"/>
      <c r="AA11" s="3" t="s">
        <v>1164</v>
      </c>
      <c r="AB11" s="3">
        <v>747000</v>
      </c>
      <c r="AC11" s="418"/>
      <c r="AD11" s="266"/>
      <c r="AE11" s="266"/>
      <c r="AF11" s="266"/>
      <c r="AG11" s="34"/>
      <c r="AH11" s="41"/>
      <c r="AI11" s="34"/>
      <c r="AJ11" s="34"/>
      <c r="AK11" s="34"/>
      <c r="AL11" s="30"/>
      <c r="AM11" s="31"/>
      <c r="AN11" s="31"/>
      <c r="AO11" s="31"/>
      <c r="AP11" s="31"/>
    </row>
    <row r="12" spans="1:42" s="5" customFormat="1" ht="35.15" customHeight="1">
      <c r="A12" s="3">
        <f t="shared" si="8"/>
        <v>7</v>
      </c>
      <c r="B12" s="3">
        <v>1996</v>
      </c>
      <c r="C12" s="3" t="s">
        <v>339</v>
      </c>
      <c r="D12" s="4">
        <v>45000</v>
      </c>
      <c r="E12" s="4">
        <v>45000</v>
      </c>
      <c r="F12" s="4">
        <f t="shared" si="9"/>
        <v>0</v>
      </c>
      <c r="G12" s="4">
        <v>45000</v>
      </c>
      <c r="H12" s="4">
        <v>15993.9</v>
      </c>
      <c r="I12" s="4"/>
      <c r="J12" s="4">
        <v>2357.5500000000002</v>
      </c>
      <c r="K12" s="4">
        <f t="shared" si="0"/>
        <v>2357.5500000000002</v>
      </c>
      <c r="L12" s="4">
        <f t="shared" si="1"/>
        <v>18351.45</v>
      </c>
      <c r="M12" s="4">
        <f t="shared" si="10"/>
        <v>26648.55</v>
      </c>
      <c r="N12" s="4"/>
      <c r="O12" s="4">
        <f t="shared" si="2"/>
        <v>0</v>
      </c>
      <c r="P12" s="4">
        <f t="shared" si="3"/>
        <v>26648.55</v>
      </c>
      <c r="Q12" s="4"/>
      <c r="R12" s="4"/>
      <c r="S12" s="4">
        <f t="shared" si="4"/>
        <v>0</v>
      </c>
      <c r="T12" s="4">
        <f t="shared" si="5"/>
        <v>0</v>
      </c>
      <c r="U12" s="4">
        <f t="shared" si="6"/>
        <v>0</v>
      </c>
      <c r="V12" s="12"/>
      <c r="W12" s="4">
        <f t="shared" si="7"/>
        <v>0</v>
      </c>
      <c r="X12" s="4"/>
      <c r="Y12" s="4"/>
      <c r="Z12" s="3"/>
      <c r="AA12" s="3" t="s">
        <v>1164</v>
      </c>
      <c r="AB12" s="3">
        <v>747000</v>
      </c>
      <c r="AC12" s="418"/>
      <c r="AD12" s="266"/>
      <c r="AE12" s="266"/>
      <c r="AF12" s="266"/>
      <c r="AG12" s="34"/>
      <c r="AH12" s="41"/>
      <c r="AI12" s="34"/>
      <c r="AJ12" s="34"/>
      <c r="AK12" s="34"/>
      <c r="AL12" s="30"/>
      <c r="AM12" s="31"/>
      <c r="AN12" s="31"/>
      <c r="AO12" s="31"/>
      <c r="AP12" s="31"/>
    </row>
    <row r="13" spans="1:42" s="5" customFormat="1" ht="35.15" customHeight="1">
      <c r="A13" s="3">
        <f t="shared" si="8"/>
        <v>8</v>
      </c>
      <c r="B13" s="3">
        <v>1997</v>
      </c>
      <c r="C13" s="3" t="s">
        <v>340</v>
      </c>
      <c r="D13" s="4">
        <v>40000</v>
      </c>
      <c r="E13" s="4">
        <v>40000</v>
      </c>
      <c r="F13" s="4">
        <f t="shared" si="9"/>
        <v>0</v>
      </c>
      <c r="G13" s="4">
        <v>40000</v>
      </c>
      <c r="H13" s="4">
        <v>40000</v>
      </c>
      <c r="I13" s="4"/>
      <c r="J13" s="4"/>
      <c r="K13" s="4">
        <f t="shared" si="0"/>
        <v>0</v>
      </c>
      <c r="L13" s="4">
        <f t="shared" si="1"/>
        <v>40000</v>
      </c>
      <c r="M13" s="4">
        <f t="shared" si="10"/>
        <v>0</v>
      </c>
      <c r="N13" s="4"/>
      <c r="O13" s="4">
        <f t="shared" si="2"/>
        <v>0</v>
      </c>
      <c r="P13" s="4">
        <f t="shared" si="3"/>
        <v>0</v>
      </c>
      <c r="Q13" s="4"/>
      <c r="R13" s="4"/>
      <c r="S13" s="4">
        <f t="shared" si="4"/>
        <v>0</v>
      </c>
      <c r="T13" s="4">
        <f t="shared" si="5"/>
        <v>0</v>
      </c>
      <c r="U13" s="4">
        <f t="shared" si="6"/>
        <v>0</v>
      </c>
      <c r="V13" s="12"/>
      <c r="W13" s="4">
        <f t="shared" si="7"/>
        <v>0</v>
      </c>
      <c r="X13" s="4"/>
      <c r="Y13" s="4"/>
      <c r="Z13" s="3"/>
      <c r="AA13" s="3" t="s">
        <v>1164</v>
      </c>
      <c r="AB13" s="3">
        <v>747000</v>
      </c>
      <c r="AC13" s="418"/>
      <c r="AD13" s="266"/>
      <c r="AE13" s="266"/>
      <c r="AF13" s="266"/>
      <c r="AG13" s="34"/>
      <c r="AH13" s="41"/>
      <c r="AI13" s="34"/>
      <c r="AJ13" s="34"/>
      <c r="AK13" s="34"/>
      <c r="AL13" s="30"/>
      <c r="AM13" s="31"/>
      <c r="AN13" s="31"/>
      <c r="AO13" s="31"/>
      <c r="AP13" s="31"/>
    </row>
    <row r="14" spans="1:42" s="5" customFormat="1" ht="28">
      <c r="A14" s="3">
        <f t="shared" si="8"/>
        <v>9</v>
      </c>
      <c r="B14" s="3">
        <v>2043</v>
      </c>
      <c r="C14" s="3" t="s">
        <v>1277</v>
      </c>
      <c r="D14" s="4">
        <f>3600000+900000-900000</f>
        <v>3600000</v>
      </c>
      <c r="E14" s="4">
        <v>3600000</v>
      </c>
      <c r="F14" s="4">
        <f t="shared" si="9"/>
        <v>0</v>
      </c>
      <c r="G14" s="4">
        <v>1500000</v>
      </c>
      <c r="H14" s="4">
        <v>1322985</v>
      </c>
      <c r="I14" s="4"/>
      <c r="J14" s="4">
        <v>162618</v>
      </c>
      <c r="K14" s="4">
        <f t="shared" si="0"/>
        <v>162618</v>
      </c>
      <c r="L14" s="4">
        <f t="shared" si="1"/>
        <v>1485603</v>
      </c>
      <c r="M14" s="4">
        <f t="shared" si="10"/>
        <v>14397</v>
      </c>
      <c r="N14" s="4">
        <f>2000000+500000-500000-300000</f>
        <v>1700000</v>
      </c>
      <c r="O14" s="4">
        <f t="shared" si="2"/>
        <v>400000</v>
      </c>
      <c r="P14" s="4">
        <f t="shared" si="3"/>
        <v>14397</v>
      </c>
      <c r="Q14" s="4"/>
      <c r="R14" s="4"/>
      <c r="S14" s="4">
        <f t="shared" si="4"/>
        <v>0</v>
      </c>
      <c r="T14" s="4">
        <f t="shared" si="5"/>
        <v>0</v>
      </c>
      <c r="U14" s="4">
        <f t="shared" si="6"/>
        <v>1700000</v>
      </c>
      <c r="V14" s="12"/>
      <c r="W14" s="4">
        <f t="shared" si="7"/>
        <v>1700000</v>
      </c>
      <c r="X14" s="4"/>
      <c r="Y14" s="4"/>
      <c r="Z14" s="3"/>
      <c r="AA14" s="3" t="s">
        <v>1551</v>
      </c>
      <c r="AB14" s="3">
        <v>747000</v>
      </c>
      <c r="AC14" s="418"/>
      <c r="AD14" s="266"/>
      <c r="AE14" s="266"/>
      <c r="AF14" s="266"/>
      <c r="AG14" s="34"/>
      <c r="AH14" s="41"/>
      <c r="AI14" s="34"/>
      <c r="AJ14" s="34"/>
      <c r="AK14" s="34"/>
      <c r="AL14" s="30"/>
      <c r="AM14" s="31"/>
      <c r="AN14" s="31"/>
      <c r="AO14" s="31"/>
      <c r="AP14" s="31"/>
    </row>
    <row r="15" spans="1:42" s="5" customFormat="1" ht="35.15" customHeight="1">
      <c r="A15" s="3">
        <f t="shared" si="8"/>
        <v>10</v>
      </c>
      <c r="B15" s="3">
        <v>2044</v>
      </c>
      <c r="C15" s="3" t="s">
        <v>374</v>
      </c>
      <c r="D15" s="4">
        <v>105000</v>
      </c>
      <c r="E15" s="4">
        <v>105000</v>
      </c>
      <c r="F15" s="4">
        <f t="shared" si="9"/>
        <v>0</v>
      </c>
      <c r="G15" s="4">
        <v>105000</v>
      </c>
      <c r="H15" s="4">
        <v>56160</v>
      </c>
      <c r="I15" s="4"/>
      <c r="J15" s="4">
        <v>0</v>
      </c>
      <c r="K15" s="4">
        <f t="shared" si="0"/>
        <v>0</v>
      </c>
      <c r="L15" s="4">
        <f t="shared" si="1"/>
        <v>56160</v>
      </c>
      <c r="M15" s="4">
        <f t="shared" si="10"/>
        <v>48840</v>
      </c>
      <c r="N15" s="4"/>
      <c r="O15" s="4">
        <f t="shared" si="2"/>
        <v>0</v>
      </c>
      <c r="P15" s="4">
        <f t="shared" si="3"/>
        <v>48840</v>
      </c>
      <c r="Q15" s="4"/>
      <c r="R15" s="4"/>
      <c r="S15" s="4">
        <f t="shared" si="4"/>
        <v>0</v>
      </c>
      <c r="T15" s="4">
        <f t="shared" si="5"/>
        <v>0</v>
      </c>
      <c r="U15" s="4">
        <f t="shared" si="6"/>
        <v>0</v>
      </c>
      <c r="V15" s="12"/>
      <c r="W15" s="4">
        <f t="shared" si="7"/>
        <v>0</v>
      </c>
      <c r="X15" s="4"/>
      <c r="Y15" s="4"/>
      <c r="Z15" s="3"/>
      <c r="AA15" s="3" t="s">
        <v>1164</v>
      </c>
      <c r="AB15" s="3">
        <v>747000</v>
      </c>
      <c r="AC15" s="418"/>
      <c r="AD15" s="266"/>
      <c r="AE15" s="266"/>
      <c r="AF15" s="266"/>
      <c r="AG15" s="34"/>
      <c r="AH15" s="41"/>
      <c r="AI15" s="34"/>
      <c r="AJ15" s="34"/>
      <c r="AK15" s="34"/>
      <c r="AL15" s="30"/>
      <c r="AM15" s="31"/>
      <c r="AN15" s="31"/>
      <c r="AO15" s="31"/>
      <c r="AP15" s="31"/>
    </row>
    <row r="16" spans="1:42" s="5" customFormat="1" ht="35.15" customHeight="1">
      <c r="A16" s="3">
        <f t="shared" si="8"/>
        <v>11</v>
      </c>
      <c r="B16" s="3">
        <v>2045</v>
      </c>
      <c r="C16" s="3" t="s">
        <v>817</v>
      </c>
      <c r="D16" s="4">
        <v>205000</v>
      </c>
      <c r="E16" s="4">
        <v>205000</v>
      </c>
      <c r="F16" s="4">
        <f t="shared" si="9"/>
        <v>0</v>
      </c>
      <c r="G16" s="4">
        <v>205000</v>
      </c>
      <c r="H16" s="4">
        <v>0</v>
      </c>
      <c r="I16" s="4">
        <v>184044.03</v>
      </c>
      <c r="J16" s="4"/>
      <c r="K16" s="4">
        <f t="shared" si="0"/>
        <v>184044.03</v>
      </c>
      <c r="L16" s="4">
        <f t="shared" si="1"/>
        <v>184044.03</v>
      </c>
      <c r="M16" s="4">
        <f t="shared" si="10"/>
        <v>20955.97</v>
      </c>
      <c r="N16" s="4"/>
      <c r="O16" s="4">
        <f t="shared" si="2"/>
        <v>0</v>
      </c>
      <c r="P16" s="4">
        <f t="shared" si="3"/>
        <v>20955.97</v>
      </c>
      <c r="Q16" s="4"/>
      <c r="R16" s="4"/>
      <c r="S16" s="4">
        <f t="shared" si="4"/>
        <v>0</v>
      </c>
      <c r="T16" s="4">
        <f t="shared" si="5"/>
        <v>0</v>
      </c>
      <c r="U16" s="4">
        <f t="shared" si="6"/>
        <v>0</v>
      </c>
      <c r="V16" s="12"/>
      <c r="W16" s="4">
        <f t="shared" si="7"/>
        <v>0</v>
      </c>
      <c r="X16" s="4"/>
      <c r="Y16" s="4"/>
      <c r="Z16" s="3"/>
      <c r="AA16" s="3" t="s">
        <v>1164</v>
      </c>
      <c r="AB16" s="3">
        <v>747000</v>
      </c>
      <c r="AC16" s="418"/>
      <c r="AD16" s="266"/>
      <c r="AE16" s="266"/>
      <c r="AF16" s="266"/>
      <c r="AG16" s="34"/>
      <c r="AH16" s="41"/>
      <c r="AI16" s="34"/>
      <c r="AJ16" s="34"/>
      <c r="AK16" s="34"/>
      <c r="AL16" s="30"/>
      <c r="AM16" s="31"/>
      <c r="AN16" s="31"/>
      <c r="AO16" s="31"/>
      <c r="AP16" s="31"/>
    </row>
    <row r="17" spans="1:42" s="5" customFormat="1" ht="35.15" customHeight="1">
      <c r="A17" s="3">
        <f t="shared" si="8"/>
        <v>12</v>
      </c>
      <c r="B17" s="3">
        <v>2046</v>
      </c>
      <c r="C17" s="3" t="s">
        <v>376</v>
      </c>
      <c r="D17" s="4">
        <v>30000</v>
      </c>
      <c r="E17" s="4">
        <v>30000</v>
      </c>
      <c r="F17" s="4">
        <f t="shared" si="9"/>
        <v>0</v>
      </c>
      <c r="G17" s="4">
        <v>30000</v>
      </c>
      <c r="H17" s="4">
        <v>26140</v>
      </c>
      <c r="I17" s="4"/>
      <c r="J17" s="4">
        <v>3860</v>
      </c>
      <c r="K17" s="4">
        <f t="shared" si="0"/>
        <v>3860</v>
      </c>
      <c r="L17" s="4">
        <f t="shared" si="1"/>
        <v>30000</v>
      </c>
      <c r="M17" s="4">
        <f t="shared" si="10"/>
        <v>0</v>
      </c>
      <c r="N17" s="4"/>
      <c r="O17" s="4">
        <f t="shared" si="2"/>
        <v>0</v>
      </c>
      <c r="P17" s="4">
        <f t="shared" si="3"/>
        <v>0</v>
      </c>
      <c r="Q17" s="4"/>
      <c r="R17" s="4"/>
      <c r="S17" s="4">
        <f t="shared" si="4"/>
        <v>0</v>
      </c>
      <c r="T17" s="4">
        <f t="shared" si="5"/>
        <v>0</v>
      </c>
      <c r="U17" s="4">
        <f t="shared" si="6"/>
        <v>0</v>
      </c>
      <c r="V17" s="12"/>
      <c r="W17" s="4">
        <f t="shared" si="7"/>
        <v>0</v>
      </c>
      <c r="X17" s="4"/>
      <c r="Y17" s="4"/>
      <c r="Z17" s="3"/>
      <c r="AA17" s="3" t="s">
        <v>1164</v>
      </c>
      <c r="AB17" s="3">
        <v>747000</v>
      </c>
      <c r="AC17" s="418"/>
      <c r="AD17" s="266"/>
      <c r="AE17" s="266"/>
      <c r="AF17" s="266"/>
      <c r="AG17" s="34"/>
      <c r="AH17" s="41"/>
      <c r="AI17" s="34"/>
      <c r="AJ17" s="34"/>
      <c r="AK17" s="34"/>
      <c r="AL17" s="30"/>
      <c r="AM17" s="31"/>
      <c r="AN17" s="31"/>
      <c r="AO17" s="31"/>
      <c r="AP17" s="31"/>
    </row>
    <row r="18" spans="1:42" s="5" customFormat="1" ht="35.15" customHeight="1">
      <c r="A18" s="3">
        <f t="shared" si="8"/>
        <v>13</v>
      </c>
      <c r="B18" s="3">
        <v>2047</v>
      </c>
      <c r="C18" s="3" t="s">
        <v>818</v>
      </c>
      <c r="D18" s="4">
        <v>170000</v>
      </c>
      <c r="E18" s="4">
        <v>170000</v>
      </c>
      <c r="F18" s="4">
        <f t="shared" si="9"/>
        <v>0</v>
      </c>
      <c r="G18" s="4">
        <v>170000</v>
      </c>
      <c r="H18" s="4">
        <v>0</v>
      </c>
      <c r="I18" s="4">
        <v>170000</v>
      </c>
      <c r="J18" s="4"/>
      <c r="K18" s="4">
        <f t="shared" si="0"/>
        <v>170000</v>
      </c>
      <c r="L18" s="4">
        <f t="shared" si="1"/>
        <v>170000</v>
      </c>
      <c r="M18" s="4">
        <f t="shared" si="10"/>
        <v>0</v>
      </c>
      <c r="N18" s="4"/>
      <c r="O18" s="4">
        <f t="shared" si="2"/>
        <v>0</v>
      </c>
      <c r="P18" s="4">
        <f t="shared" si="3"/>
        <v>0</v>
      </c>
      <c r="Q18" s="4"/>
      <c r="R18" s="4"/>
      <c r="S18" s="4">
        <f t="shared" si="4"/>
        <v>0</v>
      </c>
      <c r="T18" s="4">
        <f t="shared" si="5"/>
        <v>0</v>
      </c>
      <c r="U18" s="4">
        <f t="shared" si="6"/>
        <v>0</v>
      </c>
      <c r="V18" s="12"/>
      <c r="W18" s="4">
        <f t="shared" si="7"/>
        <v>0</v>
      </c>
      <c r="X18" s="4"/>
      <c r="Y18" s="4"/>
      <c r="Z18" s="3"/>
      <c r="AA18" s="3" t="s">
        <v>1164</v>
      </c>
      <c r="AB18" s="3">
        <v>747000</v>
      </c>
      <c r="AC18" s="418"/>
      <c r="AD18" s="266"/>
      <c r="AE18" s="266"/>
      <c r="AF18" s="266"/>
      <c r="AG18" s="34"/>
      <c r="AH18" s="41"/>
      <c r="AI18" s="34"/>
      <c r="AJ18" s="34"/>
      <c r="AK18" s="34"/>
      <c r="AL18" s="30"/>
      <c r="AM18" s="31"/>
      <c r="AN18" s="31"/>
      <c r="AO18" s="31"/>
      <c r="AP18" s="31"/>
    </row>
    <row r="19" spans="1:42" s="5" customFormat="1" ht="35.15" customHeight="1">
      <c r="A19" s="3">
        <f t="shared" si="8"/>
        <v>14</v>
      </c>
      <c r="B19" s="3">
        <v>2048</v>
      </c>
      <c r="C19" s="3" t="s">
        <v>378</v>
      </c>
      <c r="D19" s="4">
        <v>45000</v>
      </c>
      <c r="E19" s="4">
        <v>45000</v>
      </c>
      <c r="F19" s="4">
        <f t="shared" si="9"/>
        <v>0</v>
      </c>
      <c r="G19" s="4">
        <v>45000</v>
      </c>
      <c r="H19" s="4">
        <v>25630</v>
      </c>
      <c r="I19" s="4"/>
      <c r="J19" s="4"/>
      <c r="K19" s="4">
        <f t="shared" si="0"/>
        <v>0</v>
      </c>
      <c r="L19" s="4">
        <f t="shared" si="1"/>
        <v>25630</v>
      </c>
      <c r="M19" s="4">
        <f t="shared" si="10"/>
        <v>19370</v>
      </c>
      <c r="N19" s="4"/>
      <c r="O19" s="4">
        <f t="shared" si="2"/>
        <v>0</v>
      </c>
      <c r="P19" s="4">
        <f t="shared" si="3"/>
        <v>19370</v>
      </c>
      <c r="Q19" s="4"/>
      <c r="R19" s="4"/>
      <c r="S19" s="4">
        <f t="shared" si="4"/>
        <v>0</v>
      </c>
      <c r="T19" s="4">
        <f t="shared" si="5"/>
        <v>0</v>
      </c>
      <c r="U19" s="4">
        <f t="shared" si="6"/>
        <v>0</v>
      </c>
      <c r="V19" s="12"/>
      <c r="W19" s="4">
        <f t="shared" si="7"/>
        <v>0</v>
      </c>
      <c r="X19" s="4"/>
      <c r="Y19" s="4"/>
      <c r="Z19" s="3"/>
      <c r="AA19" s="3" t="s">
        <v>1164</v>
      </c>
      <c r="AB19" s="3">
        <v>747000</v>
      </c>
      <c r="AC19" s="418"/>
      <c r="AD19" s="266"/>
      <c r="AE19" s="266"/>
      <c r="AF19" s="266"/>
      <c r="AG19" s="34"/>
      <c r="AH19" s="41"/>
      <c r="AI19" s="34"/>
      <c r="AJ19" s="34"/>
      <c r="AK19" s="34"/>
      <c r="AL19" s="30"/>
      <c r="AM19" s="31"/>
      <c r="AN19" s="31"/>
      <c r="AO19" s="31"/>
      <c r="AP19" s="31"/>
    </row>
    <row r="20" spans="1:42" s="5" customFormat="1" ht="35.15" customHeight="1">
      <c r="A20" s="3">
        <f t="shared" si="8"/>
        <v>15</v>
      </c>
      <c r="B20" s="3">
        <v>2049</v>
      </c>
      <c r="C20" s="3" t="s">
        <v>819</v>
      </c>
      <c r="D20" s="4">
        <v>24500</v>
      </c>
      <c r="E20" s="4">
        <v>24500</v>
      </c>
      <c r="F20" s="4">
        <f t="shared" si="9"/>
        <v>0</v>
      </c>
      <c r="G20" s="4">
        <v>24500</v>
      </c>
      <c r="H20" s="4">
        <v>0</v>
      </c>
      <c r="I20" s="4"/>
      <c r="J20" s="4">
        <v>1954</v>
      </c>
      <c r="K20" s="4">
        <f t="shared" si="0"/>
        <v>1954</v>
      </c>
      <c r="L20" s="4">
        <f t="shared" si="1"/>
        <v>1954</v>
      </c>
      <c r="M20" s="4">
        <f t="shared" si="10"/>
        <v>22546</v>
      </c>
      <c r="N20" s="4"/>
      <c r="O20" s="4">
        <f t="shared" si="2"/>
        <v>0</v>
      </c>
      <c r="P20" s="4">
        <f t="shared" si="3"/>
        <v>22546</v>
      </c>
      <c r="Q20" s="4"/>
      <c r="R20" s="4"/>
      <c r="S20" s="4">
        <f t="shared" si="4"/>
        <v>0</v>
      </c>
      <c r="T20" s="4">
        <f t="shared" si="5"/>
        <v>0</v>
      </c>
      <c r="U20" s="4">
        <f t="shared" si="6"/>
        <v>0</v>
      </c>
      <c r="V20" s="12"/>
      <c r="W20" s="4">
        <f t="shared" si="7"/>
        <v>0</v>
      </c>
      <c r="X20" s="4"/>
      <c r="Y20" s="4"/>
      <c r="Z20" s="3"/>
      <c r="AA20" s="3" t="s">
        <v>1164</v>
      </c>
      <c r="AB20" s="3">
        <v>747000</v>
      </c>
      <c r="AC20" s="418"/>
      <c r="AD20" s="266"/>
      <c r="AE20" s="266"/>
      <c r="AF20" s="266"/>
      <c r="AG20" s="34"/>
      <c r="AH20" s="41"/>
      <c r="AI20" s="34"/>
      <c r="AJ20" s="34"/>
      <c r="AK20" s="34"/>
      <c r="AL20" s="30"/>
      <c r="AM20" s="31"/>
      <c r="AN20" s="31"/>
      <c r="AO20" s="31"/>
      <c r="AP20" s="31"/>
    </row>
    <row r="21" spans="1:42" s="5" customFormat="1" ht="35.15" customHeight="1">
      <c r="A21" s="3">
        <f t="shared" si="8"/>
        <v>16</v>
      </c>
      <c r="B21" s="3">
        <v>2050</v>
      </c>
      <c r="C21" s="3" t="s">
        <v>820</v>
      </c>
      <c r="D21" s="4">
        <v>24500</v>
      </c>
      <c r="E21" s="4">
        <v>24500</v>
      </c>
      <c r="F21" s="4">
        <f>D21-E21</f>
        <v>0</v>
      </c>
      <c r="G21" s="4">
        <v>24500</v>
      </c>
      <c r="H21" s="4">
        <v>24500</v>
      </c>
      <c r="I21" s="4"/>
      <c r="J21" s="4">
        <v>0</v>
      </c>
      <c r="K21" s="4">
        <f>I21+J21</f>
        <v>0</v>
      </c>
      <c r="L21" s="4">
        <f>H21+K21</f>
        <v>24500</v>
      </c>
      <c r="M21" s="4">
        <f>P21+S21</f>
        <v>0</v>
      </c>
      <c r="N21" s="4"/>
      <c r="O21" s="4">
        <f>D21-L21-M21-N21</f>
        <v>0</v>
      </c>
      <c r="P21" s="4">
        <f>G21-L21</f>
        <v>0</v>
      </c>
      <c r="Q21" s="4"/>
      <c r="R21" s="4"/>
      <c r="S21" s="4">
        <f>SUM(Q21:R21)</f>
        <v>0</v>
      </c>
      <c r="T21" s="4">
        <f>P21-M21+S21</f>
        <v>0</v>
      </c>
      <c r="U21" s="4">
        <f>N21-T21</f>
        <v>0</v>
      </c>
      <c r="V21" s="12"/>
      <c r="W21" s="4">
        <f>U21-V21-Y21-Z21</f>
        <v>0</v>
      </c>
      <c r="X21" s="4"/>
      <c r="Y21" s="4"/>
      <c r="Z21" s="3"/>
      <c r="AA21" s="3" t="s">
        <v>1164</v>
      </c>
      <c r="AB21" s="3">
        <v>747000</v>
      </c>
      <c r="AC21" s="418"/>
      <c r="AD21" s="266"/>
      <c r="AE21" s="266"/>
      <c r="AF21" s="266"/>
      <c r="AG21" s="34"/>
      <c r="AH21" s="41"/>
      <c r="AI21" s="34"/>
      <c r="AJ21" s="34"/>
      <c r="AK21" s="34"/>
      <c r="AL21" s="30"/>
      <c r="AM21" s="31"/>
      <c r="AN21" s="31"/>
      <c r="AO21" s="31"/>
      <c r="AP21" s="31"/>
    </row>
    <row r="22" spans="1:42" s="5" customFormat="1" ht="35.15" customHeight="1">
      <c r="A22" s="3">
        <f t="shared" si="8"/>
        <v>17</v>
      </c>
      <c r="B22" s="42">
        <v>2084</v>
      </c>
      <c r="C22" s="3" t="s">
        <v>821</v>
      </c>
      <c r="D22" s="4">
        <v>85000</v>
      </c>
      <c r="E22" s="4"/>
      <c r="F22" s="4">
        <f>D22-E22</f>
        <v>85000</v>
      </c>
      <c r="G22" s="4">
        <v>0</v>
      </c>
      <c r="H22" s="4">
        <v>0</v>
      </c>
      <c r="I22" s="4">
        <v>0</v>
      </c>
      <c r="J22" s="4"/>
      <c r="K22" s="4">
        <f>I22+J22</f>
        <v>0</v>
      </c>
      <c r="L22" s="4">
        <f>H22+K22</f>
        <v>0</v>
      </c>
      <c r="M22" s="4">
        <f>P22+S22</f>
        <v>0</v>
      </c>
      <c r="N22" s="4">
        <v>85000</v>
      </c>
      <c r="O22" s="4">
        <f>D22-L22-M22-N22</f>
        <v>0</v>
      </c>
      <c r="P22" s="4">
        <f>G22-L22</f>
        <v>0</v>
      </c>
      <c r="Q22" s="4"/>
      <c r="R22" s="4"/>
      <c r="S22" s="4">
        <f>SUM(Q22:R22)</f>
        <v>0</v>
      </c>
      <c r="T22" s="4">
        <f>P22-M22+S22</f>
        <v>0</v>
      </c>
      <c r="U22" s="4">
        <f>N22-T22</f>
        <v>85000</v>
      </c>
      <c r="V22" s="12"/>
      <c r="W22" s="4">
        <f>U22-V22-Y22-Z22</f>
        <v>0</v>
      </c>
      <c r="X22" s="4"/>
      <c r="Y22" s="4"/>
      <c r="Z22" s="4">
        <v>85000</v>
      </c>
      <c r="AA22" s="3" t="s">
        <v>1168</v>
      </c>
      <c r="AB22" s="3">
        <v>747000</v>
      </c>
      <c r="AC22" s="418"/>
      <c r="AD22" s="266"/>
      <c r="AE22" s="266"/>
      <c r="AF22" s="266"/>
      <c r="AG22" s="34"/>
      <c r="AH22" s="34"/>
      <c r="AI22" s="34"/>
      <c r="AJ22" s="34"/>
      <c r="AK22" s="34"/>
      <c r="AL22" s="30"/>
      <c r="AM22" s="30"/>
      <c r="AN22" s="31"/>
      <c r="AO22" s="31"/>
      <c r="AP22" s="31"/>
    </row>
    <row r="23" spans="1:42" s="5" customFormat="1" ht="35.15" customHeight="1">
      <c r="A23" s="3">
        <f t="shared" si="8"/>
        <v>18</v>
      </c>
      <c r="B23" s="42">
        <v>2085</v>
      </c>
      <c r="C23" s="3" t="s">
        <v>822</v>
      </c>
      <c r="D23" s="4">
        <v>85000</v>
      </c>
      <c r="E23" s="4"/>
      <c r="F23" s="4">
        <f>D23-E23</f>
        <v>85000</v>
      </c>
      <c r="G23" s="4">
        <v>0</v>
      </c>
      <c r="H23" s="4">
        <v>0</v>
      </c>
      <c r="I23" s="4"/>
      <c r="J23" s="4"/>
      <c r="K23" s="4">
        <f>I23+J23</f>
        <v>0</v>
      </c>
      <c r="L23" s="4">
        <f>H23+K23</f>
        <v>0</v>
      </c>
      <c r="M23" s="4">
        <f>P23+S23</f>
        <v>0</v>
      </c>
      <c r="N23" s="4">
        <v>85000</v>
      </c>
      <c r="O23" s="4">
        <f>D23-L23-M23-N23</f>
        <v>0</v>
      </c>
      <c r="P23" s="4">
        <f>G23-L23</f>
        <v>0</v>
      </c>
      <c r="Q23" s="4"/>
      <c r="R23" s="4"/>
      <c r="S23" s="4">
        <f>SUM(Q23:R23)</f>
        <v>0</v>
      </c>
      <c r="T23" s="4">
        <f>P23-M23+S23</f>
        <v>0</v>
      </c>
      <c r="U23" s="4">
        <f>N23-T23</f>
        <v>85000</v>
      </c>
      <c r="V23" s="12"/>
      <c r="W23" s="4">
        <f>U23-V23-Y23-Z23</f>
        <v>0</v>
      </c>
      <c r="X23" s="4"/>
      <c r="Y23" s="4"/>
      <c r="Z23" s="4">
        <v>85000</v>
      </c>
      <c r="AA23" s="3" t="s">
        <v>1169</v>
      </c>
      <c r="AB23" s="3">
        <v>747000</v>
      </c>
      <c r="AC23" s="418"/>
      <c r="AD23" s="266"/>
      <c r="AE23" s="266"/>
      <c r="AF23" s="266"/>
      <c r="AG23" s="34"/>
      <c r="AH23" s="34"/>
      <c r="AI23" s="34"/>
      <c r="AJ23" s="34"/>
      <c r="AK23" s="34"/>
      <c r="AL23" s="30"/>
      <c r="AM23" s="30"/>
      <c r="AN23" s="31"/>
      <c r="AO23" s="31"/>
      <c r="AP23" s="31"/>
    </row>
    <row r="24" spans="1:42" s="5" customFormat="1" ht="35.15" customHeight="1">
      <c r="A24" s="3">
        <f t="shared" si="8"/>
        <v>19</v>
      </c>
      <c r="B24" s="42">
        <v>2086</v>
      </c>
      <c r="C24" s="3" t="s">
        <v>823</v>
      </c>
      <c r="D24" s="4">
        <v>26159</v>
      </c>
      <c r="E24" s="4"/>
      <c r="F24" s="4">
        <f>D24-E24</f>
        <v>26159</v>
      </c>
      <c r="G24" s="4">
        <v>0</v>
      </c>
      <c r="H24" s="4">
        <v>0</v>
      </c>
      <c r="I24" s="4">
        <v>0</v>
      </c>
      <c r="J24" s="4"/>
      <c r="K24" s="4">
        <f>I24+J24</f>
        <v>0</v>
      </c>
      <c r="L24" s="4">
        <f>H24+K24</f>
        <v>0</v>
      </c>
      <c r="M24" s="4">
        <f>P24+S24</f>
        <v>0</v>
      </c>
      <c r="N24" s="4">
        <v>26159</v>
      </c>
      <c r="O24" s="4">
        <f>D24-L24-M24-N24</f>
        <v>0</v>
      </c>
      <c r="P24" s="4">
        <f>G24-L24</f>
        <v>0</v>
      </c>
      <c r="Q24" s="4"/>
      <c r="R24" s="4"/>
      <c r="S24" s="4">
        <f>SUM(Q24:R24)</f>
        <v>0</v>
      </c>
      <c r="T24" s="4">
        <f>P24-M24+S24</f>
        <v>0</v>
      </c>
      <c r="U24" s="4">
        <f>N24-T24</f>
        <v>26159</v>
      </c>
      <c r="V24" s="12"/>
      <c r="W24" s="4">
        <f>U24-V24-Y24-Z24</f>
        <v>0</v>
      </c>
      <c r="X24" s="4"/>
      <c r="Y24" s="4"/>
      <c r="Z24" s="4">
        <v>26159</v>
      </c>
      <c r="AA24" s="3" t="s">
        <v>1170</v>
      </c>
      <c r="AB24" s="3">
        <v>747000</v>
      </c>
      <c r="AC24" s="418"/>
      <c r="AD24" s="266"/>
      <c r="AE24" s="266"/>
      <c r="AF24" s="266"/>
      <c r="AG24" s="34"/>
      <c r="AH24" s="34"/>
      <c r="AI24" s="34"/>
      <c r="AJ24" s="34"/>
      <c r="AK24" s="34"/>
      <c r="AL24" s="30"/>
      <c r="AM24" s="30"/>
      <c r="AN24" s="31"/>
      <c r="AO24" s="31"/>
      <c r="AP24" s="31"/>
    </row>
    <row r="25" spans="1:42" s="56" customFormat="1" ht="35.15" customHeight="1">
      <c r="A25" s="48">
        <f>A24</f>
        <v>19</v>
      </c>
      <c r="B25" s="48" t="s">
        <v>67</v>
      </c>
      <c r="C25" s="260" t="s">
        <v>1083</v>
      </c>
      <c r="D25" s="13">
        <f t="shared" ref="D25:Z25" si="11">SUM(D6:D24)</f>
        <v>7879159</v>
      </c>
      <c r="E25" s="13">
        <f t="shared" si="11"/>
        <v>9541000</v>
      </c>
      <c r="F25" s="13">
        <f t="shared" si="11"/>
        <v>-1661841</v>
      </c>
      <c r="G25" s="13">
        <f t="shared" si="11"/>
        <v>5613000</v>
      </c>
      <c r="H25" s="13">
        <f t="shared" si="11"/>
        <v>4759043.32</v>
      </c>
      <c r="I25" s="13">
        <f t="shared" si="11"/>
        <v>354044.03</v>
      </c>
      <c r="J25" s="13">
        <f t="shared" si="11"/>
        <v>255698.02000000002</v>
      </c>
      <c r="K25" s="13">
        <f t="shared" si="11"/>
        <v>609742.05000000005</v>
      </c>
      <c r="L25" s="13">
        <f t="shared" si="11"/>
        <v>5368785.3700000001</v>
      </c>
      <c r="M25" s="13">
        <f t="shared" si="11"/>
        <v>214214.62999999998</v>
      </c>
      <c r="N25" s="13">
        <f t="shared" si="11"/>
        <v>1896159</v>
      </c>
      <c r="O25" s="13">
        <f t="shared" si="11"/>
        <v>400000</v>
      </c>
      <c r="P25" s="13">
        <f t="shared" si="11"/>
        <v>244214.62999999998</v>
      </c>
      <c r="Q25" s="13">
        <f t="shared" si="11"/>
        <v>0</v>
      </c>
      <c r="R25" s="13">
        <f t="shared" si="11"/>
        <v>0</v>
      </c>
      <c r="S25" s="13">
        <f t="shared" si="11"/>
        <v>0</v>
      </c>
      <c r="T25" s="13">
        <f t="shared" si="11"/>
        <v>30000</v>
      </c>
      <c r="U25" s="13">
        <f t="shared" si="11"/>
        <v>1866159</v>
      </c>
      <c r="V25" s="13">
        <f t="shared" si="11"/>
        <v>0</v>
      </c>
      <c r="W25" s="13">
        <f t="shared" si="11"/>
        <v>1670000</v>
      </c>
      <c r="X25" s="13">
        <f t="shared" si="11"/>
        <v>0</v>
      </c>
      <c r="Y25" s="13">
        <f t="shared" si="11"/>
        <v>0</v>
      </c>
      <c r="Z25" s="13">
        <f t="shared" si="11"/>
        <v>196159</v>
      </c>
      <c r="AA25" s="3"/>
      <c r="AB25" s="48"/>
      <c r="AC25" s="418"/>
      <c r="AD25" s="266"/>
      <c r="AE25" s="266"/>
      <c r="AF25" s="266"/>
      <c r="AG25" s="34"/>
      <c r="AH25" s="34"/>
      <c r="AI25" s="34"/>
      <c r="AJ25" s="34"/>
      <c r="AK25" s="34"/>
      <c r="AL25" s="30"/>
      <c r="AM25" s="62"/>
      <c r="AN25" s="62"/>
      <c r="AO25" s="62"/>
      <c r="AP25" s="62"/>
    </row>
    <row r="26" spans="1:42" hidden="1">
      <c r="A26" s="15"/>
      <c r="D26" s="15"/>
      <c r="E26" s="15"/>
      <c r="F26" s="15"/>
      <c r="G26" s="15"/>
      <c r="H26" s="15"/>
      <c r="I26" s="15"/>
      <c r="J26" s="15"/>
      <c r="K26" s="15"/>
      <c r="L26" s="275">
        <f>H25+K25</f>
        <v>5368785.3700000001</v>
      </c>
      <c r="M26" s="275">
        <f>P25+S25-T25</f>
        <v>214214.62999999998</v>
      </c>
      <c r="N26" s="15"/>
      <c r="O26" s="15"/>
      <c r="P26" s="24">
        <f>G25-L25</f>
        <v>244214.62999999989</v>
      </c>
      <c r="U26" s="24">
        <f>N25-T25</f>
        <v>1866159</v>
      </c>
      <c r="W26" s="61"/>
      <c r="Z26" s="61"/>
    </row>
    <row r="27" spans="1:42">
      <c r="A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U27" s="22"/>
      <c r="W27" s="61"/>
      <c r="Z27" s="61"/>
    </row>
    <row r="28" spans="1:42">
      <c r="A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U28" s="22"/>
      <c r="W28" s="61"/>
      <c r="Z28" s="61"/>
    </row>
    <row r="29" spans="1:42">
      <c r="A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U29" s="22"/>
      <c r="W29" s="61"/>
      <c r="Z29" s="61"/>
    </row>
    <row r="30" spans="1:42">
      <c r="A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U30" s="22"/>
      <c r="W30" s="61"/>
      <c r="Z30" s="61"/>
    </row>
    <row r="31" spans="1:42">
      <c r="A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U31" s="22"/>
      <c r="W31" s="61"/>
      <c r="Z31" s="61"/>
    </row>
    <row r="32" spans="1:42">
      <c r="A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R32" s="15"/>
      <c r="S32" s="15"/>
    </row>
    <row r="33" spans="1:20">
      <c r="A33" s="15"/>
      <c r="D33" s="15"/>
      <c r="E33" s="15"/>
      <c r="F33" s="15"/>
      <c r="G33" s="15"/>
      <c r="H33" s="15"/>
      <c r="I33" s="15"/>
      <c r="J33" s="15"/>
      <c r="K33" s="15"/>
      <c r="L33" s="15"/>
      <c r="M33" s="15"/>
    </row>
    <row r="34" spans="1:20">
      <c r="A34" s="15"/>
      <c r="D34" s="15"/>
      <c r="E34" s="15"/>
      <c r="F34" s="15"/>
      <c r="G34" s="15"/>
      <c r="H34" s="15"/>
      <c r="I34" s="15"/>
      <c r="J34" s="15"/>
      <c r="K34" s="15"/>
      <c r="L34" s="15"/>
      <c r="M34" s="15"/>
    </row>
    <row r="37" spans="1:20">
      <c r="A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20">
      <c r="A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20">
      <c r="A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20">
      <c r="A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S40" s="15"/>
      <c r="T40" s="15"/>
    </row>
  </sheetData>
  <sheetProtection formatCells="0" formatColumns="0" formatRows="0" insertColumns="0" insertRows="0" insertHyperlinks="0" deleteColumns="0" deleteRows="0" sort="0" autoFilter="0" pivotTables="0"/>
  <conditionalFormatting sqref="AA4">
    <cfRule type="cellIs" dxfId="248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0"/>
  <sheetViews>
    <sheetView showZeros="0" rightToLeft="1" zoomScaleNormal="100" workbookViewId="0">
      <pane xSplit="3" ySplit="4" topLeftCell="D20" activePane="bottomRight" state="frozen"/>
      <selection activeCell="C42" sqref="C42"/>
      <selection pane="topRight" activeCell="C42" sqref="C42"/>
      <selection pane="bottomLeft" activeCell="C42" sqref="C42"/>
      <selection pane="bottomRight" activeCell="C42" sqref="C42"/>
    </sheetView>
  </sheetViews>
  <sheetFormatPr defaultColWidth="9.1796875" defaultRowHeight="14"/>
  <cols>
    <col min="1" max="1" width="5.26953125" style="40" customWidth="1"/>
    <col min="2" max="2" width="6.7265625" style="15" customWidth="1"/>
    <col min="3" max="3" width="35.7265625" style="15" customWidth="1"/>
    <col min="4" max="4" width="9.453125" style="17" customWidth="1"/>
    <col min="5" max="5" width="11.1796875" style="17" customWidth="1"/>
    <col min="6" max="6" width="10.54296875" style="17" customWidth="1"/>
    <col min="7" max="7" width="11.1796875" style="17" hidden="1" customWidth="1"/>
    <col min="8" max="10" width="12.7265625" style="17" hidden="1" customWidth="1"/>
    <col min="11" max="11" width="11.26953125" style="17" hidden="1" customWidth="1"/>
    <col min="12" max="12" width="9.26953125" style="17" customWidth="1"/>
    <col min="13" max="13" width="7.54296875" style="17" customWidth="1"/>
    <col min="14" max="14" width="10.453125" style="17" customWidth="1"/>
    <col min="15" max="15" width="10.7265625" style="17" customWidth="1"/>
    <col min="16" max="16" width="8.26953125" style="17" customWidth="1"/>
    <col min="17" max="17" width="11.1796875" style="17" hidden="1" customWidth="1"/>
    <col min="18" max="19" width="12" style="17" hidden="1" customWidth="1"/>
    <col min="20" max="20" width="9" style="17" customWidth="1"/>
    <col min="21" max="21" width="10" style="15" customWidth="1"/>
    <col min="22" max="22" width="7.54296875" style="15" hidden="1" customWidth="1"/>
    <col min="23" max="23" width="9.1796875" style="15" customWidth="1"/>
    <col min="24" max="25" width="5.26953125" style="15" hidden="1" customWidth="1"/>
    <col min="26" max="26" width="7.81640625" style="15" customWidth="1"/>
    <col min="27" max="27" width="28.1796875" style="612" hidden="1" customWidth="1"/>
    <col min="28" max="28" width="7.81640625" style="15" customWidth="1"/>
    <col min="29" max="29" width="24.453125" style="418" customWidth="1"/>
    <col min="30" max="30" width="9.1796875" style="266" bestFit="1" customWidth="1"/>
    <col min="31" max="31" width="24.453125" style="266" customWidth="1"/>
    <col min="32" max="32" width="9.54296875" style="266" customWidth="1"/>
    <col min="33" max="33" width="10.453125" style="34" customWidth="1"/>
    <col min="34" max="34" width="7.54296875" style="34" bestFit="1" customWidth="1"/>
    <col min="35" max="35" width="12.26953125" style="34" customWidth="1"/>
    <col min="36" max="36" width="13.1796875" style="34" customWidth="1"/>
    <col min="37" max="37" width="21.7265625" style="34" customWidth="1"/>
    <col min="38" max="39" width="9.1796875" style="20" customWidth="1"/>
    <col min="40" max="40" width="1.54296875" style="20" customWidth="1"/>
    <col min="41" max="42" width="9.1796875" style="20" customWidth="1"/>
    <col min="43" max="16384" width="9.1796875" style="15"/>
  </cols>
  <sheetData>
    <row r="1" spans="1:42" s="416" customFormat="1" ht="18">
      <c r="A1" s="414"/>
      <c r="B1" s="414"/>
      <c r="C1" s="414"/>
      <c r="D1" s="414"/>
      <c r="E1" s="414"/>
      <c r="F1" s="414"/>
      <c r="G1" s="414"/>
      <c r="H1" s="414"/>
      <c r="I1" s="414"/>
      <c r="J1" s="414"/>
      <c r="K1" s="414"/>
      <c r="L1" s="414"/>
      <c r="M1" s="414"/>
      <c r="N1" s="414"/>
      <c r="O1" s="414"/>
      <c r="P1" s="414"/>
      <c r="Q1" s="414"/>
      <c r="R1" s="414"/>
      <c r="S1" s="414"/>
      <c r="T1" s="414"/>
      <c r="U1" s="414"/>
      <c r="V1" s="414"/>
      <c r="W1" s="414"/>
      <c r="X1" s="414"/>
      <c r="Y1" s="414"/>
      <c r="Z1" s="414"/>
      <c r="AA1" s="599"/>
      <c r="AB1" s="415"/>
      <c r="AC1" s="418"/>
      <c r="AD1" s="266"/>
      <c r="AE1" s="266"/>
      <c r="AF1" s="266"/>
      <c r="AG1" s="34"/>
      <c r="AH1" s="34"/>
      <c r="AI1" s="34"/>
      <c r="AJ1" s="34"/>
      <c r="AK1" s="34"/>
    </row>
    <row r="2" spans="1:42" s="247" customFormat="1" ht="18">
      <c r="A2" s="414" t="s">
        <v>371</v>
      </c>
      <c r="B2" s="414"/>
      <c r="C2" s="414"/>
      <c r="D2" s="414"/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414"/>
      <c r="R2" s="414"/>
      <c r="S2" s="414"/>
      <c r="T2" s="414"/>
      <c r="U2" s="414"/>
      <c r="V2" s="414"/>
      <c r="W2" s="414"/>
      <c r="X2" s="414"/>
      <c r="Y2" s="414"/>
      <c r="Z2" s="414"/>
      <c r="AA2" s="588"/>
      <c r="AB2" s="418"/>
      <c r="AC2" s="418"/>
      <c r="AD2" s="266"/>
      <c r="AE2" s="266"/>
      <c r="AF2" s="266"/>
      <c r="AG2" s="34"/>
      <c r="AH2" s="34"/>
      <c r="AI2" s="34"/>
      <c r="AJ2" s="34"/>
      <c r="AK2" s="34"/>
    </row>
    <row r="4" spans="1:42" s="34" customFormat="1" ht="86.25" customHeight="1">
      <c r="A4" s="19" t="s">
        <v>0</v>
      </c>
      <c r="B4" s="19" t="s">
        <v>1</v>
      </c>
      <c r="C4" s="19" t="s">
        <v>2</v>
      </c>
      <c r="D4" s="19" t="s">
        <v>3</v>
      </c>
      <c r="E4" s="19" t="s">
        <v>4</v>
      </c>
      <c r="F4" s="19" t="s">
        <v>5</v>
      </c>
      <c r="G4" s="19" t="s">
        <v>6</v>
      </c>
      <c r="H4" s="19" t="s">
        <v>7</v>
      </c>
      <c r="I4" s="19" t="s">
        <v>9</v>
      </c>
      <c r="J4" s="19" t="s">
        <v>318</v>
      </c>
      <c r="K4" s="19" t="s">
        <v>10</v>
      </c>
      <c r="L4" s="19" t="s">
        <v>11</v>
      </c>
      <c r="M4" s="11" t="s">
        <v>627</v>
      </c>
      <c r="N4" s="19" t="s">
        <v>628</v>
      </c>
      <c r="O4" s="19" t="s">
        <v>629</v>
      </c>
      <c r="P4" s="19" t="s">
        <v>12</v>
      </c>
      <c r="Q4" s="19" t="s">
        <v>630</v>
      </c>
      <c r="R4" s="19" t="s">
        <v>631</v>
      </c>
      <c r="S4" s="19" t="s">
        <v>632</v>
      </c>
      <c r="T4" s="19" t="s">
        <v>633</v>
      </c>
      <c r="U4" s="19" t="s">
        <v>634</v>
      </c>
      <c r="V4" s="19" t="s">
        <v>13</v>
      </c>
      <c r="W4" s="19" t="s">
        <v>14</v>
      </c>
      <c r="X4" s="19" t="s">
        <v>15</v>
      </c>
      <c r="Y4" s="19" t="s">
        <v>523</v>
      </c>
      <c r="Z4" s="19" t="s">
        <v>140</v>
      </c>
      <c r="AA4" s="477" t="s">
        <v>635</v>
      </c>
      <c r="AB4" s="19" t="s">
        <v>16</v>
      </c>
      <c r="AC4" s="418"/>
      <c r="AD4" s="266"/>
      <c r="AE4" s="266"/>
      <c r="AF4" s="266"/>
    </row>
    <row r="5" spans="1:42" s="5" customFormat="1" ht="18.75" customHeight="1">
      <c r="A5" s="3"/>
      <c r="B5" s="3"/>
      <c r="C5" s="48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3"/>
      <c r="AA5" s="410"/>
      <c r="AB5" s="3"/>
      <c r="AC5" s="418"/>
      <c r="AD5" s="266"/>
      <c r="AE5" s="266"/>
      <c r="AF5" s="266"/>
      <c r="AG5" s="34"/>
      <c r="AH5" s="34"/>
      <c r="AI5" s="34"/>
      <c r="AJ5" s="34"/>
      <c r="AK5" s="34"/>
      <c r="AL5" s="30"/>
      <c r="AM5" s="31"/>
      <c r="AN5" s="31"/>
      <c r="AO5" s="31"/>
      <c r="AP5" s="31"/>
    </row>
    <row r="6" spans="1:42" s="5" customFormat="1">
      <c r="A6" s="3">
        <f>A5+1</f>
        <v>1</v>
      </c>
      <c r="B6" s="3">
        <v>1630</v>
      </c>
      <c r="C6" s="3" t="s">
        <v>1141</v>
      </c>
      <c r="D6" s="4">
        <f>'תקציב רשות החופים 2019'!D6</f>
        <v>500000</v>
      </c>
      <c r="E6" s="4">
        <f>'תקציב רשות החופים 2019'!E6</f>
        <v>960000</v>
      </c>
      <c r="F6" s="4">
        <f>'תקציב רשות החופים 2019'!F6</f>
        <v>-460000</v>
      </c>
      <c r="G6" s="4">
        <f>'תקציב רשות החופים 2019'!G6</f>
        <v>530000</v>
      </c>
      <c r="H6" s="4">
        <f>'תקציב רשות החופים 2019'!H6</f>
        <v>495765</v>
      </c>
      <c r="I6" s="4">
        <f>'תקציב רשות החופים 2019'!I6</f>
        <v>0</v>
      </c>
      <c r="J6" s="4">
        <f>'תקציב רשות החופים 2019'!J6</f>
        <v>0</v>
      </c>
      <c r="K6" s="4">
        <f>'תקציב רשות החופים 2019'!K6</f>
        <v>0</v>
      </c>
      <c r="L6" s="4">
        <f>'תקציב רשות החופים 2019'!L6</f>
        <v>495765</v>
      </c>
      <c r="M6" s="4">
        <f>'תקציב רשות החופים 2019'!M6</f>
        <v>4235</v>
      </c>
      <c r="N6" s="4">
        <f>'תקציב רשות החופים 2019'!N6</f>
        <v>0</v>
      </c>
      <c r="O6" s="4">
        <f>'תקציב רשות החופים 2019'!O6</f>
        <v>0</v>
      </c>
      <c r="P6" s="4">
        <f>'תקציב רשות החופים 2019'!P6</f>
        <v>34235</v>
      </c>
      <c r="Q6" s="4">
        <f>'תקציב רשות החופים 2019'!Q6</f>
        <v>0</v>
      </c>
      <c r="R6" s="4">
        <f>'תקציב רשות החופים 2019'!R6</f>
        <v>0</v>
      </c>
      <c r="S6" s="4">
        <f>'תקציב רשות החופים 2019'!S6</f>
        <v>0</v>
      </c>
      <c r="T6" s="4">
        <f>'תקציב רשות החופים 2019'!T6</f>
        <v>30000</v>
      </c>
      <c r="U6" s="4">
        <f>'תקציב רשות החופים 2019'!U6</f>
        <v>-30000</v>
      </c>
      <c r="V6" s="4">
        <f>'תקציב רשות החופים 2019'!V6</f>
        <v>0</v>
      </c>
      <c r="W6" s="4">
        <f>'תקציב רשות החופים 2019'!W6</f>
        <v>-30000</v>
      </c>
      <c r="X6" s="4">
        <f>'תקציב רשות החופים 2019'!X6</f>
        <v>0</v>
      </c>
      <c r="Y6" s="4">
        <f>'תקציב רשות החופים 2019'!Y6</f>
        <v>0</v>
      </c>
      <c r="Z6" s="4">
        <f>'תקציב רשות החופים 2019'!Z6</f>
        <v>0</v>
      </c>
      <c r="AA6" s="124">
        <f>'תקציב רשות החופים 2019'!AA6</f>
        <v>0</v>
      </c>
      <c r="AB6" s="3">
        <f>'תקציב רשות החופים 2019'!AB6</f>
        <v>747000</v>
      </c>
      <c r="AC6" s="418"/>
      <c r="AD6" s="266"/>
      <c r="AE6" s="266"/>
      <c r="AF6" s="266"/>
      <c r="AG6" s="34"/>
      <c r="AH6" s="41"/>
      <c r="AI6" s="34"/>
      <c r="AJ6" s="34"/>
      <c r="AK6" s="34"/>
      <c r="AL6" s="30"/>
      <c r="AM6" s="31"/>
      <c r="AN6" s="31"/>
      <c r="AO6" s="31"/>
      <c r="AP6" s="31"/>
    </row>
    <row r="7" spans="1:42" s="5" customFormat="1">
      <c r="A7" s="3">
        <f t="shared" ref="A7:A24" si="0">A6+1</f>
        <v>2</v>
      </c>
      <c r="B7" s="3">
        <v>1700</v>
      </c>
      <c r="C7" s="3" t="s">
        <v>308</v>
      </c>
      <c r="D7" s="4">
        <f>'תקציב רשות החופים 2019'!D7</f>
        <v>72000</v>
      </c>
      <c r="E7" s="4">
        <f>'תקציב רשות החופים 2019'!E7</f>
        <v>72000</v>
      </c>
      <c r="F7" s="4">
        <f>'תקציב רשות החופים 2019'!F7</f>
        <v>0</v>
      </c>
      <c r="G7" s="4">
        <f>'תקציב רשות החופים 2019'!G7</f>
        <v>72000</v>
      </c>
      <c r="H7" s="4">
        <f>'תקציב רשות החופים 2019'!H7</f>
        <v>56971</v>
      </c>
      <c r="I7" s="4">
        <f>'תקציב רשות החופים 2019'!I7</f>
        <v>0</v>
      </c>
      <c r="J7" s="4">
        <f>'תקציב רשות החופים 2019'!J7</f>
        <v>0</v>
      </c>
      <c r="K7" s="4">
        <f>'תקציב רשות החופים 2019'!K7</f>
        <v>0</v>
      </c>
      <c r="L7" s="4">
        <f>'תקציב רשות החופים 2019'!L7</f>
        <v>56971</v>
      </c>
      <c r="M7" s="4">
        <f>'תקציב רשות החופים 2019'!M7</f>
        <v>15029</v>
      </c>
      <c r="N7" s="4">
        <f>'תקציב רשות החופים 2019'!N7</f>
        <v>0</v>
      </c>
      <c r="O7" s="4">
        <f>'תקציב רשות החופים 2019'!O7</f>
        <v>0</v>
      </c>
      <c r="P7" s="4">
        <f>'תקציב רשות החופים 2019'!P7</f>
        <v>15029</v>
      </c>
      <c r="Q7" s="4">
        <f>'תקציב רשות החופים 2019'!Q7</f>
        <v>0</v>
      </c>
      <c r="R7" s="4">
        <f>'תקציב רשות החופים 2019'!R7</f>
        <v>0</v>
      </c>
      <c r="S7" s="4">
        <f>'תקציב רשות החופים 2019'!S7</f>
        <v>0</v>
      </c>
      <c r="T7" s="4">
        <f>'תקציב רשות החופים 2019'!T7</f>
        <v>0</v>
      </c>
      <c r="U7" s="4">
        <f>'תקציב רשות החופים 2019'!U7</f>
        <v>0</v>
      </c>
      <c r="V7" s="4">
        <f>'תקציב רשות החופים 2019'!V7</f>
        <v>0</v>
      </c>
      <c r="W7" s="4">
        <f>'תקציב רשות החופים 2019'!W7</f>
        <v>0</v>
      </c>
      <c r="X7" s="4">
        <f>'תקציב רשות החופים 2019'!X7</f>
        <v>0</v>
      </c>
      <c r="Y7" s="4">
        <f>'תקציב רשות החופים 2019'!Y7</f>
        <v>0</v>
      </c>
      <c r="Z7" s="4">
        <f>'תקציב רשות החופים 2019'!Z7</f>
        <v>0</v>
      </c>
      <c r="AA7" s="124" t="str">
        <f>'תקציב רשות החופים 2019'!AA7</f>
        <v>מימון מ. להגנת הסביבה.</v>
      </c>
      <c r="AB7" s="3">
        <f>'תקציב רשות החופים 2019'!AB7</f>
        <v>747000</v>
      </c>
      <c r="AC7" s="418"/>
      <c r="AD7" s="266"/>
      <c r="AE7" s="266"/>
      <c r="AF7" s="266"/>
      <c r="AG7" s="34"/>
      <c r="AH7" s="41"/>
      <c r="AI7" s="34"/>
      <c r="AJ7" s="34"/>
      <c r="AK7" s="34"/>
      <c r="AL7" s="30"/>
      <c r="AM7" s="31"/>
      <c r="AN7" s="31"/>
      <c r="AO7" s="31"/>
      <c r="AP7" s="31"/>
    </row>
    <row r="8" spans="1:42" s="5" customFormat="1">
      <c r="A8" s="3">
        <f t="shared" si="0"/>
        <v>3</v>
      </c>
      <c r="B8" s="3">
        <v>1862</v>
      </c>
      <c r="C8" s="3" t="s">
        <v>501</v>
      </c>
      <c r="D8" s="4">
        <f>'תקציב רשות החופים 2019'!D8</f>
        <v>2200000</v>
      </c>
      <c r="E8" s="4">
        <f>'תקציב רשות החופים 2019'!E8</f>
        <v>2200000</v>
      </c>
      <c r="F8" s="4">
        <f>'תקציב רשות החופים 2019'!F8</f>
        <v>0</v>
      </c>
      <c r="G8" s="4">
        <f>'תקציב רשות החופים 2019'!G8</f>
        <v>2200000</v>
      </c>
      <c r="H8" s="4">
        <f>'תקציב רשות החופים 2019'!H8</f>
        <v>2136042.8199999998</v>
      </c>
      <c r="I8" s="4">
        <f>'תקציב רשות החופים 2019'!I8</f>
        <v>0</v>
      </c>
      <c r="J8" s="4">
        <f>'תקציב רשות החופים 2019'!J8</f>
        <v>59654.47</v>
      </c>
      <c r="K8" s="4">
        <f>'תקציב רשות החופים 2019'!K8</f>
        <v>59654.47</v>
      </c>
      <c r="L8" s="4">
        <f>'תקציב רשות החופים 2019'!L8</f>
        <v>2195697.29</v>
      </c>
      <c r="M8" s="4">
        <f>'תקציב רשות החופים 2019'!M8</f>
        <v>4302.7099999999627</v>
      </c>
      <c r="N8" s="4">
        <f>'תקציב רשות החופים 2019'!N8</f>
        <v>0</v>
      </c>
      <c r="O8" s="4">
        <f>'תקציב רשות החופים 2019'!O8</f>
        <v>0</v>
      </c>
      <c r="P8" s="4">
        <f>'תקציב רשות החופים 2019'!P8</f>
        <v>4302.7099999999627</v>
      </c>
      <c r="Q8" s="4">
        <f>'תקציב רשות החופים 2019'!Q8</f>
        <v>0</v>
      </c>
      <c r="R8" s="4">
        <f>'תקציב רשות החופים 2019'!R8</f>
        <v>0</v>
      </c>
      <c r="S8" s="4">
        <f>'תקציב רשות החופים 2019'!S8</f>
        <v>0</v>
      </c>
      <c r="T8" s="4">
        <f>'תקציב רשות החופים 2019'!T8</f>
        <v>0</v>
      </c>
      <c r="U8" s="4">
        <f>'תקציב רשות החופים 2019'!U8</f>
        <v>0</v>
      </c>
      <c r="V8" s="4">
        <f>'תקציב רשות החופים 2019'!V8</f>
        <v>0</v>
      </c>
      <c r="W8" s="4">
        <f>'תקציב רשות החופים 2019'!W8</f>
        <v>0</v>
      </c>
      <c r="X8" s="4">
        <f>'תקציב רשות החופים 2019'!X8</f>
        <v>0</v>
      </c>
      <c r="Y8" s="4">
        <f>'תקציב רשות החופים 2019'!Y8</f>
        <v>0</v>
      </c>
      <c r="Z8" s="4">
        <f>'תקציב רשות החופים 2019'!Z8</f>
        <v>0</v>
      </c>
      <c r="AA8" s="124">
        <f>'תקציב רשות החופים 2019'!AA8</f>
        <v>0</v>
      </c>
      <c r="AB8" s="3">
        <f>'תקציב רשות החופים 2019'!AB8</f>
        <v>747000</v>
      </c>
      <c r="AC8" s="418"/>
      <c r="AD8" s="266"/>
      <c r="AE8" s="266"/>
      <c r="AF8" s="266"/>
      <c r="AG8" s="34"/>
      <c r="AH8" s="41"/>
      <c r="AI8" s="34"/>
      <c r="AJ8" s="34"/>
      <c r="AK8" s="34"/>
      <c r="AL8" s="30"/>
      <c r="AM8" s="31"/>
      <c r="AN8" s="31"/>
      <c r="AO8" s="31"/>
      <c r="AP8" s="31"/>
    </row>
    <row r="9" spans="1:42" s="5" customFormat="1">
      <c r="A9" s="3">
        <f t="shared" si="0"/>
        <v>4</v>
      </c>
      <c r="B9" s="3">
        <v>1864</v>
      </c>
      <c r="C9" s="3" t="s">
        <v>1167</v>
      </c>
      <c r="D9" s="4">
        <f>'תקציב רשות החופים 2019'!D9</f>
        <v>300000</v>
      </c>
      <c r="E9" s="4">
        <f>'תקציב רשות החופים 2019'!E9</f>
        <v>1500000</v>
      </c>
      <c r="F9" s="4">
        <f>'תקציב רשות החופים 2019'!F9</f>
        <v>-1200000</v>
      </c>
      <c r="G9" s="4">
        <f>'תקציב רשות החופים 2019'!G9</f>
        <v>300000</v>
      </c>
      <c r="H9" s="4">
        <f>'תקציב רשות החופים 2019'!H9</f>
        <v>250000</v>
      </c>
      <c r="I9" s="4">
        <f>'תקציב רשות החופים 2019'!I9</f>
        <v>0</v>
      </c>
      <c r="J9" s="4">
        <f>'תקציב רשות החופים 2019'!J9</f>
        <v>12110</v>
      </c>
      <c r="K9" s="4">
        <f>'תקציב רשות החופים 2019'!K9</f>
        <v>12110</v>
      </c>
      <c r="L9" s="4">
        <f>'תקציב רשות החופים 2019'!L9</f>
        <v>262110</v>
      </c>
      <c r="M9" s="4">
        <f>'תקציב רשות החופים 2019'!M9</f>
        <v>37890</v>
      </c>
      <c r="N9" s="4">
        <f>'תקציב רשות החופים 2019'!N9</f>
        <v>0</v>
      </c>
      <c r="O9" s="4">
        <f>'תקציב רשות החופים 2019'!O9</f>
        <v>0</v>
      </c>
      <c r="P9" s="4">
        <f>'תקציב רשות החופים 2019'!P9</f>
        <v>37890</v>
      </c>
      <c r="Q9" s="4">
        <f>'תקציב רשות החופים 2019'!Q9</f>
        <v>0</v>
      </c>
      <c r="R9" s="4">
        <f>'תקציב רשות החופים 2019'!R9</f>
        <v>0</v>
      </c>
      <c r="S9" s="4">
        <f>'תקציב רשות החופים 2019'!S9</f>
        <v>0</v>
      </c>
      <c r="T9" s="4">
        <f>'תקציב רשות החופים 2019'!T9</f>
        <v>0</v>
      </c>
      <c r="U9" s="4">
        <f>'תקציב רשות החופים 2019'!U9</f>
        <v>0</v>
      </c>
      <c r="V9" s="4">
        <f>'תקציב רשות החופים 2019'!V9</f>
        <v>0</v>
      </c>
      <c r="W9" s="4">
        <f>'תקציב רשות החופים 2019'!W9</f>
        <v>0</v>
      </c>
      <c r="X9" s="4">
        <f>'תקציב רשות החופים 2019'!X9</f>
        <v>0</v>
      </c>
      <c r="Y9" s="4">
        <f>'תקציב רשות החופים 2019'!Y9</f>
        <v>0</v>
      </c>
      <c r="Z9" s="4">
        <f>'תקציב רשות החופים 2019'!Z9</f>
        <v>0</v>
      </c>
      <c r="AA9" s="124" t="str">
        <f>'תקציב רשות החופים 2019'!AA9</f>
        <v>עבודות גידור בהתאם לנדרש.</v>
      </c>
      <c r="AB9" s="3">
        <f>'תקציב רשות החופים 2019'!AB9</f>
        <v>747000</v>
      </c>
      <c r="AC9" s="418"/>
      <c r="AD9" s="266"/>
      <c r="AE9" s="266"/>
      <c r="AF9" s="266"/>
      <c r="AG9" s="34"/>
      <c r="AH9" s="41"/>
      <c r="AI9" s="34"/>
      <c r="AJ9" s="34"/>
      <c r="AK9" s="34"/>
      <c r="AL9" s="30"/>
      <c r="AM9" s="31"/>
      <c r="AN9" s="31"/>
      <c r="AO9" s="31"/>
      <c r="AP9" s="31"/>
    </row>
    <row r="10" spans="1:42" s="5" customFormat="1" ht="18.75" customHeight="1">
      <c r="A10" s="3">
        <f t="shared" si="0"/>
        <v>5</v>
      </c>
      <c r="B10" s="3">
        <v>1923</v>
      </c>
      <c r="C10" s="3" t="s">
        <v>244</v>
      </c>
      <c r="D10" s="4">
        <f>'תקציב רשות החופים 2019'!D10</f>
        <v>152000</v>
      </c>
      <c r="E10" s="4">
        <f>'תקציב רשות החופים 2019'!E10</f>
        <v>350000</v>
      </c>
      <c r="F10" s="4">
        <f>'תקציב רשות החופים 2019'!F10</f>
        <v>-198000</v>
      </c>
      <c r="G10" s="4">
        <f>'תקציב רשות החופים 2019'!G10</f>
        <v>152000</v>
      </c>
      <c r="H10" s="4">
        <f>'תקציב רשות החופים 2019'!H10</f>
        <v>138855.6</v>
      </c>
      <c r="I10" s="4">
        <f>'תקציב רשות החופים 2019'!I10</f>
        <v>0</v>
      </c>
      <c r="J10" s="4">
        <f>'תקציב רשות החופים 2019'!J10</f>
        <v>13144</v>
      </c>
      <c r="K10" s="4">
        <f>'תקציב רשות החופים 2019'!K10</f>
        <v>13144</v>
      </c>
      <c r="L10" s="4">
        <f>'תקציב רשות החופים 2019'!L10</f>
        <v>151999.6</v>
      </c>
      <c r="M10" s="4">
        <f>'תקציב רשות החופים 2019'!M10</f>
        <v>0.39999999999417923</v>
      </c>
      <c r="N10" s="4">
        <f>'תקציב רשות החופים 2019'!N10</f>
        <v>0</v>
      </c>
      <c r="O10" s="4">
        <f>'תקציב רשות החופים 2019'!O10</f>
        <v>0</v>
      </c>
      <c r="P10" s="4">
        <f>'תקציב רשות החופים 2019'!P10</f>
        <v>0.39999999999417923</v>
      </c>
      <c r="Q10" s="4">
        <f>'תקציב רשות החופים 2019'!Q10</f>
        <v>0</v>
      </c>
      <c r="R10" s="4">
        <f>'תקציב רשות החופים 2019'!R10</f>
        <v>0</v>
      </c>
      <c r="S10" s="4">
        <f>'תקציב רשות החופים 2019'!S10</f>
        <v>0</v>
      </c>
      <c r="T10" s="4">
        <f>'תקציב רשות החופים 2019'!T10</f>
        <v>0</v>
      </c>
      <c r="U10" s="4">
        <f>'תקציב רשות החופים 2019'!U10</f>
        <v>0</v>
      </c>
      <c r="V10" s="4">
        <f>'תקציב רשות החופים 2019'!V10</f>
        <v>0</v>
      </c>
      <c r="W10" s="4">
        <f>'תקציב רשות החופים 2019'!W10</f>
        <v>0</v>
      </c>
      <c r="X10" s="4">
        <f>'תקציב רשות החופים 2019'!X10</f>
        <v>0</v>
      </c>
      <c r="Y10" s="4">
        <f>'תקציב רשות החופים 2019'!Y10</f>
        <v>0</v>
      </c>
      <c r="Z10" s="4">
        <f>'תקציב רשות החופים 2019'!Z10</f>
        <v>0</v>
      </c>
      <c r="AA10" s="124" t="str">
        <f>'תקציב רשות החופים 2019'!AA10</f>
        <v>מימון חלקי משרד הפנים.</v>
      </c>
      <c r="AB10" s="3">
        <f>'תקציב רשות החופים 2019'!AB10</f>
        <v>747000</v>
      </c>
      <c r="AC10" s="418"/>
      <c r="AD10" s="266"/>
      <c r="AE10" s="266"/>
      <c r="AF10" s="266"/>
      <c r="AG10" s="34"/>
      <c r="AH10" s="41"/>
      <c r="AI10" s="34"/>
      <c r="AJ10" s="34"/>
      <c r="AK10" s="34"/>
      <c r="AL10" s="30"/>
      <c r="AM10" s="31"/>
      <c r="AN10" s="31"/>
      <c r="AO10" s="31"/>
      <c r="AP10" s="31"/>
    </row>
    <row r="11" spans="1:42" s="5" customFormat="1">
      <c r="A11" s="3">
        <f t="shared" si="0"/>
        <v>6</v>
      </c>
      <c r="B11" s="3">
        <v>1995</v>
      </c>
      <c r="C11" s="3" t="s">
        <v>338</v>
      </c>
      <c r="D11" s="4">
        <f>'תקציב רשות החופים 2019'!D11</f>
        <v>170000</v>
      </c>
      <c r="E11" s="4">
        <f>'תקציב רשות החופים 2019'!E11</f>
        <v>170000</v>
      </c>
      <c r="F11" s="4">
        <f>'תקציב רשות החופים 2019'!F11</f>
        <v>0</v>
      </c>
      <c r="G11" s="4">
        <f>'תקציב רשות החופים 2019'!G11</f>
        <v>170000</v>
      </c>
      <c r="H11" s="4">
        <f>'תקציב רשות החופים 2019'!H11</f>
        <v>170000</v>
      </c>
      <c r="I11" s="4">
        <f>'תקציב רשות החופים 2019'!I11</f>
        <v>0</v>
      </c>
      <c r="J11" s="4">
        <f>'תקציב רשות החופים 2019'!J11</f>
        <v>0</v>
      </c>
      <c r="K11" s="4">
        <f>'תקציב רשות החופים 2019'!K11</f>
        <v>0</v>
      </c>
      <c r="L11" s="4">
        <f>'תקציב רשות החופים 2019'!L11</f>
        <v>170000</v>
      </c>
      <c r="M11" s="4">
        <f>'תקציב רשות החופים 2019'!M11</f>
        <v>0</v>
      </c>
      <c r="N11" s="4">
        <f>'תקציב רשות החופים 2019'!N11</f>
        <v>0</v>
      </c>
      <c r="O11" s="4">
        <f>'תקציב רשות החופים 2019'!O11</f>
        <v>0</v>
      </c>
      <c r="P11" s="4">
        <f>'תקציב רשות החופים 2019'!P11</f>
        <v>0</v>
      </c>
      <c r="Q11" s="4">
        <f>'תקציב רשות החופים 2019'!Q11</f>
        <v>0</v>
      </c>
      <c r="R11" s="4">
        <f>'תקציב רשות החופים 2019'!R11</f>
        <v>0</v>
      </c>
      <c r="S11" s="4">
        <f>'תקציב רשות החופים 2019'!S11</f>
        <v>0</v>
      </c>
      <c r="T11" s="4">
        <f>'תקציב רשות החופים 2019'!T11</f>
        <v>0</v>
      </c>
      <c r="U11" s="4">
        <f>'תקציב רשות החופים 2019'!U11</f>
        <v>0</v>
      </c>
      <c r="V11" s="4">
        <f>'תקציב רשות החופים 2019'!V11</f>
        <v>0</v>
      </c>
      <c r="W11" s="4">
        <f>'תקציב רשות החופים 2019'!W11</f>
        <v>0</v>
      </c>
      <c r="X11" s="4">
        <f>'תקציב רשות החופים 2019'!X11</f>
        <v>0</v>
      </c>
      <c r="Y11" s="4">
        <f>'תקציב רשות החופים 2019'!Y11</f>
        <v>0</v>
      </c>
      <c r="Z11" s="4">
        <f>'תקציב רשות החופים 2019'!Z11</f>
        <v>0</v>
      </c>
      <c r="AA11" s="124" t="str">
        <f>'תקציב רשות החופים 2019'!AA11</f>
        <v>מימון משרד הפנים.</v>
      </c>
      <c r="AB11" s="3">
        <f>'תקציב רשות החופים 2019'!AB11</f>
        <v>747000</v>
      </c>
      <c r="AC11" s="418"/>
      <c r="AD11" s="266"/>
      <c r="AE11" s="266"/>
      <c r="AF11" s="266"/>
      <c r="AG11" s="34"/>
      <c r="AH11" s="41"/>
      <c r="AI11" s="34"/>
      <c r="AJ11" s="34"/>
      <c r="AK11" s="34"/>
      <c r="AL11" s="30"/>
      <c r="AM11" s="31"/>
      <c r="AN11" s="31"/>
      <c r="AO11" s="31"/>
      <c r="AP11" s="31"/>
    </row>
    <row r="12" spans="1:42" s="5" customFormat="1" ht="18.75" customHeight="1">
      <c r="A12" s="3">
        <f t="shared" si="0"/>
        <v>7</v>
      </c>
      <c r="B12" s="3">
        <v>1996</v>
      </c>
      <c r="C12" s="3" t="s">
        <v>339</v>
      </c>
      <c r="D12" s="4">
        <f>'תקציב רשות החופים 2019'!D12</f>
        <v>45000</v>
      </c>
      <c r="E12" s="4">
        <f>'תקציב רשות החופים 2019'!E12</f>
        <v>45000</v>
      </c>
      <c r="F12" s="4">
        <f>'תקציב רשות החופים 2019'!F12</f>
        <v>0</v>
      </c>
      <c r="G12" s="4">
        <f>'תקציב רשות החופים 2019'!G12</f>
        <v>45000</v>
      </c>
      <c r="H12" s="4">
        <f>'תקציב רשות החופים 2019'!H12</f>
        <v>15993.9</v>
      </c>
      <c r="I12" s="4">
        <f>'תקציב רשות החופים 2019'!I12</f>
        <v>0</v>
      </c>
      <c r="J12" s="4">
        <f>'תקציב רשות החופים 2019'!J12</f>
        <v>2357.5500000000002</v>
      </c>
      <c r="K12" s="4">
        <f>'תקציב רשות החופים 2019'!K12</f>
        <v>2357.5500000000002</v>
      </c>
      <c r="L12" s="4">
        <f>'תקציב רשות החופים 2019'!L12</f>
        <v>18351.45</v>
      </c>
      <c r="M12" s="4">
        <f>'תקציב רשות החופים 2019'!M12</f>
        <v>26648.55</v>
      </c>
      <c r="N12" s="4">
        <f>'תקציב רשות החופים 2019'!N12</f>
        <v>0</v>
      </c>
      <c r="O12" s="4">
        <f>'תקציב רשות החופים 2019'!O12</f>
        <v>0</v>
      </c>
      <c r="P12" s="4">
        <f>'תקציב רשות החופים 2019'!P12</f>
        <v>26648.55</v>
      </c>
      <c r="Q12" s="4">
        <f>'תקציב רשות החופים 2019'!Q12</f>
        <v>0</v>
      </c>
      <c r="R12" s="4">
        <f>'תקציב רשות החופים 2019'!R12</f>
        <v>0</v>
      </c>
      <c r="S12" s="4">
        <f>'תקציב רשות החופים 2019'!S12</f>
        <v>0</v>
      </c>
      <c r="T12" s="4">
        <f>'תקציב רשות החופים 2019'!T12</f>
        <v>0</v>
      </c>
      <c r="U12" s="4">
        <f>'תקציב רשות החופים 2019'!U12</f>
        <v>0</v>
      </c>
      <c r="V12" s="4">
        <f>'תקציב רשות החופים 2019'!V12</f>
        <v>0</v>
      </c>
      <c r="W12" s="4">
        <f>'תקציב רשות החופים 2019'!W12</f>
        <v>0</v>
      </c>
      <c r="X12" s="4">
        <f>'תקציב רשות החופים 2019'!X12</f>
        <v>0</v>
      </c>
      <c r="Y12" s="4">
        <f>'תקציב רשות החופים 2019'!Y12</f>
        <v>0</v>
      </c>
      <c r="Z12" s="4">
        <f>'תקציב רשות החופים 2019'!Z12</f>
        <v>0</v>
      </c>
      <c r="AA12" s="124" t="str">
        <f>'תקציב רשות החופים 2019'!AA12</f>
        <v>מימון משרד הפנים.</v>
      </c>
      <c r="AB12" s="3">
        <f>'תקציב רשות החופים 2019'!AB12</f>
        <v>747000</v>
      </c>
      <c r="AC12" s="418"/>
      <c r="AD12" s="266"/>
      <c r="AE12" s="266"/>
      <c r="AF12" s="266"/>
      <c r="AG12" s="34"/>
      <c r="AH12" s="41"/>
      <c r="AI12" s="34"/>
      <c r="AJ12" s="34"/>
      <c r="AK12" s="34"/>
      <c r="AL12" s="30"/>
      <c r="AM12" s="31"/>
      <c r="AN12" s="31"/>
      <c r="AO12" s="31"/>
      <c r="AP12" s="31"/>
    </row>
    <row r="13" spans="1:42" s="5" customFormat="1">
      <c r="A13" s="3">
        <f t="shared" si="0"/>
        <v>8</v>
      </c>
      <c r="B13" s="3">
        <v>1997</v>
      </c>
      <c r="C13" s="3" t="s">
        <v>340</v>
      </c>
      <c r="D13" s="4">
        <f>'תקציב רשות החופים 2019'!D13</f>
        <v>40000</v>
      </c>
      <c r="E13" s="4">
        <f>'תקציב רשות החופים 2019'!E13</f>
        <v>40000</v>
      </c>
      <c r="F13" s="4">
        <f>'תקציב רשות החופים 2019'!F13</f>
        <v>0</v>
      </c>
      <c r="G13" s="4">
        <f>'תקציב רשות החופים 2019'!G13</f>
        <v>40000</v>
      </c>
      <c r="H13" s="4">
        <f>'תקציב רשות החופים 2019'!H13</f>
        <v>40000</v>
      </c>
      <c r="I13" s="4">
        <f>'תקציב רשות החופים 2019'!I13</f>
        <v>0</v>
      </c>
      <c r="J13" s="4">
        <f>'תקציב רשות החופים 2019'!J13</f>
        <v>0</v>
      </c>
      <c r="K13" s="4">
        <f>'תקציב רשות החופים 2019'!K13</f>
        <v>0</v>
      </c>
      <c r="L13" s="4">
        <f>'תקציב רשות החופים 2019'!L13</f>
        <v>40000</v>
      </c>
      <c r="M13" s="4">
        <f>'תקציב רשות החופים 2019'!M13</f>
        <v>0</v>
      </c>
      <c r="N13" s="4">
        <f>'תקציב רשות החופים 2019'!N13</f>
        <v>0</v>
      </c>
      <c r="O13" s="4">
        <f>'תקציב רשות החופים 2019'!O13</f>
        <v>0</v>
      </c>
      <c r="P13" s="4">
        <f>'תקציב רשות החופים 2019'!P13</f>
        <v>0</v>
      </c>
      <c r="Q13" s="4">
        <f>'תקציב רשות החופים 2019'!Q13</f>
        <v>0</v>
      </c>
      <c r="R13" s="4">
        <f>'תקציב רשות החופים 2019'!R13</f>
        <v>0</v>
      </c>
      <c r="S13" s="4">
        <f>'תקציב רשות החופים 2019'!S13</f>
        <v>0</v>
      </c>
      <c r="T13" s="4">
        <f>'תקציב רשות החופים 2019'!T13</f>
        <v>0</v>
      </c>
      <c r="U13" s="4">
        <f>'תקציב רשות החופים 2019'!U13</f>
        <v>0</v>
      </c>
      <c r="V13" s="4">
        <f>'תקציב רשות החופים 2019'!V13</f>
        <v>0</v>
      </c>
      <c r="W13" s="4">
        <f>'תקציב רשות החופים 2019'!W13</f>
        <v>0</v>
      </c>
      <c r="X13" s="4">
        <f>'תקציב רשות החופים 2019'!X13</f>
        <v>0</v>
      </c>
      <c r="Y13" s="4">
        <f>'תקציב רשות החופים 2019'!Y13</f>
        <v>0</v>
      </c>
      <c r="Z13" s="4">
        <f>'תקציב רשות החופים 2019'!Z13</f>
        <v>0</v>
      </c>
      <c r="AA13" s="124" t="str">
        <f>'תקציב רשות החופים 2019'!AA13</f>
        <v>מימון משרד הפנים.</v>
      </c>
      <c r="AB13" s="3">
        <f>'תקציב רשות החופים 2019'!AB13</f>
        <v>747000</v>
      </c>
      <c r="AC13" s="418"/>
      <c r="AD13" s="266"/>
      <c r="AE13" s="266"/>
      <c r="AF13" s="266"/>
      <c r="AG13" s="34"/>
      <c r="AH13" s="41"/>
      <c r="AI13" s="34"/>
      <c r="AJ13" s="34"/>
      <c r="AK13" s="34"/>
      <c r="AL13" s="30"/>
      <c r="AM13" s="31"/>
      <c r="AN13" s="31"/>
      <c r="AO13" s="31"/>
      <c r="AP13" s="31"/>
    </row>
    <row r="14" spans="1:42" s="5" customFormat="1" ht="28">
      <c r="A14" s="3">
        <f t="shared" si="0"/>
        <v>9</v>
      </c>
      <c r="B14" s="3">
        <v>2043</v>
      </c>
      <c r="C14" s="3" t="s">
        <v>816</v>
      </c>
      <c r="D14" s="4">
        <f>'תקציב רשות החופים 2019'!D14</f>
        <v>3600000</v>
      </c>
      <c r="E14" s="4">
        <f>'תקציב רשות החופים 2019'!E14</f>
        <v>3600000</v>
      </c>
      <c r="F14" s="4">
        <f>'תקציב רשות החופים 2019'!F14</f>
        <v>0</v>
      </c>
      <c r="G14" s="4">
        <f>'תקציב רשות החופים 2019'!G14</f>
        <v>1500000</v>
      </c>
      <c r="H14" s="4">
        <f>'תקציב רשות החופים 2019'!H14</f>
        <v>1322985</v>
      </c>
      <c r="I14" s="4">
        <f>'תקציב רשות החופים 2019'!I14</f>
        <v>0</v>
      </c>
      <c r="J14" s="4">
        <f>'תקציב רשות החופים 2019'!J14</f>
        <v>162618</v>
      </c>
      <c r="K14" s="4">
        <f>'תקציב רשות החופים 2019'!K14</f>
        <v>162618</v>
      </c>
      <c r="L14" s="4">
        <f>'תקציב רשות החופים 2019'!L14</f>
        <v>1485603</v>
      </c>
      <c r="M14" s="4">
        <f>'תקציב רשות החופים 2019'!M14</f>
        <v>14397</v>
      </c>
      <c r="N14" s="4">
        <f>'תקציב רשות החופים 2019'!N14</f>
        <v>1700000</v>
      </c>
      <c r="O14" s="4">
        <f>'תקציב רשות החופים 2019'!O14</f>
        <v>400000</v>
      </c>
      <c r="P14" s="4">
        <f>'תקציב רשות החופים 2019'!P14</f>
        <v>14397</v>
      </c>
      <c r="Q14" s="4">
        <f>'תקציב רשות החופים 2019'!Q14</f>
        <v>0</v>
      </c>
      <c r="R14" s="4">
        <f>'תקציב רשות החופים 2019'!R14</f>
        <v>0</v>
      </c>
      <c r="S14" s="4">
        <f>'תקציב רשות החופים 2019'!S14</f>
        <v>0</v>
      </c>
      <c r="T14" s="4">
        <f>'תקציב רשות החופים 2019'!T14</f>
        <v>0</v>
      </c>
      <c r="U14" s="4">
        <f>'תקציב רשות החופים 2019'!U14</f>
        <v>1700000</v>
      </c>
      <c r="V14" s="4">
        <f>'תקציב רשות החופים 2019'!V14</f>
        <v>0</v>
      </c>
      <c r="W14" s="4">
        <f>'תקציב רשות החופים 2019'!W14</f>
        <v>1700000</v>
      </c>
      <c r="X14" s="4">
        <f>'תקציב רשות החופים 2019'!X14</f>
        <v>0</v>
      </c>
      <c r="Y14" s="4">
        <f>'תקציב רשות החופים 2019'!Y14</f>
        <v>0</v>
      </c>
      <c r="Z14" s="4">
        <f>'תקציב רשות החופים 2019'!Z14</f>
        <v>0</v>
      </c>
      <c r="AA14" s="124" t="str">
        <f>'תקציב רשות החופים 2019'!AA14</f>
        <v xml:space="preserve">סל עבודות פיתוח והיערכות לקראת פתיחת עונת הרחצה ובמהלכה. </v>
      </c>
      <c r="AB14" s="3">
        <f>'תקציב רשות החופים 2019'!AB14</f>
        <v>747000</v>
      </c>
      <c r="AC14" s="418"/>
      <c r="AD14" s="266"/>
      <c r="AE14" s="266"/>
      <c r="AF14" s="266"/>
      <c r="AG14" s="34"/>
      <c r="AH14" s="41"/>
      <c r="AI14" s="34"/>
      <c r="AJ14" s="34"/>
      <c r="AK14" s="34"/>
      <c r="AL14" s="30"/>
      <c r="AM14" s="31"/>
      <c r="AN14" s="31"/>
      <c r="AO14" s="31"/>
      <c r="AP14" s="31"/>
    </row>
    <row r="15" spans="1:42" s="5" customFormat="1" ht="18.75" customHeight="1">
      <c r="A15" s="3">
        <f t="shared" si="0"/>
        <v>10</v>
      </c>
      <c r="B15" s="3">
        <v>2044</v>
      </c>
      <c r="C15" s="3" t="s">
        <v>374</v>
      </c>
      <c r="D15" s="4">
        <f>'תקציב רשות החופים 2019'!D15</f>
        <v>105000</v>
      </c>
      <c r="E15" s="4">
        <f>'תקציב רשות החופים 2019'!E15</f>
        <v>105000</v>
      </c>
      <c r="F15" s="4">
        <f>'תקציב רשות החופים 2019'!F15</f>
        <v>0</v>
      </c>
      <c r="G15" s="4">
        <f>'תקציב רשות החופים 2019'!G15</f>
        <v>105000</v>
      </c>
      <c r="H15" s="4">
        <f>'תקציב רשות החופים 2019'!H15</f>
        <v>56160</v>
      </c>
      <c r="I15" s="4">
        <f>'תקציב רשות החופים 2019'!I15</f>
        <v>0</v>
      </c>
      <c r="J15" s="4">
        <f>'תקציב רשות החופים 2019'!J15</f>
        <v>0</v>
      </c>
      <c r="K15" s="4">
        <f>'תקציב רשות החופים 2019'!K15</f>
        <v>0</v>
      </c>
      <c r="L15" s="4">
        <f>'תקציב רשות החופים 2019'!L15</f>
        <v>56160</v>
      </c>
      <c r="M15" s="4">
        <f>'תקציב רשות החופים 2019'!M15</f>
        <v>48840</v>
      </c>
      <c r="N15" s="4">
        <f>'תקציב רשות החופים 2019'!N15</f>
        <v>0</v>
      </c>
      <c r="O15" s="4">
        <f>'תקציב רשות החופים 2019'!O15</f>
        <v>0</v>
      </c>
      <c r="P15" s="4">
        <f>'תקציב רשות החופים 2019'!P15</f>
        <v>48840</v>
      </c>
      <c r="Q15" s="4">
        <f>'תקציב רשות החופים 2019'!Q15</f>
        <v>0</v>
      </c>
      <c r="R15" s="4">
        <f>'תקציב רשות החופים 2019'!R15</f>
        <v>0</v>
      </c>
      <c r="S15" s="4">
        <f>'תקציב רשות החופים 2019'!S15</f>
        <v>0</v>
      </c>
      <c r="T15" s="4">
        <f>'תקציב רשות החופים 2019'!T15</f>
        <v>0</v>
      </c>
      <c r="U15" s="4">
        <f>'תקציב רשות החופים 2019'!U15</f>
        <v>0</v>
      </c>
      <c r="V15" s="4">
        <f>'תקציב רשות החופים 2019'!V15</f>
        <v>0</v>
      </c>
      <c r="W15" s="4">
        <f>'תקציב רשות החופים 2019'!W15</f>
        <v>0</v>
      </c>
      <c r="X15" s="4">
        <f>'תקציב רשות החופים 2019'!X15</f>
        <v>0</v>
      </c>
      <c r="Y15" s="4">
        <f>'תקציב רשות החופים 2019'!Y15</f>
        <v>0</v>
      </c>
      <c r="Z15" s="4">
        <f>'תקציב רשות החופים 2019'!Z15</f>
        <v>0</v>
      </c>
      <c r="AA15" s="124" t="str">
        <f>'תקציב רשות החופים 2019'!AA15</f>
        <v>מימון משרד הפנים.</v>
      </c>
      <c r="AB15" s="3">
        <f>'תקציב רשות החופים 2019'!AB15</f>
        <v>747000</v>
      </c>
      <c r="AC15" s="418"/>
      <c r="AD15" s="266"/>
      <c r="AE15" s="266"/>
      <c r="AF15" s="266"/>
      <c r="AG15" s="34"/>
      <c r="AH15" s="41"/>
      <c r="AI15" s="34"/>
      <c r="AJ15" s="34"/>
      <c r="AK15" s="34"/>
      <c r="AL15" s="30"/>
      <c r="AM15" s="31"/>
      <c r="AN15" s="31"/>
      <c r="AO15" s="31"/>
      <c r="AP15" s="31"/>
    </row>
    <row r="16" spans="1:42" s="5" customFormat="1" ht="18.75" customHeight="1">
      <c r="A16" s="3">
        <f t="shared" si="0"/>
        <v>11</v>
      </c>
      <c r="B16" s="3">
        <v>2045</v>
      </c>
      <c r="C16" s="3" t="s">
        <v>817</v>
      </c>
      <c r="D16" s="4">
        <f>'תקציב רשות החופים 2019'!D16</f>
        <v>205000</v>
      </c>
      <c r="E16" s="4">
        <f>'תקציב רשות החופים 2019'!E16</f>
        <v>205000</v>
      </c>
      <c r="F16" s="4">
        <f>'תקציב רשות החופים 2019'!F16</f>
        <v>0</v>
      </c>
      <c r="G16" s="4">
        <f>'תקציב רשות החופים 2019'!G16</f>
        <v>205000</v>
      </c>
      <c r="H16" s="4">
        <f>'תקציב רשות החופים 2019'!H16</f>
        <v>0</v>
      </c>
      <c r="I16" s="4">
        <f>'תקציב רשות החופים 2019'!I16</f>
        <v>184044.03</v>
      </c>
      <c r="J16" s="4">
        <f>'תקציב רשות החופים 2019'!J16</f>
        <v>0</v>
      </c>
      <c r="K16" s="4">
        <f>'תקציב רשות החופים 2019'!K16</f>
        <v>184044.03</v>
      </c>
      <c r="L16" s="4">
        <f>'תקציב רשות החופים 2019'!L16</f>
        <v>184044.03</v>
      </c>
      <c r="M16" s="4">
        <f>'תקציב רשות החופים 2019'!M16</f>
        <v>20955.97</v>
      </c>
      <c r="N16" s="4">
        <f>'תקציב רשות החופים 2019'!N16</f>
        <v>0</v>
      </c>
      <c r="O16" s="4">
        <f>'תקציב רשות החופים 2019'!O16</f>
        <v>0</v>
      </c>
      <c r="P16" s="4">
        <f>'תקציב רשות החופים 2019'!P16</f>
        <v>20955.97</v>
      </c>
      <c r="Q16" s="4">
        <f>'תקציב רשות החופים 2019'!Q16</f>
        <v>0</v>
      </c>
      <c r="R16" s="4">
        <f>'תקציב רשות החופים 2019'!R16</f>
        <v>0</v>
      </c>
      <c r="S16" s="4">
        <f>'תקציב רשות החופים 2019'!S16</f>
        <v>0</v>
      </c>
      <c r="T16" s="4">
        <f>'תקציב רשות החופים 2019'!T16</f>
        <v>0</v>
      </c>
      <c r="U16" s="4">
        <f>'תקציב רשות החופים 2019'!U16</f>
        <v>0</v>
      </c>
      <c r="V16" s="4">
        <f>'תקציב רשות החופים 2019'!V16</f>
        <v>0</v>
      </c>
      <c r="W16" s="4">
        <f>'תקציב רשות החופים 2019'!W16</f>
        <v>0</v>
      </c>
      <c r="X16" s="4">
        <f>'תקציב רשות החופים 2019'!X16</f>
        <v>0</v>
      </c>
      <c r="Y16" s="4">
        <f>'תקציב רשות החופים 2019'!Y16</f>
        <v>0</v>
      </c>
      <c r="Z16" s="4">
        <f>'תקציב רשות החופים 2019'!Z16</f>
        <v>0</v>
      </c>
      <c r="AA16" s="124" t="str">
        <f>'תקציב רשות החופים 2019'!AA16</f>
        <v>מימון משרד הפנים.</v>
      </c>
      <c r="AB16" s="3">
        <f>'תקציב רשות החופים 2019'!AB16</f>
        <v>747000</v>
      </c>
      <c r="AC16" s="418"/>
      <c r="AD16" s="266"/>
      <c r="AE16" s="266"/>
      <c r="AF16" s="266"/>
      <c r="AG16" s="34"/>
      <c r="AH16" s="41"/>
      <c r="AI16" s="34"/>
      <c r="AJ16" s="34"/>
      <c r="AK16" s="34"/>
      <c r="AL16" s="30"/>
      <c r="AM16" s="31"/>
      <c r="AN16" s="31"/>
      <c r="AO16" s="31"/>
      <c r="AP16" s="31"/>
    </row>
    <row r="17" spans="1:42" s="5" customFormat="1">
      <c r="A17" s="3">
        <f t="shared" si="0"/>
        <v>12</v>
      </c>
      <c r="B17" s="3">
        <v>2046</v>
      </c>
      <c r="C17" s="3" t="s">
        <v>376</v>
      </c>
      <c r="D17" s="4">
        <f>'תקציב רשות החופים 2019'!D17</f>
        <v>30000</v>
      </c>
      <c r="E17" s="4">
        <f>'תקציב רשות החופים 2019'!E17</f>
        <v>30000</v>
      </c>
      <c r="F17" s="4">
        <f>'תקציב רשות החופים 2019'!F17</f>
        <v>0</v>
      </c>
      <c r="G17" s="4">
        <f>'תקציב רשות החופים 2019'!G17</f>
        <v>30000</v>
      </c>
      <c r="H17" s="4">
        <f>'תקציב רשות החופים 2019'!H17</f>
        <v>26140</v>
      </c>
      <c r="I17" s="4">
        <f>'תקציב רשות החופים 2019'!I17</f>
        <v>0</v>
      </c>
      <c r="J17" s="4">
        <f>'תקציב רשות החופים 2019'!J17</f>
        <v>3860</v>
      </c>
      <c r="K17" s="4">
        <f>'תקציב רשות החופים 2019'!K17</f>
        <v>3860</v>
      </c>
      <c r="L17" s="4">
        <f>'תקציב רשות החופים 2019'!L17</f>
        <v>30000</v>
      </c>
      <c r="M17" s="4">
        <f>'תקציב רשות החופים 2019'!M17</f>
        <v>0</v>
      </c>
      <c r="N17" s="4">
        <f>'תקציב רשות החופים 2019'!N17</f>
        <v>0</v>
      </c>
      <c r="O17" s="4">
        <f>'תקציב רשות החופים 2019'!O17</f>
        <v>0</v>
      </c>
      <c r="P17" s="4">
        <f>'תקציב רשות החופים 2019'!P17</f>
        <v>0</v>
      </c>
      <c r="Q17" s="4">
        <f>'תקציב רשות החופים 2019'!Q17</f>
        <v>0</v>
      </c>
      <c r="R17" s="4">
        <f>'תקציב רשות החופים 2019'!R17</f>
        <v>0</v>
      </c>
      <c r="S17" s="4">
        <f>'תקציב רשות החופים 2019'!S17</f>
        <v>0</v>
      </c>
      <c r="T17" s="4">
        <f>'תקציב רשות החופים 2019'!T17</f>
        <v>0</v>
      </c>
      <c r="U17" s="4">
        <f>'תקציב רשות החופים 2019'!U17</f>
        <v>0</v>
      </c>
      <c r="V17" s="4">
        <f>'תקציב רשות החופים 2019'!V17</f>
        <v>0</v>
      </c>
      <c r="W17" s="4">
        <f>'תקציב רשות החופים 2019'!W17</f>
        <v>0</v>
      </c>
      <c r="X17" s="4">
        <f>'תקציב רשות החופים 2019'!X17</f>
        <v>0</v>
      </c>
      <c r="Y17" s="4">
        <f>'תקציב רשות החופים 2019'!Y17</f>
        <v>0</v>
      </c>
      <c r="Z17" s="4">
        <f>'תקציב רשות החופים 2019'!Z17</f>
        <v>0</v>
      </c>
      <c r="AA17" s="124" t="str">
        <f>'תקציב רשות החופים 2019'!AA17</f>
        <v>מימון משרד הפנים.</v>
      </c>
      <c r="AB17" s="3">
        <f>'תקציב רשות החופים 2019'!AB17</f>
        <v>747000</v>
      </c>
      <c r="AC17" s="418"/>
      <c r="AD17" s="266"/>
      <c r="AE17" s="266"/>
      <c r="AF17" s="266"/>
      <c r="AG17" s="34"/>
      <c r="AH17" s="41"/>
      <c r="AI17" s="34"/>
      <c r="AJ17" s="34"/>
      <c r="AK17" s="34"/>
      <c r="AL17" s="30"/>
      <c r="AM17" s="31"/>
      <c r="AN17" s="31"/>
      <c r="AO17" s="31"/>
      <c r="AP17" s="31"/>
    </row>
    <row r="18" spans="1:42" s="5" customFormat="1">
      <c r="A18" s="3">
        <f>A17+1</f>
        <v>13</v>
      </c>
      <c r="B18" s="3">
        <v>2047</v>
      </c>
      <c r="C18" s="3" t="s">
        <v>818</v>
      </c>
      <c r="D18" s="4">
        <f>'תקציב רשות החופים 2019'!D18</f>
        <v>170000</v>
      </c>
      <c r="E18" s="4">
        <f>'תקציב רשות החופים 2019'!E18</f>
        <v>170000</v>
      </c>
      <c r="F18" s="4">
        <f>'תקציב רשות החופים 2019'!F18</f>
        <v>0</v>
      </c>
      <c r="G18" s="4">
        <f>'תקציב רשות החופים 2019'!G18</f>
        <v>170000</v>
      </c>
      <c r="H18" s="4">
        <f>'תקציב רשות החופים 2019'!H18</f>
        <v>0</v>
      </c>
      <c r="I18" s="4">
        <f>'תקציב רשות החופים 2019'!I18</f>
        <v>170000</v>
      </c>
      <c r="J18" s="4">
        <f>'תקציב רשות החופים 2019'!J18</f>
        <v>0</v>
      </c>
      <c r="K18" s="4">
        <f>'תקציב רשות החופים 2019'!K18</f>
        <v>170000</v>
      </c>
      <c r="L18" s="4">
        <f>'תקציב רשות החופים 2019'!L18</f>
        <v>170000</v>
      </c>
      <c r="M18" s="4">
        <f>'תקציב רשות החופים 2019'!M18</f>
        <v>0</v>
      </c>
      <c r="N18" s="4">
        <f>'תקציב רשות החופים 2019'!N18</f>
        <v>0</v>
      </c>
      <c r="O18" s="4">
        <f>'תקציב רשות החופים 2019'!O18</f>
        <v>0</v>
      </c>
      <c r="P18" s="4">
        <f>'תקציב רשות החופים 2019'!P18</f>
        <v>0</v>
      </c>
      <c r="Q18" s="4">
        <f>'תקציב רשות החופים 2019'!Q18</f>
        <v>0</v>
      </c>
      <c r="R18" s="4">
        <f>'תקציב רשות החופים 2019'!R18</f>
        <v>0</v>
      </c>
      <c r="S18" s="4">
        <f>'תקציב רשות החופים 2019'!S18</f>
        <v>0</v>
      </c>
      <c r="T18" s="4">
        <f>'תקציב רשות החופים 2019'!T18</f>
        <v>0</v>
      </c>
      <c r="U18" s="4">
        <f>'תקציב רשות החופים 2019'!U18</f>
        <v>0</v>
      </c>
      <c r="V18" s="4">
        <f>'תקציב רשות החופים 2019'!V18</f>
        <v>0</v>
      </c>
      <c r="W18" s="4">
        <f>'תקציב רשות החופים 2019'!W18</f>
        <v>0</v>
      </c>
      <c r="X18" s="4">
        <f>'תקציב רשות החופים 2019'!X18</f>
        <v>0</v>
      </c>
      <c r="Y18" s="4">
        <f>'תקציב רשות החופים 2019'!Y18</f>
        <v>0</v>
      </c>
      <c r="Z18" s="4">
        <f>'תקציב רשות החופים 2019'!Z18</f>
        <v>0</v>
      </c>
      <c r="AA18" s="124" t="str">
        <f>'תקציב רשות החופים 2019'!AA18</f>
        <v>מימון משרד הפנים.</v>
      </c>
      <c r="AB18" s="3">
        <f>'תקציב רשות החופים 2019'!AB18</f>
        <v>747000</v>
      </c>
      <c r="AC18" s="418"/>
      <c r="AD18" s="266"/>
      <c r="AE18" s="266"/>
      <c r="AF18" s="266"/>
      <c r="AG18" s="34"/>
      <c r="AH18" s="41"/>
      <c r="AI18" s="34"/>
      <c r="AJ18" s="34"/>
      <c r="AK18" s="34"/>
      <c r="AL18" s="30"/>
      <c r="AM18" s="31"/>
      <c r="AN18" s="31"/>
      <c r="AO18" s="31"/>
      <c r="AP18" s="31"/>
    </row>
    <row r="19" spans="1:42" s="5" customFormat="1" ht="18.75" customHeight="1">
      <c r="A19" s="3">
        <f t="shared" si="0"/>
        <v>14</v>
      </c>
      <c r="B19" s="3">
        <v>2048</v>
      </c>
      <c r="C19" s="3" t="s">
        <v>378</v>
      </c>
      <c r="D19" s="4">
        <f>'תקציב רשות החופים 2019'!D19</f>
        <v>45000</v>
      </c>
      <c r="E19" s="4">
        <f>'תקציב רשות החופים 2019'!E19</f>
        <v>45000</v>
      </c>
      <c r="F19" s="4">
        <f>'תקציב רשות החופים 2019'!F19</f>
        <v>0</v>
      </c>
      <c r="G19" s="4">
        <f>'תקציב רשות החופים 2019'!G19</f>
        <v>45000</v>
      </c>
      <c r="H19" s="4">
        <f>'תקציב רשות החופים 2019'!H19</f>
        <v>25630</v>
      </c>
      <c r="I19" s="4">
        <f>'תקציב רשות החופים 2019'!I19</f>
        <v>0</v>
      </c>
      <c r="J19" s="4">
        <f>'תקציב רשות החופים 2019'!J19</f>
        <v>0</v>
      </c>
      <c r="K19" s="4">
        <f>'תקציב רשות החופים 2019'!K19</f>
        <v>0</v>
      </c>
      <c r="L19" s="4">
        <f>'תקציב רשות החופים 2019'!L19</f>
        <v>25630</v>
      </c>
      <c r="M19" s="4">
        <f>'תקציב רשות החופים 2019'!M19</f>
        <v>19370</v>
      </c>
      <c r="N19" s="4">
        <f>'תקציב רשות החופים 2019'!N19</f>
        <v>0</v>
      </c>
      <c r="O19" s="4">
        <f>'תקציב רשות החופים 2019'!O19</f>
        <v>0</v>
      </c>
      <c r="P19" s="4">
        <f>'תקציב רשות החופים 2019'!P19</f>
        <v>19370</v>
      </c>
      <c r="Q19" s="4">
        <f>'תקציב רשות החופים 2019'!Q19</f>
        <v>0</v>
      </c>
      <c r="R19" s="4">
        <f>'תקציב רשות החופים 2019'!R19</f>
        <v>0</v>
      </c>
      <c r="S19" s="4">
        <f>'תקציב רשות החופים 2019'!S19</f>
        <v>0</v>
      </c>
      <c r="T19" s="4">
        <f>'תקציב רשות החופים 2019'!T19</f>
        <v>0</v>
      </c>
      <c r="U19" s="4">
        <f>'תקציב רשות החופים 2019'!U19</f>
        <v>0</v>
      </c>
      <c r="V19" s="4">
        <f>'תקציב רשות החופים 2019'!V19</f>
        <v>0</v>
      </c>
      <c r="W19" s="4">
        <f>'תקציב רשות החופים 2019'!W19</f>
        <v>0</v>
      </c>
      <c r="X19" s="4">
        <f>'תקציב רשות החופים 2019'!X19</f>
        <v>0</v>
      </c>
      <c r="Y19" s="4">
        <f>'תקציב רשות החופים 2019'!Y19</f>
        <v>0</v>
      </c>
      <c r="Z19" s="4">
        <f>'תקציב רשות החופים 2019'!Z19</f>
        <v>0</v>
      </c>
      <c r="AA19" s="124" t="str">
        <f>'תקציב רשות החופים 2019'!AA19</f>
        <v>מימון משרד הפנים.</v>
      </c>
      <c r="AB19" s="3">
        <f>'תקציב רשות החופים 2019'!AB19</f>
        <v>747000</v>
      </c>
      <c r="AC19" s="418"/>
      <c r="AD19" s="266"/>
      <c r="AE19" s="266"/>
      <c r="AF19" s="266"/>
      <c r="AG19" s="34"/>
      <c r="AH19" s="41"/>
      <c r="AI19" s="34"/>
      <c r="AJ19" s="34"/>
      <c r="AK19" s="34"/>
      <c r="AL19" s="30"/>
      <c r="AM19" s="31"/>
      <c r="AN19" s="31"/>
      <c r="AO19" s="31"/>
      <c r="AP19" s="31"/>
    </row>
    <row r="20" spans="1:42" s="5" customFormat="1" ht="18.75" customHeight="1">
      <c r="A20" s="3">
        <f t="shared" si="0"/>
        <v>15</v>
      </c>
      <c r="B20" s="3">
        <v>2049</v>
      </c>
      <c r="C20" s="3" t="s">
        <v>819</v>
      </c>
      <c r="D20" s="4">
        <f>'תקציב רשות החופים 2019'!D20</f>
        <v>24500</v>
      </c>
      <c r="E20" s="4">
        <f>'תקציב רשות החופים 2019'!E20</f>
        <v>24500</v>
      </c>
      <c r="F20" s="4">
        <f>'תקציב רשות החופים 2019'!F20</f>
        <v>0</v>
      </c>
      <c r="G20" s="4">
        <f>'תקציב רשות החופים 2019'!G20</f>
        <v>24500</v>
      </c>
      <c r="H20" s="4">
        <f>'תקציב רשות החופים 2019'!H20</f>
        <v>0</v>
      </c>
      <c r="I20" s="4">
        <f>'תקציב רשות החופים 2019'!I20</f>
        <v>0</v>
      </c>
      <c r="J20" s="4">
        <f>'תקציב רשות החופים 2019'!J20</f>
        <v>1954</v>
      </c>
      <c r="K20" s="4">
        <f>'תקציב רשות החופים 2019'!K20</f>
        <v>1954</v>
      </c>
      <c r="L20" s="4">
        <f>'תקציב רשות החופים 2019'!L20</f>
        <v>1954</v>
      </c>
      <c r="M20" s="4">
        <f>'תקציב רשות החופים 2019'!M20</f>
        <v>22546</v>
      </c>
      <c r="N20" s="4">
        <f>'תקציב רשות החופים 2019'!N20</f>
        <v>0</v>
      </c>
      <c r="O20" s="4">
        <f>'תקציב רשות החופים 2019'!O20</f>
        <v>0</v>
      </c>
      <c r="P20" s="4">
        <f>'תקציב רשות החופים 2019'!P20</f>
        <v>22546</v>
      </c>
      <c r="Q20" s="4">
        <f>'תקציב רשות החופים 2019'!Q20</f>
        <v>0</v>
      </c>
      <c r="R20" s="4">
        <f>'תקציב רשות החופים 2019'!R20</f>
        <v>0</v>
      </c>
      <c r="S20" s="4">
        <f>'תקציב רשות החופים 2019'!S20</f>
        <v>0</v>
      </c>
      <c r="T20" s="4">
        <f>'תקציב רשות החופים 2019'!T20</f>
        <v>0</v>
      </c>
      <c r="U20" s="4">
        <f>'תקציב רשות החופים 2019'!U20</f>
        <v>0</v>
      </c>
      <c r="V20" s="4">
        <f>'תקציב רשות החופים 2019'!V20</f>
        <v>0</v>
      </c>
      <c r="W20" s="4">
        <f>'תקציב רשות החופים 2019'!W20</f>
        <v>0</v>
      </c>
      <c r="X20" s="4">
        <f>'תקציב רשות החופים 2019'!X20</f>
        <v>0</v>
      </c>
      <c r="Y20" s="4">
        <f>'תקציב רשות החופים 2019'!Y20</f>
        <v>0</v>
      </c>
      <c r="Z20" s="4">
        <f>'תקציב רשות החופים 2019'!Z20</f>
        <v>0</v>
      </c>
      <c r="AA20" s="124" t="str">
        <f>'תקציב רשות החופים 2019'!AA20</f>
        <v>מימון משרד הפנים.</v>
      </c>
      <c r="AB20" s="3">
        <f>'תקציב רשות החופים 2019'!AB20</f>
        <v>747000</v>
      </c>
      <c r="AC20" s="418"/>
      <c r="AD20" s="266"/>
      <c r="AE20" s="266"/>
      <c r="AF20" s="266"/>
      <c r="AG20" s="34"/>
      <c r="AH20" s="41"/>
      <c r="AI20" s="34"/>
      <c r="AJ20" s="34"/>
      <c r="AK20" s="34"/>
      <c r="AL20" s="30"/>
      <c r="AM20" s="31"/>
      <c r="AN20" s="31"/>
      <c r="AO20" s="31"/>
      <c r="AP20" s="31"/>
    </row>
    <row r="21" spans="1:42" s="5" customFormat="1">
      <c r="A21" s="3">
        <f t="shared" si="0"/>
        <v>16</v>
      </c>
      <c r="B21" s="3">
        <v>2050</v>
      </c>
      <c r="C21" s="3" t="s">
        <v>820</v>
      </c>
      <c r="D21" s="4">
        <f>'תקציב רשות החופים 2019'!D21</f>
        <v>24500</v>
      </c>
      <c r="E21" s="4">
        <f>'תקציב רשות החופים 2019'!E21</f>
        <v>24500</v>
      </c>
      <c r="F21" s="4">
        <f>'תקציב רשות החופים 2019'!F21</f>
        <v>0</v>
      </c>
      <c r="G21" s="4">
        <f>'תקציב רשות החופים 2019'!G21</f>
        <v>24500</v>
      </c>
      <c r="H21" s="4">
        <f>'תקציב רשות החופים 2019'!H21</f>
        <v>24500</v>
      </c>
      <c r="I21" s="4">
        <f>'תקציב רשות החופים 2019'!I21</f>
        <v>0</v>
      </c>
      <c r="J21" s="4">
        <f>'תקציב רשות החופים 2019'!J21</f>
        <v>0</v>
      </c>
      <c r="K21" s="4">
        <f>'תקציב רשות החופים 2019'!K21</f>
        <v>0</v>
      </c>
      <c r="L21" s="4">
        <f>'תקציב רשות החופים 2019'!L21</f>
        <v>24500</v>
      </c>
      <c r="M21" s="4">
        <f>'תקציב רשות החופים 2019'!M21</f>
        <v>0</v>
      </c>
      <c r="N21" s="4">
        <f>'תקציב רשות החופים 2019'!N21</f>
        <v>0</v>
      </c>
      <c r="O21" s="4">
        <f>'תקציב רשות החופים 2019'!O21</f>
        <v>0</v>
      </c>
      <c r="P21" s="4">
        <f>'תקציב רשות החופים 2019'!P21</f>
        <v>0</v>
      </c>
      <c r="Q21" s="4">
        <f>'תקציב רשות החופים 2019'!Q21</f>
        <v>0</v>
      </c>
      <c r="R21" s="4">
        <f>'תקציב רשות החופים 2019'!R21</f>
        <v>0</v>
      </c>
      <c r="S21" s="4">
        <f>'תקציב רשות החופים 2019'!S21</f>
        <v>0</v>
      </c>
      <c r="T21" s="4">
        <f>'תקציב רשות החופים 2019'!T21</f>
        <v>0</v>
      </c>
      <c r="U21" s="4">
        <f>'תקציב רשות החופים 2019'!U21</f>
        <v>0</v>
      </c>
      <c r="V21" s="4">
        <f>'תקציב רשות החופים 2019'!V21</f>
        <v>0</v>
      </c>
      <c r="W21" s="4">
        <f>'תקציב רשות החופים 2019'!W21</f>
        <v>0</v>
      </c>
      <c r="X21" s="4">
        <f>'תקציב רשות החופים 2019'!X21</f>
        <v>0</v>
      </c>
      <c r="Y21" s="4">
        <f>'תקציב רשות החופים 2019'!Y21</f>
        <v>0</v>
      </c>
      <c r="Z21" s="4">
        <f>'תקציב רשות החופים 2019'!Z21</f>
        <v>0</v>
      </c>
      <c r="AA21" s="124" t="str">
        <f>'תקציב רשות החופים 2019'!AA21</f>
        <v>מימון משרד הפנים.</v>
      </c>
      <c r="AB21" s="3">
        <f>'תקציב רשות החופים 2019'!AB21</f>
        <v>747000</v>
      </c>
      <c r="AC21" s="418"/>
      <c r="AD21" s="266"/>
      <c r="AE21" s="266"/>
      <c r="AF21" s="266"/>
      <c r="AG21" s="34"/>
      <c r="AH21" s="41"/>
      <c r="AI21" s="34"/>
      <c r="AJ21" s="34"/>
      <c r="AK21" s="34"/>
      <c r="AL21" s="30"/>
      <c r="AM21" s="31"/>
      <c r="AN21" s="31"/>
      <c r="AO21" s="31"/>
      <c r="AP21" s="31"/>
    </row>
    <row r="22" spans="1:42" s="5" customFormat="1" ht="28">
      <c r="A22" s="3">
        <f t="shared" si="0"/>
        <v>17</v>
      </c>
      <c r="B22" s="42">
        <v>2084</v>
      </c>
      <c r="C22" s="3" t="s">
        <v>821</v>
      </c>
      <c r="D22" s="4">
        <f>'תקציב רשות החופים 2019'!D22</f>
        <v>85000</v>
      </c>
      <c r="E22" s="4">
        <f>'תקציב רשות החופים 2019'!E22</f>
        <v>0</v>
      </c>
      <c r="F22" s="4">
        <f>'תקציב רשות החופים 2019'!F22</f>
        <v>85000</v>
      </c>
      <c r="G22" s="4">
        <f>'תקציב רשות החופים 2019'!G22</f>
        <v>0</v>
      </c>
      <c r="H22" s="4">
        <f>'תקציב רשות החופים 2019'!H22</f>
        <v>0</v>
      </c>
      <c r="I22" s="4">
        <f>'תקציב רשות החופים 2019'!I22</f>
        <v>0</v>
      </c>
      <c r="J22" s="4">
        <f>'תקציב רשות החופים 2019'!J22</f>
        <v>0</v>
      </c>
      <c r="K22" s="4">
        <f>'תקציב רשות החופים 2019'!K22</f>
        <v>0</v>
      </c>
      <c r="L22" s="4">
        <f>'תקציב רשות החופים 2019'!L22</f>
        <v>0</v>
      </c>
      <c r="M22" s="4">
        <f>'תקציב רשות החופים 2019'!M22</f>
        <v>0</v>
      </c>
      <c r="N22" s="4">
        <f>'תקציב רשות החופים 2019'!N22</f>
        <v>85000</v>
      </c>
      <c r="O22" s="4">
        <f>'תקציב רשות החופים 2019'!O22</f>
        <v>0</v>
      </c>
      <c r="P22" s="4">
        <f>'תקציב רשות החופים 2019'!P22</f>
        <v>0</v>
      </c>
      <c r="Q22" s="4">
        <f>'תקציב רשות החופים 2019'!Q22</f>
        <v>0</v>
      </c>
      <c r="R22" s="4">
        <f>'תקציב רשות החופים 2019'!R22</f>
        <v>0</v>
      </c>
      <c r="S22" s="4">
        <f>'תקציב רשות החופים 2019'!S22</f>
        <v>0</v>
      </c>
      <c r="T22" s="4">
        <f>'תקציב רשות החופים 2019'!T22</f>
        <v>0</v>
      </c>
      <c r="U22" s="4">
        <f>'תקציב רשות החופים 2019'!U22</f>
        <v>85000</v>
      </c>
      <c r="V22" s="4">
        <f>'תקציב רשות החופים 2019'!V22</f>
        <v>0</v>
      </c>
      <c r="W22" s="4">
        <f>'תקציב רשות החופים 2019'!W22</f>
        <v>0</v>
      </c>
      <c r="X22" s="4">
        <f>'תקציב רשות החופים 2019'!X22</f>
        <v>0</v>
      </c>
      <c r="Y22" s="4">
        <f>'תקציב רשות החופים 2019'!Y22</f>
        <v>0</v>
      </c>
      <c r="Z22" s="4">
        <f>'תקציב רשות החופים 2019'!Z22</f>
        <v>85000</v>
      </c>
      <c r="AA22" s="124" t="str">
        <f>'תקציב רשות החופים 2019'!AA22</f>
        <v>רכישת מיול נוסף לפיקוח והצלה. מימון משרד הפנים.</v>
      </c>
      <c r="AB22" s="3">
        <f>'תקציב רשות החופים 2019'!AB22</f>
        <v>747000</v>
      </c>
      <c r="AC22" s="418"/>
      <c r="AD22" s="266"/>
      <c r="AE22" s="266"/>
      <c r="AF22" s="266"/>
      <c r="AG22" s="34"/>
      <c r="AH22" s="34"/>
      <c r="AI22" s="34"/>
      <c r="AJ22" s="34"/>
      <c r="AK22" s="34"/>
      <c r="AL22" s="30"/>
      <c r="AM22" s="30"/>
      <c r="AN22" s="31"/>
      <c r="AO22" s="31"/>
      <c r="AP22" s="31"/>
    </row>
    <row r="23" spans="1:42" s="5" customFormat="1" ht="28">
      <c r="A23" s="3">
        <f t="shared" si="0"/>
        <v>18</v>
      </c>
      <c r="B23" s="42">
        <v>2085</v>
      </c>
      <c r="C23" s="3" t="s">
        <v>822</v>
      </c>
      <c r="D23" s="4">
        <f>'תקציב רשות החופים 2019'!D23</f>
        <v>85000</v>
      </c>
      <c r="E23" s="4">
        <f>'תקציב רשות החופים 2019'!E23</f>
        <v>0</v>
      </c>
      <c r="F23" s="4">
        <f>'תקציב רשות החופים 2019'!F23</f>
        <v>85000</v>
      </c>
      <c r="G23" s="4">
        <f>'תקציב רשות החופים 2019'!G23</f>
        <v>0</v>
      </c>
      <c r="H23" s="4">
        <f>'תקציב רשות החופים 2019'!H23</f>
        <v>0</v>
      </c>
      <c r="I23" s="4">
        <f>'תקציב רשות החופים 2019'!I23</f>
        <v>0</v>
      </c>
      <c r="J23" s="4">
        <f>'תקציב רשות החופים 2019'!J23</f>
        <v>0</v>
      </c>
      <c r="K23" s="4">
        <f>'תקציב רשות החופים 2019'!K23</f>
        <v>0</v>
      </c>
      <c r="L23" s="4">
        <f>'תקציב רשות החופים 2019'!L23</f>
        <v>0</v>
      </c>
      <c r="M23" s="4">
        <f>'תקציב רשות החופים 2019'!M23</f>
        <v>0</v>
      </c>
      <c r="N23" s="4">
        <f>'תקציב רשות החופים 2019'!N23</f>
        <v>85000</v>
      </c>
      <c r="O23" s="4">
        <f>'תקציב רשות החופים 2019'!O23</f>
        <v>0</v>
      </c>
      <c r="P23" s="4">
        <f>'תקציב רשות החופים 2019'!P23</f>
        <v>0</v>
      </c>
      <c r="Q23" s="4">
        <f>'תקציב רשות החופים 2019'!Q23</f>
        <v>0</v>
      </c>
      <c r="R23" s="4">
        <f>'תקציב רשות החופים 2019'!R23</f>
        <v>0</v>
      </c>
      <c r="S23" s="4">
        <f>'תקציב רשות החופים 2019'!S23</f>
        <v>0</v>
      </c>
      <c r="T23" s="4">
        <f>'תקציב רשות החופים 2019'!T23</f>
        <v>0</v>
      </c>
      <c r="U23" s="4">
        <f>'תקציב רשות החופים 2019'!U23</f>
        <v>85000</v>
      </c>
      <c r="V23" s="4">
        <f>'תקציב רשות החופים 2019'!V23</f>
        <v>0</v>
      </c>
      <c r="W23" s="4">
        <f>'תקציב רשות החופים 2019'!W23</f>
        <v>0</v>
      </c>
      <c r="X23" s="4">
        <f>'תקציב רשות החופים 2019'!X23</f>
        <v>0</v>
      </c>
      <c r="Y23" s="4">
        <f>'תקציב רשות החופים 2019'!Y23</f>
        <v>0</v>
      </c>
      <c r="Z23" s="4">
        <f>'תקציב רשות החופים 2019'!Z23</f>
        <v>85000</v>
      </c>
      <c r="AA23" s="124" t="str">
        <f>'תקציב רשות החופים 2019'!AA23</f>
        <v>רכישת אופנוע ים כולל זיווד. מימון משרד הפנים.</v>
      </c>
      <c r="AB23" s="3">
        <f>'תקציב רשות החופים 2019'!AB23</f>
        <v>747000</v>
      </c>
      <c r="AC23" s="418"/>
      <c r="AD23" s="266"/>
      <c r="AE23" s="266"/>
      <c r="AF23" s="266"/>
      <c r="AG23" s="34"/>
      <c r="AH23" s="34"/>
      <c r="AI23" s="34"/>
      <c r="AJ23" s="34"/>
      <c r="AK23" s="34"/>
      <c r="AL23" s="30"/>
      <c r="AM23" s="30"/>
      <c r="AN23" s="31"/>
      <c r="AO23" s="31"/>
      <c r="AP23" s="31"/>
    </row>
    <row r="24" spans="1:42" s="5" customFormat="1" ht="28">
      <c r="A24" s="3">
        <f t="shared" si="0"/>
        <v>19</v>
      </c>
      <c r="B24" s="42">
        <v>2086</v>
      </c>
      <c r="C24" s="3" t="s">
        <v>823</v>
      </c>
      <c r="D24" s="4">
        <f>'תקציב רשות החופים 2019'!D24</f>
        <v>26159</v>
      </c>
      <c r="E24" s="4">
        <f>'תקציב רשות החופים 2019'!E24</f>
        <v>0</v>
      </c>
      <c r="F24" s="4">
        <f>'תקציב רשות החופים 2019'!F24</f>
        <v>26159</v>
      </c>
      <c r="G24" s="4">
        <f>'תקציב רשות החופים 2019'!G24</f>
        <v>0</v>
      </c>
      <c r="H24" s="4">
        <f>'תקציב רשות החופים 2019'!H24</f>
        <v>0</v>
      </c>
      <c r="I24" s="4">
        <f>'תקציב רשות החופים 2019'!I24</f>
        <v>0</v>
      </c>
      <c r="J24" s="4">
        <f>'תקציב רשות החופים 2019'!J24</f>
        <v>0</v>
      </c>
      <c r="K24" s="4">
        <f>'תקציב רשות החופים 2019'!K24</f>
        <v>0</v>
      </c>
      <c r="L24" s="4">
        <f>'תקציב רשות החופים 2019'!L24</f>
        <v>0</v>
      </c>
      <c r="M24" s="4">
        <f>'תקציב רשות החופים 2019'!M24</f>
        <v>0</v>
      </c>
      <c r="N24" s="4">
        <f>'תקציב רשות החופים 2019'!N24</f>
        <v>26159</v>
      </c>
      <c r="O24" s="4">
        <f>'תקציב רשות החופים 2019'!O24</f>
        <v>0</v>
      </c>
      <c r="P24" s="4">
        <f>'תקציב רשות החופים 2019'!P24</f>
        <v>0</v>
      </c>
      <c r="Q24" s="4">
        <f>'תקציב רשות החופים 2019'!Q24</f>
        <v>0</v>
      </c>
      <c r="R24" s="4">
        <f>'תקציב רשות החופים 2019'!R24</f>
        <v>0</v>
      </c>
      <c r="S24" s="4">
        <f>'תקציב רשות החופים 2019'!S24</f>
        <v>0</v>
      </c>
      <c r="T24" s="4">
        <f>'תקציב רשות החופים 2019'!T24</f>
        <v>0</v>
      </c>
      <c r="U24" s="4">
        <f>'תקציב רשות החופים 2019'!U24</f>
        <v>26159</v>
      </c>
      <c r="V24" s="4">
        <f>'תקציב רשות החופים 2019'!V24</f>
        <v>0</v>
      </c>
      <c r="W24" s="4">
        <f>'תקציב רשות החופים 2019'!W24</f>
        <v>0</v>
      </c>
      <c r="X24" s="4">
        <f>'תקציב רשות החופים 2019'!X24</f>
        <v>0</v>
      </c>
      <c r="Y24" s="4">
        <f>'תקציב רשות החופים 2019'!Y24</f>
        <v>0</v>
      </c>
      <c r="Z24" s="4">
        <f>'תקציב רשות החופים 2019'!Z24</f>
        <v>26159</v>
      </c>
      <c r="AA24" s="124" t="str">
        <f>'תקציב רשות החופים 2019'!AA24</f>
        <v>החלפה והוספת ציוד הצלה ובטיחות. מימון משרד הפנים.</v>
      </c>
      <c r="AB24" s="3">
        <f>'תקציב רשות החופים 2019'!AB24</f>
        <v>747000</v>
      </c>
      <c r="AC24" s="418"/>
      <c r="AD24" s="266"/>
      <c r="AE24" s="266"/>
      <c r="AF24" s="266"/>
      <c r="AG24" s="34"/>
      <c r="AH24" s="34"/>
      <c r="AI24" s="34"/>
      <c r="AJ24" s="34"/>
      <c r="AK24" s="34"/>
      <c r="AL24" s="30"/>
      <c r="AM24" s="30"/>
      <c r="AN24" s="31"/>
      <c r="AO24" s="31"/>
      <c r="AP24" s="31"/>
    </row>
    <row r="25" spans="1:42" s="56" customFormat="1" ht="18.75" customHeight="1">
      <c r="A25" s="48">
        <f>A24</f>
        <v>19</v>
      </c>
      <c r="B25" s="48" t="s">
        <v>67</v>
      </c>
      <c r="C25" s="260" t="s">
        <v>1215</v>
      </c>
      <c r="D25" s="13">
        <f t="shared" ref="D25:Z25" si="1">SUM(D6:D24)</f>
        <v>7879159</v>
      </c>
      <c r="E25" s="13">
        <f t="shared" si="1"/>
        <v>9541000</v>
      </c>
      <c r="F25" s="13">
        <f t="shared" si="1"/>
        <v>-1661841</v>
      </c>
      <c r="G25" s="13">
        <f t="shared" si="1"/>
        <v>5613000</v>
      </c>
      <c r="H25" s="13">
        <f t="shared" si="1"/>
        <v>4759043.32</v>
      </c>
      <c r="I25" s="13">
        <f t="shared" si="1"/>
        <v>354044.03</v>
      </c>
      <c r="J25" s="13">
        <f t="shared" si="1"/>
        <v>255698.02000000002</v>
      </c>
      <c r="K25" s="13">
        <f t="shared" si="1"/>
        <v>609742.05000000005</v>
      </c>
      <c r="L25" s="13">
        <f t="shared" si="1"/>
        <v>5368785.3700000001</v>
      </c>
      <c r="M25" s="13">
        <f t="shared" si="1"/>
        <v>214214.62999999998</v>
      </c>
      <c r="N25" s="13">
        <f t="shared" si="1"/>
        <v>1896159</v>
      </c>
      <c r="O25" s="13">
        <f t="shared" si="1"/>
        <v>400000</v>
      </c>
      <c r="P25" s="13">
        <f t="shared" si="1"/>
        <v>244214.62999999998</v>
      </c>
      <c r="Q25" s="13">
        <f t="shared" si="1"/>
        <v>0</v>
      </c>
      <c r="R25" s="13">
        <f t="shared" si="1"/>
        <v>0</v>
      </c>
      <c r="S25" s="13">
        <f t="shared" si="1"/>
        <v>0</v>
      </c>
      <c r="T25" s="13">
        <f t="shared" si="1"/>
        <v>30000</v>
      </c>
      <c r="U25" s="13">
        <f t="shared" si="1"/>
        <v>1866159</v>
      </c>
      <c r="V25" s="13">
        <f t="shared" si="1"/>
        <v>0</v>
      </c>
      <c r="W25" s="13">
        <f t="shared" si="1"/>
        <v>1670000</v>
      </c>
      <c r="X25" s="13">
        <f t="shared" si="1"/>
        <v>0</v>
      </c>
      <c r="Y25" s="13">
        <f t="shared" si="1"/>
        <v>0</v>
      </c>
      <c r="Z25" s="13">
        <f t="shared" si="1"/>
        <v>196159</v>
      </c>
      <c r="AA25" s="410"/>
      <c r="AB25" s="48"/>
      <c r="AC25" s="418"/>
      <c r="AD25" s="266"/>
      <c r="AE25" s="266"/>
      <c r="AF25" s="266"/>
      <c r="AG25" s="34"/>
      <c r="AH25" s="34"/>
      <c r="AI25" s="34"/>
      <c r="AJ25" s="34"/>
      <c r="AK25" s="34"/>
      <c r="AL25" s="30"/>
      <c r="AM25" s="62"/>
      <c r="AN25" s="62"/>
      <c r="AO25" s="62"/>
      <c r="AP25" s="62"/>
    </row>
    <row r="26" spans="1:42">
      <c r="A26" s="15"/>
      <c r="D26" s="15"/>
      <c r="E26" s="15"/>
      <c r="F26" s="15"/>
      <c r="G26" s="15"/>
      <c r="H26" s="15"/>
      <c r="I26" s="15"/>
      <c r="J26" s="15"/>
      <c r="K26" s="15"/>
      <c r="L26" s="275">
        <f>H25+K25</f>
        <v>5368785.3700000001</v>
      </c>
      <c r="M26" s="275">
        <f>P25+S25-T25</f>
        <v>214214.62999999998</v>
      </c>
      <c r="N26" s="15"/>
      <c r="O26" s="15"/>
      <c r="P26" s="24">
        <f>G25-L25</f>
        <v>244214.62999999989</v>
      </c>
      <c r="U26" s="24">
        <f>N25-T25</f>
        <v>1866159</v>
      </c>
      <c r="W26" s="61"/>
      <c r="Z26" s="61"/>
    </row>
    <row r="27" spans="1:42">
      <c r="A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U27" s="22"/>
      <c r="W27" s="61"/>
      <c r="Z27" s="61"/>
    </row>
    <row r="28" spans="1:42">
      <c r="A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U28" s="22"/>
      <c r="W28" s="61"/>
      <c r="Z28" s="61"/>
    </row>
    <row r="29" spans="1:42">
      <c r="A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U29" s="22"/>
      <c r="W29" s="61"/>
      <c r="Z29" s="61"/>
    </row>
    <row r="30" spans="1:42">
      <c r="A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U30" s="22"/>
      <c r="W30" s="61"/>
      <c r="Z30" s="61"/>
    </row>
    <row r="31" spans="1:42">
      <c r="A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U31" s="22"/>
      <c r="W31" s="61"/>
      <c r="Z31" s="61"/>
    </row>
    <row r="32" spans="1:42">
      <c r="A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R32" s="15"/>
      <c r="S32" s="15"/>
    </row>
    <row r="33" spans="1:20">
      <c r="A33" s="15"/>
      <c r="D33" s="15"/>
      <c r="E33" s="15"/>
      <c r="F33" s="15"/>
      <c r="G33" s="15"/>
      <c r="H33" s="15"/>
      <c r="I33" s="15"/>
      <c r="J33" s="15"/>
      <c r="K33" s="15"/>
      <c r="L33" s="15"/>
      <c r="M33" s="15"/>
    </row>
    <row r="34" spans="1:20">
      <c r="A34" s="15"/>
      <c r="D34" s="15"/>
      <c r="E34" s="15"/>
      <c r="F34" s="15"/>
      <c r="G34" s="15"/>
      <c r="H34" s="15"/>
      <c r="I34" s="15"/>
      <c r="J34" s="15"/>
      <c r="K34" s="15"/>
      <c r="L34" s="15"/>
      <c r="M34" s="15"/>
    </row>
    <row r="37" spans="1:20">
      <c r="A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1:20">
      <c r="A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20">
      <c r="A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20">
      <c r="A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S40" s="15"/>
      <c r="T40" s="15"/>
    </row>
  </sheetData>
  <sheetProtection formatCells="0" formatColumns="0" formatRows="0" insertColumns="0" insertRows="0" insertHyperlinks="0" deleteColumns="0" deleteRows="0" sort="0" autoFilter="0" pivotTables="0"/>
  <conditionalFormatting sqref="AA4">
    <cfRule type="cellIs" dxfId="247" priority="1" operator="equal">
      <formula>0</formula>
    </cfRule>
  </conditionalFormatting>
  <printOptions horizontalCentered="1"/>
  <pageMargins left="0" right="0" top="0.94488188976377963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3"/>
  <sheetViews>
    <sheetView rightToLeft="1" workbookViewId="0">
      <selection activeCell="T20" sqref="T20"/>
    </sheetView>
  </sheetViews>
  <sheetFormatPr defaultColWidth="9.1796875" defaultRowHeight="14"/>
  <cols>
    <col min="1" max="3" width="4.1796875" style="353" customWidth="1"/>
    <col min="4" max="4" width="34.81640625" style="353" customWidth="1"/>
    <col min="5" max="5" width="30.453125" style="353" customWidth="1"/>
    <col min="6" max="6" width="10.81640625" style="353" customWidth="1"/>
    <col min="7" max="7" width="5.54296875" style="353" customWidth="1"/>
    <col min="8" max="9" width="12.1796875" style="353" customWidth="1"/>
    <col min="10" max="10" width="7.81640625" style="353" customWidth="1"/>
    <col min="11" max="16384" width="9.1796875" style="353"/>
  </cols>
  <sheetData>
    <row r="3" spans="1:17" ht="20.5">
      <c r="A3" s="352"/>
      <c r="C3" s="354" t="s">
        <v>571</v>
      </c>
      <c r="D3" s="352"/>
      <c r="E3" s="352"/>
      <c r="F3" s="352"/>
      <c r="G3" s="352"/>
      <c r="H3" s="352"/>
      <c r="I3" s="352"/>
      <c r="J3" s="352"/>
      <c r="K3" s="352"/>
      <c r="L3" s="352"/>
    </row>
    <row r="4" spans="1:17" ht="20.5">
      <c r="A4" s="352"/>
      <c r="C4" s="354"/>
      <c r="D4" s="352"/>
      <c r="E4" s="352"/>
      <c r="F4" s="352"/>
      <c r="G4" s="352"/>
      <c r="H4" s="352"/>
      <c r="I4" s="352"/>
      <c r="J4" s="352"/>
      <c r="K4" s="352"/>
      <c r="L4" s="352"/>
    </row>
    <row r="5" spans="1:17" ht="20.5">
      <c r="A5" s="352"/>
      <c r="C5" s="354"/>
      <c r="D5" s="352"/>
      <c r="E5" s="352"/>
      <c r="F5" s="352"/>
      <c r="G5" s="352"/>
      <c r="H5" s="352"/>
      <c r="I5" s="352"/>
      <c r="J5" s="352"/>
      <c r="K5" s="352"/>
      <c r="L5" s="352"/>
    </row>
    <row r="6" spans="1:17" ht="21" thickBot="1">
      <c r="A6" s="352"/>
      <c r="C6" s="354"/>
      <c r="D6" s="352"/>
      <c r="E6" s="352"/>
      <c r="F6" s="352"/>
      <c r="G6" s="352"/>
      <c r="H6" s="352"/>
      <c r="I6" s="352"/>
      <c r="J6" s="352"/>
      <c r="K6" s="352"/>
      <c r="L6" s="352"/>
    </row>
    <row r="7" spans="1:17" ht="16" thickBot="1">
      <c r="A7" s="352"/>
      <c r="B7" s="355" t="s">
        <v>344</v>
      </c>
      <c r="C7" s="352" t="s">
        <v>1228</v>
      </c>
      <c r="D7" s="352"/>
      <c r="E7" s="352"/>
      <c r="F7" s="356">
        <f>'תקציב החברה לתירות 2019'!U19</f>
        <v>7930000</v>
      </c>
      <c r="I7" s="352"/>
      <c r="J7" s="352"/>
      <c r="K7" s="352"/>
      <c r="L7" s="352"/>
    </row>
    <row r="8" spans="1:17" ht="21" thickBot="1">
      <c r="A8" s="352"/>
      <c r="C8" s="354"/>
      <c r="D8" s="352"/>
      <c r="E8" s="352"/>
      <c r="F8" s="352"/>
      <c r="H8" s="352"/>
      <c r="I8" s="352"/>
      <c r="J8" s="352"/>
      <c r="K8" s="352"/>
      <c r="L8" s="352"/>
    </row>
    <row r="9" spans="1:17" ht="16" thickBot="1">
      <c r="B9" s="355" t="s">
        <v>344</v>
      </c>
      <c r="C9" s="352" t="s">
        <v>606</v>
      </c>
      <c r="D9" s="352"/>
      <c r="F9" s="364">
        <f>'תקציב החברה לתירות 2019'!A19</f>
        <v>13</v>
      </c>
      <c r="I9" s="352"/>
      <c r="J9" s="352"/>
      <c r="K9" s="352"/>
      <c r="L9" s="352"/>
      <c r="M9" s="352"/>
      <c r="N9" s="352"/>
      <c r="O9" s="352"/>
      <c r="P9" s="352"/>
      <c r="Q9" s="352"/>
    </row>
    <row r="10" spans="1:17" ht="15.5">
      <c r="B10" s="355"/>
      <c r="C10" s="352"/>
      <c r="D10" s="352"/>
      <c r="F10" s="358"/>
      <c r="I10" s="352"/>
      <c r="J10" s="352"/>
      <c r="K10" s="352"/>
      <c r="L10" s="352"/>
      <c r="M10" s="352"/>
      <c r="N10" s="352"/>
      <c r="O10" s="352"/>
      <c r="P10" s="352"/>
      <c r="Q10" s="352"/>
    </row>
    <row r="11" spans="1:17" ht="15.5">
      <c r="B11" s="355"/>
      <c r="C11" s="352"/>
      <c r="D11" s="352"/>
      <c r="F11" s="358"/>
      <c r="I11" s="352"/>
      <c r="J11" s="352"/>
      <c r="K11" s="352"/>
      <c r="L11" s="352"/>
      <c r="M11" s="352"/>
      <c r="N11" s="352"/>
      <c r="O11" s="352"/>
      <c r="P11" s="352"/>
      <c r="Q11" s="352"/>
    </row>
    <row r="12" spans="1:17" ht="15.5">
      <c r="B12" s="355" t="s">
        <v>344</v>
      </c>
      <c r="C12" s="352" t="s">
        <v>547</v>
      </c>
      <c r="D12" s="352"/>
      <c r="E12" s="352"/>
      <c r="F12" s="352"/>
      <c r="G12" s="352"/>
      <c r="H12" s="352"/>
      <c r="I12" s="352"/>
      <c r="J12" s="352"/>
      <c r="K12" s="352"/>
      <c r="L12" s="352"/>
    </row>
    <row r="13" spans="1:17" ht="16" thickBot="1">
      <c r="B13" s="352"/>
      <c r="C13" s="352"/>
      <c r="D13" s="352"/>
      <c r="E13" s="352"/>
      <c r="F13" s="352"/>
      <c r="G13" s="352"/>
      <c r="H13" s="352"/>
      <c r="I13" s="352"/>
      <c r="J13" s="352"/>
      <c r="K13" s="352"/>
      <c r="L13" s="352"/>
      <c r="M13" s="352"/>
      <c r="N13" s="352"/>
      <c r="O13" s="352"/>
      <c r="P13" s="352"/>
      <c r="Q13" s="352"/>
    </row>
    <row r="14" spans="1:17" ht="15.5">
      <c r="D14" s="365" t="s">
        <v>548</v>
      </c>
      <c r="E14" s="366" t="s">
        <v>549</v>
      </c>
      <c r="F14" s="367" t="s">
        <v>551</v>
      </c>
      <c r="G14" s="352"/>
      <c r="H14" s="352"/>
      <c r="I14" s="352"/>
      <c r="J14" s="352"/>
      <c r="K14" s="352"/>
      <c r="L14" s="352"/>
      <c r="M14" s="352"/>
      <c r="N14" s="352"/>
      <c r="O14" s="352"/>
      <c r="P14" s="352"/>
      <c r="Q14" s="352"/>
    </row>
    <row r="15" spans="1:17" ht="15.5">
      <c r="C15" s="355"/>
      <c r="D15" s="359" t="s">
        <v>13</v>
      </c>
      <c r="E15" s="368">
        <f>'תקציב החברה לתירות 2019'!V19</f>
        <v>3130000</v>
      </c>
      <c r="F15" s="376">
        <f>E15/$E$17</f>
        <v>0.39470365699873894</v>
      </c>
      <c r="G15" s="352"/>
      <c r="H15" s="352"/>
      <c r="I15" s="352"/>
      <c r="J15" s="352"/>
      <c r="K15" s="352"/>
      <c r="L15" s="352"/>
      <c r="M15" s="352"/>
      <c r="N15" s="352"/>
      <c r="O15" s="352"/>
      <c r="P15" s="352"/>
      <c r="Q15" s="352"/>
    </row>
    <row r="16" spans="1:17" ht="15.5">
      <c r="C16" s="355"/>
      <c r="D16" s="359" t="s">
        <v>140</v>
      </c>
      <c r="E16" s="368">
        <f>'תקציב החברה לתירות 2019'!Z19</f>
        <v>4800000</v>
      </c>
      <c r="F16" s="376">
        <f>E16/$E$17</f>
        <v>0.60529634300126101</v>
      </c>
      <c r="G16" s="352"/>
      <c r="H16" s="352"/>
      <c r="I16" s="352"/>
      <c r="J16" s="352"/>
      <c r="K16" s="352"/>
      <c r="L16" s="352"/>
      <c r="M16" s="352"/>
      <c r="N16" s="352"/>
      <c r="O16" s="352"/>
      <c r="P16" s="352"/>
      <c r="Q16" s="352"/>
    </row>
    <row r="17" spans="2:17" ht="16" thickBot="1">
      <c r="C17" s="355"/>
      <c r="D17" s="362" t="s">
        <v>160</v>
      </c>
      <c r="E17" s="370">
        <f>SUM(E15:E16)</f>
        <v>7930000</v>
      </c>
      <c r="F17" s="219">
        <f>SUM(F15:F16)</f>
        <v>1</v>
      </c>
      <c r="G17" s="352"/>
      <c r="H17" s="352"/>
      <c r="I17" s="352"/>
      <c r="J17" s="352"/>
      <c r="K17" s="352"/>
      <c r="L17" s="352"/>
      <c r="M17" s="352"/>
      <c r="N17" s="352"/>
      <c r="O17" s="352"/>
      <c r="P17" s="352"/>
      <c r="Q17" s="352"/>
    </row>
    <row r="18" spans="2:17" ht="15.5">
      <c r="C18" s="355"/>
      <c r="D18" s="358"/>
      <c r="E18" s="379"/>
      <c r="F18" s="383"/>
      <c r="G18" s="352"/>
      <c r="H18" s="352"/>
      <c r="I18" s="352"/>
      <c r="J18" s="352"/>
      <c r="K18" s="352"/>
      <c r="L18" s="352"/>
      <c r="M18" s="352"/>
      <c r="N18" s="352"/>
      <c r="O18" s="352"/>
      <c r="P18" s="352"/>
      <c r="Q18" s="352"/>
    </row>
    <row r="19" spans="2:17" ht="15.5">
      <c r="C19" s="355"/>
      <c r="D19" s="358"/>
      <c r="E19" s="379"/>
      <c r="F19" s="383"/>
      <c r="G19" s="352"/>
      <c r="H19" s="352"/>
      <c r="I19" s="352"/>
      <c r="J19" s="352"/>
      <c r="K19" s="352"/>
      <c r="L19" s="352"/>
      <c r="M19" s="352"/>
      <c r="N19" s="352"/>
      <c r="O19" s="352"/>
      <c r="P19" s="352"/>
      <c r="Q19" s="352"/>
    </row>
    <row r="20" spans="2:17" ht="15.5">
      <c r="B20" s="355"/>
      <c r="C20" s="352"/>
      <c r="D20" s="352"/>
      <c r="E20" s="352"/>
      <c r="F20" s="352"/>
      <c r="G20" s="352"/>
      <c r="H20" s="352"/>
      <c r="I20" s="352"/>
      <c r="J20" s="352"/>
      <c r="K20" s="352"/>
      <c r="L20" s="352"/>
      <c r="M20" s="352"/>
      <c r="N20" s="352"/>
      <c r="O20" s="352"/>
      <c r="P20" s="352"/>
      <c r="Q20" s="352"/>
    </row>
    <row r="21" spans="2:17" ht="15.5">
      <c r="B21" s="355" t="s">
        <v>344</v>
      </c>
      <c r="C21" s="352" t="s">
        <v>1200</v>
      </c>
      <c r="D21" s="352"/>
      <c r="F21" s="352"/>
      <c r="H21" s="352"/>
      <c r="I21" s="352"/>
      <c r="J21" s="352"/>
      <c r="K21" s="352"/>
      <c r="L21" s="352"/>
      <c r="M21" s="352"/>
      <c r="N21" s="352"/>
      <c r="O21" s="352"/>
      <c r="P21" s="352"/>
      <c r="Q21" s="352"/>
    </row>
    <row r="22" spans="2:17" ht="15.5">
      <c r="C22" s="352"/>
      <c r="D22" s="352" t="s">
        <v>1411</v>
      </c>
      <c r="E22" s="352"/>
      <c r="F22" s="352"/>
      <c r="H22" s="352"/>
      <c r="I22" s="352"/>
      <c r="J22" s="352"/>
      <c r="K22" s="352"/>
      <c r="L22" s="352"/>
    </row>
    <row r="23" spans="2:17" ht="15.5">
      <c r="B23" s="355"/>
      <c r="C23" s="352"/>
      <c r="D23" s="352" t="s">
        <v>1412</v>
      </c>
      <c r="E23" s="352"/>
      <c r="F23" s="352"/>
      <c r="G23" s="352"/>
      <c r="H23" s="352"/>
      <c r="I23" s="352"/>
      <c r="J23" s="352"/>
      <c r="K23" s="352"/>
      <c r="L23" s="352"/>
      <c r="M23" s="352"/>
      <c r="N23" s="352"/>
      <c r="O23" s="352"/>
      <c r="P23" s="352"/>
      <c r="Q23" s="352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25"/>
  <sheetViews>
    <sheetView showZeros="0" rightToLeft="1" zoomScaleNormal="100" workbookViewId="0">
      <pane xSplit="3" ySplit="4" topLeftCell="D12" activePane="bottomRight" state="frozen"/>
      <selection activeCell="T20" sqref="T20"/>
      <selection pane="topRight" activeCell="T20" sqref="T20"/>
      <selection pane="bottomLeft" activeCell="T20" sqref="T20"/>
      <selection pane="bottomRight" activeCell="T20" sqref="T20"/>
    </sheetView>
  </sheetViews>
  <sheetFormatPr defaultColWidth="9.1796875" defaultRowHeight="18"/>
  <cols>
    <col min="1" max="1" width="4.26953125" style="418" customWidth="1"/>
    <col min="2" max="2" width="5.453125" style="247" customWidth="1"/>
    <col min="3" max="3" width="38.26953125" style="247" customWidth="1"/>
    <col min="4" max="5" width="10.453125" style="248" customWidth="1"/>
    <col min="6" max="6" width="7.26953125" style="248" customWidth="1"/>
    <col min="7" max="10" width="12.7265625" style="248" hidden="1" customWidth="1"/>
    <col min="11" max="11" width="11.26953125" style="248" hidden="1" customWidth="1"/>
    <col min="12" max="12" width="10.54296875" style="248" customWidth="1"/>
    <col min="13" max="13" width="9.1796875" style="248" customWidth="1"/>
    <col min="14" max="14" width="11.1796875" style="248" bestFit="1" customWidth="1"/>
    <col min="15" max="15" width="10.54296875" style="248" customWidth="1"/>
    <col min="16" max="16" width="9.26953125" style="248" hidden="1" customWidth="1"/>
    <col min="17" max="17" width="11.1796875" style="248" hidden="1" customWidth="1"/>
    <col min="18" max="19" width="12" style="248" hidden="1" customWidth="1"/>
    <col min="20" max="20" width="10.26953125" style="248" hidden="1" customWidth="1"/>
    <col min="21" max="21" width="9.81640625" style="247" customWidth="1"/>
    <col min="22" max="22" width="9" style="247" customWidth="1"/>
    <col min="23" max="23" width="8" style="247" hidden="1" customWidth="1"/>
    <col min="24" max="25" width="11.81640625" style="247" hidden="1" customWidth="1"/>
    <col min="26" max="26" width="9.1796875" style="247" customWidth="1"/>
    <col min="27" max="27" width="27" style="247" customWidth="1"/>
    <col min="28" max="28" width="7.81640625" style="247" hidden="1" customWidth="1"/>
    <col min="29" max="29" width="20.81640625" style="247" customWidth="1"/>
    <col min="30" max="31" width="9.1796875" style="437" customWidth="1"/>
    <col min="32" max="32" width="11.26953125" style="416" customWidth="1"/>
    <col min="33" max="33" width="11.7265625" style="416" customWidth="1"/>
    <col min="34" max="34" width="12.7265625" style="416" customWidth="1"/>
    <col min="35" max="16384" width="9.1796875" style="247"/>
  </cols>
  <sheetData>
    <row r="1" spans="1:37" s="416" customFormat="1">
      <c r="A1" s="414"/>
      <c r="B1" s="414"/>
      <c r="C1" s="414"/>
      <c r="D1" s="414"/>
      <c r="E1" s="414"/>
      <c r="F1" s="414"/>
      <c r="G1" s="414"/>
      <c r="H1" s="414"/>
      <c r="I1" s="414"/>
      <c r="J1" s="414"/>
      <c r="K1" s="414"/>
      <c r="L1" s="414"/>
      <c r="M1" s="414"/>
      <c r="N1" s="414"/>
      <c r="O1" s="414"/>
      <c r="P1" s="414"/>
      <c r="Q1" s="414"/>
      <c r="R1" s="414"/>
      <c r="S1" s="414"/>
      <c r="T1" s="414"/>
      <c r="U1" s="414"/>
      <c r="V1" s="414"/>
      <c r="W1" s="414"/>
      <c r="X1" s="494"/>
      <c r="Y1" s="494"/>
      <c r="AC1" s="247"/>
      <c r="AD1" s="556"/>
      <c r="AE1" s="556"/>
    </row>
    <row r="2" spans="1:37">
      <c r="A2" s="414" t="s">
        <v>174</v>
      </c>
      <c r="B2" s="414"/>
      <c r="C2" s="414"/>
      <c r="D2" s="414"/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414"/>
      <c r="R2" s="414"/>
      <c r="S2" s="414"/>
      <c r="T2" s="414"/>
      <c r="U2" s="414"/>
      <c r="V2" s="414"/>
      <c r="W2" s="414"/>
    </row>
    <row r="4" spans="1:37" s="422" customFormat="1" ht="86.25" customHeight="1">
      <c r="A4" s="250" t="s">
        <v>0</v>
      </c>
      <c r="B4" s="250" t="s">
        <v>1</v>
      </c>
      <c r="C4" s="250" t="s">
        <v>2</v>
      </c>
      <c r="D4" s="250" t="s">
        <v>3</v>
      </c>
      <c r="E4" s="250" t="s">
        <v>4</v>
      </c>
      <c r="F4" s="250" t="s">
        <v>5</v>
      </c>
      <c r="G4" s="250" t="s">
        <v>6</v>
      </c>
      <c r="H4" s="250" t="s">
        <v>7</v>
      </c>
      <c r="I4" s="250" t="s">
        <v>9</v>
      </c>
      <c r="J4" s="250" t="s">
        <v>318</v>
      </c>
      <c r="K4" s="250" t="s">
        <v>10</v>
      </c>
      <c r="L4" s="250" t="s">
        <v>11</v>
      </c>
      <c r="M4" s="11" t="s">
        <v>627</v>
      </c>
      <c r="N4" s="250" t="s">
        <v>628</v>
      </c>
      <c r="O4" s="250" t="s">
        <v>629</v>
      </c>
      <c r="P4" s="250" t="s">
        <v>12</v>
      </c>
      <c r="Q4" s="250" t="s">
        <v>739</v>
      </c>
      <c r="R4" s="250" t="s">
        <v>740</v>
      </c>
      <c r="S4" s="250" t="s">
        <v>632</v>
      </c>
      <c r="T4" s="250" t="s">
        <v>633</v>
      </c>
      <c r="U4" s="250" t="s">
        <v>634</v>
      </c>
      <c r="V4" s="250" t="s">
        <v>13</v>
      </c>
      <c r="W4" s="250" t="s">
        <v>14</v>
      </c>
      <c r="X4" s="250" t="s">
        <v>15</v>
      </c>
      <c r="Y4" s="250" t="s">
        <v>523</v>
      </c>
      <c r="Z4" s="250" t="s">
        <v>140</v>
      </c>
      <c r="AA4" s="19" t="s">
        <v>635</v>
      </c>
      <c r="AB4" s="250" t="s">
        <v>16</v>
      </c>
      <c r="AC4" s="247"/>
      <c r="AD4" s="34"/>
      <c r="AE4" s="34"/>
      <c r="AF4" s="416"/>
      <c r="AG4" s="416"/>
      <c r="AH4" s="416"/>
    </row>
    <row r="5" spans="1:37" s="258" customFormat="1">
      <c r="A5" s="254"/>
      <c r="B5" s="254"/>
      <c r="C5" s="254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Y5" s="255"/>
      <c r="Z5" s="254"/>
      <c r="AA5" s="254"/>
      <c r="AB5" s="251"/>
      <c r="AC5" s="247"/>
      <c r="AD5" s="429"/>
      <c r="AE5" s="429"/>
      <c r="AF5" s="416"/>
      <c r="AG5" s="416"/>
      <c r="AH5" s="416"/>
    </row>
    <row r="6" spans="1:37" s="259" customFormat="1" ht="28" customHeight="1">
      <c r="A6" s="254">
        <f>A5+1</f>
        <v>1</v>
      </c>
      <c r="B6" s="254">
        <v>1519</v>
      </c>
      <c r="C6" s="254" t="s">
        <v>138</v>
      </c>
      <c r="D6" s="255">
        <v>8493000</v>
      </c>
      <c r="E6" s="255">
        <v>8493000</v>
      </c>
      <c r="F6" s="255">
        <f t="shared" ref="F6:F18" si="0">D6-E6</f>
        <v>0</v>
      </c>
      <c r="G6" s="255">
        <v>730000</v>
      </c>
      <c r="H6" s="255">
        <v>727317.36</v>
      </c>
      <c r="I6" s="255"/>
      <c r="J6" s="255"/>
      <c r="K6" s="255">
        <f t="shared" ref="K6:K18" si="1">SUM(I6:J6)</f>
        <v>0</v>
      </c>
      <c r="L6" s="255">
        <f t="shared" ref="L6:L18" si="2">H6+K6</f>
        <v>727317.36</v>
      </c>
      <c r="M6" s="255">
        <f t="shared" ref="M6:M18" si="3">P6+S6</f>
        <v>2682.640000000014</v>
      </c>
      <c r="N6" s="255">
        <f>1000000-1000000</f>
        <v>0</v>
      </c>
      <c r="O6" s="255">
        <f t="shared" ref="O6:O18" si="4">D6-L6-M6-N6</f>
        <v>7763000</v>
      </c>
      <c r="P6" s="255">
        <f t="shared" ref="P6:P18" si="5">G6-L6</f>
        <v>2682.640000000014</v>
      </c>
      <c r="Q6" s="255"/>
      <c r="R6" s="255"/>
      <c r="S6" s="255">
        <f t="shared" ref="S6:S18" si="6">SUM(Q6:R6)</f>
        <v>0</v>
      </c>
      <c r="T6" s="255">
        <f t="shared" ref="T6:T18" si="7">P6-M6+S6</f>
        <v>0</v>
      </c>
      <c r="U6" s="255">
        <f t="shared" ref="U6:U18" si="8">N6-T6</f>
        <v>0</v>
      </c>
      <c r="V6" s="255">
        <f t="shared" ref="V6:V18" si="9">U6-W6-Y6-Z6</f>
        <v>0</v>
      </c>
      <c r="W6" s="255"/>
      <c r="X6" s="255"/>
      <c r="Y6" s="255"/>
      <c r="Z6" s="255"/>
      <c r="AA6" s="254" t="s">
        <v>1370</v>
      </c>
      <c r="AB6" s="254">
        <v>732000</v>
      </c>
      <c r="AC6" s="247"/>
      <c r="AD6" s="429"/>
      <c r="AE6" s="261"/>
      <c r="AF6" s="416"/>
      <c r="AG6" s="416"/>
      <c r="AH6" s="416"/>
    </row>
    <row r="7" spans="1:37" s="258" customFormat="1" ht="28" customHeight="1">
      <c r="A7" s="254">
        <f t="shared" ref="A7:A18" si="10">A6+1</f>
        <v>2</v>
      </c>
      <c r="B7" s="254">
        <v>1867</v>
      </c>
      <c r="C7" s="254" t="s">
        <v>236</v>
      </c>
      <c r="D7" s="255">
        <v>1520000</v>
      </c>
      <c r="E7" s="255">
        <v>1520000</v>
      </c>
      <c r="F7" s="255">
        <f t="shared" si="0"/>
        <v>0</v>
      </c>
      <c r="G7" s="255">
        <f>200000+200000-200000</f>
        <v>200000</v>
      </c>
      <c r="H7" s="255">
        <v>198579</v>
      </c>
      <c r="I7" s="255"/>
      <c r="J7" s="255"/>
      <c r="K7" s="255">
        <f t="shared" si="1"/>
        <v>0</v>
      </c>
      <c r="L7" s="255">
        <f t="shared" si="2"/>
        <v>198579</v>
      </c>
      <c r="M7" s="255">
        <f t="shared" si="3"/>
        <v>201421</v>
      </c>
      <c r="N7" s="255">
        <f>50000-50000</f>
        <v>0</v>
      </c>
      <c r="O7" s="255">
        <f t="shared" si="4"/>
        <v>1120000</v>
      </c>
      <c r="P7" s="255">
        <f t="shared" si="5"/>
        <v>1421</v>
      </c>
      <c r="Q7" s="255">
        <v>200000</v>
      </c>
      <c r="R7" s="255"/>
      <c r="S7" s="255">
        <f t="shared" si="6"/>
        <v>200000</v>
      </c>
      <c r="T7" s="255">
        <f t="shared" si="7"/>
        <v>0</v>
      </c>
      <c r="U7" s="255">
        <f t="shared" si="8"/>
        <v>0</v>
      </c>
      <c r="V7" s="255">
        <f t="shared" si="9"/>
        <v>0</v>
      </c>
      <c r="W7" s="255"/>
      <c r="X7" s="255"/>
      <c r="Y7" s="255"/>
      <c r="Z7" s="255"/>
      <c r="AA7" s="254" t="s">
        <v>1370</v>
      </c>
      <c r="AB7" s="254">
        <v>732000</v>
      </c>
      <c r="AC7" s="247"/>
      <c r="AD7" s="429"/>
      <c r="AE7" s="261"/>
      <c r="AF7" s="416"/>
      <c r="AG7" s="416"/>
      <c r="AH7" s="416"/>
    </row>
    <row r="8" spans="1:37" s="258" customFormat="1" ht="28" customHeight="1">
      <c r="A8" s="254">
        <f t="shared" si="10"/>
        <v>3</v>
      </c>
      <c r="B8" s="254">
        <v>1869</v>
      </c>
      <c r="C8" s="254" t="s">
        <v>237</v>
      </c>
      <c r="D8" s="255">
        <v>8200000</v>
      </c>
      <c r="E8" s="255">
        <v>8200000</v>
      </c>
      <c r="F8" s="255">
        <f t="shared" si="0"/>
        <v>0</v>
      </c>
      <c r="G8" s="255">
        <v>100000</v>
      </c>
      <c r="H8" s="255">
        <v>69622.02</v>
      </c>
      <c r="I8" s="255"/>
      <c r="J8" s="255"/>
      <c r="K8" s="255">
        <f t="shared" si="1"/>
        <v>0</v>
      </c>
      <c r="L8" s="255">
        <f t="shared" si="2"/>
        <v>69622.02</v>
      </c>
      <c r="M8" s="255">
        <f t="shared" si="3"/>
        <v>30377.979999999996</v>
      </c>
      <c r="N8" s="255">
        <f>400000-400000</f>
        <v>0</v>
      </c>
      <c r="O8" s="255">
        <f t="shared" si="4"/>
        <v>8100000</v>
      </c>
      <c r="P8" s="255">
        <f t="shared" si="5"/>
        <v>30377.979999999996</v>
      </c>
      <c r="Q8" s="255"/>
      <c r="R8" s="255"/>
      <c r="S8" s="255">
        <f t="shared" si="6"/>
        <v>0</v>
      </c>
      <c r="T8" s="255">
        <f t="shared" si="7"/>
        <v>0</v>
      </c>
      <c r="U8" s="255">
        <f t="shared" si="8"/>
        <v>0</v>
      </c>
      <c r="V8" s="255">
        <f t="shared" si="9"/>
        <v>0</v>
      </c>
      <c r="W8" s="255"/>
      <c r="X8" s="255"/>
      <c r="Y8" s="255"/>
      <c r="Z8" s="255"/>
      <c r="AA8" s="254" t="s">
        <v>1371</v>
      </c>
      <c r="AB8" s="254">
        <v>742000</v>
      </c>
      <c r="AC8" s="247"/>
      <c r="AD8" s="429"/>
      <c r="AE8" s="261"/>
      <c r="AF8" s="416"/>
      <c r="AG8" s="416"/>
      <c r="AH8" s="416"/>
    </row>
    <row r="9" spans="1:37" s="258" customFormat="1" ht="28" customHeight="1">
      <c r="A9" s="254">
        <f t="shared" si="10"/>
        <v>4</v>
      </c>
      <c r="B9" s="254">
        <v>1870</v>
      </c>
      <c r="C9" s="254" t="s">
        <v>239</v>
      </c>
      <c r="D9" s="255">
        <v>7230000</v>
      </c>
      <c r="E9" s="255">
        <v>7230000</v>
      </c>
      <c r="F9" s="255">
        <f t="shared" si="0"/>
        <v>0</v>
      </c>
      <c r="G9" s="255">
        <v>6500000</v>
      </c>
      <c r="H9" s="255">
        <v>5149035.42</v>
      </c>
      <c r="I9" s="255"/>
      <c r="J9" s="255"/>
      <c r="K9" s="255">
        <f t="shared" si="1"/>
        <v>0</v>
      </c>
      <c r="L9" s="255">
        <f t="shared" si="2"/>
        <v>5149035.42</v>
      </c>
      <c r="M9" s="255">
        <f t="shared" si="3"/>
        <v>1350964.58</v>
      </c>
      <c r="N9" s="255">
        <v>730000</v>
      </c>
      <c r="O9" s="255">
        <f t="shared" si="4"/>
        <v>0</v>
      </c>
      <c r="P9" s="255">
        <f t="shared" si="5"/>
        <v>1350964.58</v>
      </c>
      <c r="Q9" s="255"/>
      <c r="R9" s="255"/>
      <c r="S9" s="255">
        <f t="shared" si="6"/>
        <v>0</v>
      </c>
      <c r="T9" s="255">
        <f t="shared" si="7"/>
        <v>0</v>
      </c>
      <c r="U9" s="255">
        <f t="shared" si="8"/>
        <v>730000</v>
      </c>
      <c r="V9" s="255">
        <f t="shared" si="9"/>
        <v>730000</v>
      </c>
      <c r="W9" s="255"/>
      <c r="X9" s="255"/>
      <c r="Y9" s="255"/>
      <c r="Z9" s="255"/>
      <c r="AA9" s="254" t="s">
        <v>1372</v>
      </c>
      <c r="AB9" s="254">
        <v>742000</v>
      </c>
      <c r="AC9" s="247"/>
      <c r="AD9" s="429"/>
      <c r="AE9" s="261"/>
      <c r="AF9" s="416"/>
      <c r="AG9" s="416"/>
      <c r="AH9" s="416"/>
    </row>
    <row r="10" spans="1:37" s="258" customFormat="1" ht="28" customHeight="1">
      <c r="A10" s="254">
        <f t="shared" si="10"/>
        <v>5</v>
      </c>
      <c r="B10" s="254">
        <v>1932</v>
      </c>
      <c r="C10" s="254" t="s">
        <v>238</v>
      </c>
      <c r="D10" s="255">
        <v>5000000</v>
      </c>
      <c r="E10" s="255">
        <v>5000000</v>
      </c>
      <c r="F10" s="255">
        <f t="shared" si="0"/>
        <v>0</v>
      </c>
      <c r="G10" s="255">
        <v>200000</v>
      </c>
      <c r="H10" s="255">
        <v>97534.29</v>
      </c>
      <c r="I10" s="255"/>
      <c r="J10" s="255"/>
      <c r="K10" s="255">
        <f t="shared" si="1"/>
        <v>0</v>
      </c>
      <c r="L10" s="255">
        <f t="shared" si="2"/>
        <v>97534.29</v>
      </c>
      <c r="M10" s="255">
        <f t="shared" si="3"/>
        <v>102465.71</v>
      </c>
      <c r="N10" s="255">
        <v>4800000</v>
      </c>
      <c r="O10" s="255">
        <f t="shared" si="4"/>
        <v>0</v>
      </c>
      <c r="P10" s="255">
        <f t="shared" si="5"/>
        <v>102465.71</v>
      </c>
      <c r="Q10" s="255"/>
      <c r="R10" s="255"/>
      <c r="S10" s="255">
        <f t="shared" si="6"/>
        <v>0</v>
      </c>
      <c r="T10" s="255">
        <f t="shared" si="7"/>
        <v>0</v>
      </c>
      <c r="U10" s="255">
        <f t="shared" si="8"/>
        <v>4800000</v>
      </c>
      <c r="V10" s="255">
        <f t="shared" si="9"/>
        <v>0</v>
      </c>
      <c r="W10" s="255"/>
      <c r="X10" s="255"/>
      <c r="Y10" s="255"/>
      <c r="Z10" s="255">
        <v>4800000</v>
      </c>
      <c r="AA10" s="254" t="s">
        <v>1373</v>
      </c>
      <c r="AB10" s="254">
        <v>746000</v>
      </c>
      <c r="AC10" s="247"/>
      <c r="AD10" s="429"/>
      <c r="AE10" s="261"/>
      <c r="AF10" s="416"/>
      <c r="AG10" s="416"/>
      <c r="AH10" s="416"/>
      <c r="AK10" s="261"/>
    </row>
    <row r="11" spans="1:37" s="258" customFormat="1" ht="28" customHeight="1">
      <c r="A11" s="254">
        <f t="shared" si="10"/>
        <v>6</v>
      </c>
      <c r="B11" s="254">
        <v>1934</v>
      </c>
      <c r="C11" s="280" t="s">
        <v>283</v>
      </c>
      <c r="D11" s="282">
        <v>3300000</v>
      </c>
      <c r="E11" s="282">
        <v>3300000</v>
      </c>
      <c r="F11" s="255">
        <f t="shared" si="0"/>
        <v>0</v>
      </c>
      <c r="G11" s="255">
        <v>3300000</v>
      </c>
      <c r="H11" s="255">
        <v>3086593.6</v>
      </c>
      <c r="I11" s="255"/>
      <c r="J11" s="255"/>
      <c r="K11" s="255">
        <f t="shared" si="1"/>
        <v>0</v>
      </c>
      <c r="L11" s="255">
        <f t="shared" si="2"/>
        <v>3086593.6</v>
      </c>
      <c r="M11" s="255">
        <f t="shared" si="3"/>
        <v>213406.39999999991</v>
      </c>
      <c r="N11" s="255"/>
      <c r="O11" s="255">
        <f t="shared" si="4"/>
        <v>0</v>
      </c>
      <c r="P11" s="255">
        <f t="shared" si="5"/>
        <v>213406.39999999991</v>
      </c>
      <c r="Q11" s="255"/>
      <c r="R11" s="255"/>
      <c r="S11" s="255">
        <f t="shared" si="6"/>
        <v>0</v>
      </c>
      <c r="T11" s="255">
        <f t="shared" si="7"/>
        <v>0</v>
      </c>
      <c r="U11" s="255">
        <f t="shared" si="8"/>
        <v>0</v>
      </c>
      <c r="V11" s="255">
        <f t="shared" si="9"/>
        <v>0</v>
      </c>
      <c r="W11" s="255"/>
      <c r="X11" s="255"/>
      <c r="Y11" s="255"/>
      <c r="Z11" s="255"/>
      <c r="AA11" s="254" t="s">
        <v>1374</v>
      </c>
      <c r="AB11" s="254">
        <v>742000</v>
      </c>
      <c r="AC11" s="247"/>
      <c r="AD11" s="429"/>
      <c r="AE11" s="261"/>
      <c r="AF11" s="416"/>
      <c r="AG11" s="416"/>
      <c r="AH11" s="416"/>
      <c r="AK11" s="261"/>
    </row>
    <row r="12" spans="1:37" s="258" customFormat="1" ht="28" customHeight="1">
      <c r="A12" s="254">
        <f t="shared" si="10"/>
        <v>7</v>
      </c>
      <c r="B12" s="281">
        <v>1979</v>
      </c>
      <c r="C12" s="280" t="s">
        <v>284</v>
      </c>
      <c r="D12" s="282">
        <v>195000</v>
      </c>
      <c r="E12" s="282">
        <v>195000</v>
      </c>
      <c r="F12" s="255">
        <f t="shared" si="0"/>
        <v>0</v>
      </c>
      <c r="G12" s="255">
        <v>50000</v>
      </c>
      <c r="H12" s="255">
        <v>0</v>
      </c>
      <c r="I12" s="255"/>
      <c r="J12" s="255"/>
      <c r="K12" s="255">
        <f t="shared" si="1"/>
        <v>0</v>
      </c>
      <c r="L12" s="255">
        <f t="shared" si="2"/>
        <v>0</v>
      </c>
      <c r="M12" s="255">
        <f t="shared" si="3"/>
        <v>50000</v>
      </c>
      <c r="N12" s="255">
        <v>145000</v>
      </c>
      <c r="O12" s="255">
        <f t="shared" si="4"/>
        <v>0</v>
      </c>
      <c r="P12" s="255">
        <f t="shared" si="5"/>
        <v>50000</v>
      </c>
      <c r="Q12" s="255"/>
      <c r="R12" s="255"/>
      <c r="S12" s="255">
        <f t="shared" si="6"/>
        <v>0</v>
      </c>
      <c r="T12" s="255">
        <f t="shared" si="7"/>
        <v>0</v>
      </c>
      <c r="U12" s="255">
        <f t="shared" si="8"/>
        <v>145000</v>
      </c>
      <c r="V12" s="255">
        <f t="shared" si="9"/>
        <v>145000</v>
      </c>
      <c r="W12" s="255"/>
      <c r="X12" s="255"/>
      <c r="Y12" s="255"/>
      <c r="Z12" s="255"/>
      <c r="AA12" s="254" t="s">
        <v>1370</v>
      </c>
      <c r="AB12" s="254">
        <v>732000</v>
      </c>
      <c r="AC12" s="247"/>
      <c r="AD12" s="429"/>
      <c r="AE12" s="261"/>
      <c r="AF12" s="416"/>
      <c r="AG12" s="416"/>
      <c r="AH12" s="416"/>
      <c r="AK12" s="261"/>
    </row>
    <row r="13" spans="1:37" s="258" customFormat="1" ht="28" customHeight="1">
      <c r="A13" s="254">
        <f t="shared" si="10"/>
        <v>8</v>
      </c>
      <c r="B13" s="281">
        <v>1980</v>
      </c>
      <c r="C13" s="280" t="s">
        <v>341</v>
      </c>
      <c r="D13" s="282">
        <v>1150000</v>
      </c>
      <c r="E13" s="282">
        <v>1150000</v>
      </c>
      <c r="F13" s="255">
        <f t="shared" si="0"/>
        <v>0</v>
      </c>
      <c r="G13" s="255">
        <v>450000</v>
      </c>
      <c r="H13" s="255">
        <v>374638.52</v>
      </c>
      <c r="I13" s="255"/>
      <c r="J13" s="255"/>
      <c r="K13" s="255">
        <f t="shared" si="1"/>
        <v>0</v>
      </c>
      <c r="L13" s="255">
        <f t="shared" si="2"/>
        <v>374638.52</v>
      </c>
      <c r="M13" s="255">
        <f t="shared" si="3"/>
        <v>75361.479999999981</v>
      </c>
      <c r="N13" s="255">
        <f>400000-400000</f>
        <v>0</v>
      </c>
      <c r="O13" s="255">
        <f t="shared" si="4"/>
        <v>700000</v>
      </c>
      <c r="P13" s="255">
        <f t="shared" si="5"/>
        <v>75361.479999999981</v>
      </c>
      <c r="Q13" s="255"/>
      <c r="R13" s="255"/>
      <c r="S13" s="255">
        <f t="shared" si="6"/>
        <v>0</v>
      </c>
      <c r="T13" s="255">
        <f t="shared" si="7"/>
        <v>0</v>
      </c>
      <c r="U13" s="255">
        <f t="shared" si="8"/>
        <v>0</v>
      </c>
      <c r="V13" s="255">
        <f t="shared" si="9"/>
        <v>0</v>
      </c>
      <c r="W13" s="255"/>
      <c r="X13" s="255"/>
      <c r="Y13" s="255"/>
      <c r="Z13" s="255"/>
      <c r="AA13" s="254" t="s">
        <v>1375</v>
      </c>
      <c r="AB13" s="254">
        <v>732000</v>
      </c>
      <c r="AC13" s="247"/>
      <c r="AD13" s="429"/>
      <c r="AE13" s="261"/>
      <c r="AF13" s="416"/>
      <c r="AG13" s="416"/>
      <c r="AH13" s="416"/>
      <c r="AK13" s="261"/>
    </row>
    <row r="14" spans="1:37" s="258" customFormat="1" ht="28" customHeight="1">
      <c r="A14" s="254">
        <f t="shared" si="10"/>
        <v>9</v>
      </c>
      <c r="B14" s="281">
        <v>1981</v>
      </c>
      <c r="C14" s="280" t="s">
        <v>285</v>
      </c>
      <c r="D14" s="282">
        <v>1100000</v>
      </c>
      <c r="E14" s="282">
        <v>1100000</v>
      </c>
      <c r="F14" s="255">
        <f t="shared" si="0"/>
        <v>0</v>
      </c>
      <c r="G14" s="255">
        <v>600000</v>
      </c>
      <c r="H14" s="255">
        <v>549187.35</v>
      </c>
      <c r="I14" s="255"/>
      <c r="J14" s="255"/>
      <c r="K14" s="255">
        <f t="shared" si="1"/>
        <v>0</v>
      </c>
      <c r="L14" s="255">
        <f t="shared" si="2"/>
        <v>549187.35</v>
      </c>
      <c r="M14" s="255">
        <f t="shared" si="3"/>
        <v>50812.650000000023</v>
      </c>
      <c r="N14" s="255">
        <v>400000</v>
      </c>
      <c r="O14" s="255">
        <f t="shared" si="4"/>
        <v>100000</v>
      </c>
      <c r="P14" s="255">
        <f t="shared" si="5"/>
        <v>50812.650000000023</v>
      </c>
      <c r="Q14" s="255"/>
      <c r="R14" s="255"/>
      <c r="S14" s="255">
        <f t="shared" si="6"/>
        <v>0</v>
      </c>
      <c r="T14" s="255">
        <f t="shared" si="7"/>
        <v>0</v>
      </c>
      <c r="U14" s="255">
        <f t="shared" si="8"/>
        <v>400000</v>
      </c>
      <c r="V14" s="255">
        <f t="shared" si="9"/>
        <v>400000</v>
      </c>
      <c r="W14" s="255"/>
      <c r="X14" s="255"/>
      <c r="Y14" s="255"/>
      <c r="Z14" s="255"/>
      <c r="AA14" s="254" t="s">
        <v>1370</v>
      </c>
      <c r="AB14" s="254">
        <v>732000</v>
      </c>
      <c r="AC14" s="247"/>
      <c r="AD14" s="429"/>
      <c r="AE14" s="261"/>
      <c r="AF14" s="416"/>
      <c r="AG14" s="416"/>
      <c r="AH14" s="416"/>
      <c r="AK14" s="261"/>
    </row>
    <row r="15" spans="1:37" s="258" customFormat="1" ht="28" customHeight="1">
      <c r="A15" s="254">
        <f t="shared" si="10"/>
        <v>10</v>
      </c>
      <c r="B15" s="281">
        <v>2052</v>
      </c>
      <c r="C15" s="280" t="s">
        <v>988</v>
      </c>
      <c r="D15" s="282">
        <v>355000</v>
      </c>
      <c r="E15" s="282">
        <v>355000</v>
      </c>
      <c r="F15" s="255">
        <f t="shared" si="0"/>
        <v>0</v>
      </c>
      <c r="G15" s="255">
        <v>0</v>
      </c>
      <c r="H15" s="255">
        <v>0</v>
      </c>
      <c r="I15" s="255"/>
      <c r="J15" s="255"/>
      <c r="K15" s="255">
        <f t="shared" si="1"/>
        <v>0</v>
      </c>
      <c r="L15" s="255">
        <f t="shared" si="2"/>
        <v>0</v>
      </c>
      <c r="M15" s="255">
        <f t="shared" si="3"/>
        <v>0</v>
      </c>
      <c r="N15" s="255">
        <v>355000</v>
      </c>
      <c r="O15" s="255">
        <f t="shared" si="4"/>
        <v>0</v>
      </c>
      <c r="P15" s="255">
        <f t="shared" si="5"/>
        <v>0</v>
      </c>
      <c r="Q15" s="255"/>
      <c r="R15" s="255"/>
      <c r="S15" s="255">
        <f t="shared" si="6"/>
        <v>0</v>
      </c>
      <c r="T15" s="255">
        <f t="shared" si="7"/>
        <v>0</v>
      </c>
      <c r="U15" s="255">
        <f t="shared" si="8"/>
        <v>355000</v>
      </c>
      <c r="V15" s="255">
        <f t="shared" si="9"/>
        <v>355000</v>
      </c>
      <c r="W15" s="255"/>
      <c r="X15" s="255"/>
      <c r="Y15" s="255"/>
      <c r="Z15" s="255"/>
      <c r="AA15" s="254" t="s">
        <v>1370</v>
      </c>
      <c r="AB15" s="254">
        <v>732000</v>
      </c>
      <c r="AC15" s="247"/>
      <c r="AD15" s="429"/>
      <c r="AE15" s="261"/>
      <c r="AF15" s="416"/>
      <c r="AG15" s="416"/>
      <c r="AH15" s="416"/>
      <c r="AK15" s="261"/>
    </row>
    <row r="16" spans="1:37" s="258" customFormat="1" ht="28" customHeight="1">
      <c r="A16" s="254">
        <f t="shared" si="10"/>
        <v>11</v>
      </c>
      <c r="B16" s="281">
        <v>2053</v>
      </c>
      <c r="C16" s="280" t="s">
        <v>989</v>
      </c>
      <c r="D16" s="282">
        <v>1000000</v>
      </c>
      <c r="E16" s="282">
        <v>1000000</v>
      </c>
      <c r="F16" s="255">
        <f t="shared" si="0"/>
        <v>0</v>
      </c>
      <c r="G16" s="255">
        <v>0</v>
      </c>
      <c r="H16" s="255">
        <v>0</v>
      </c>
      <c r="I16" s="255"/>
      <c r="J16" s="255"/>
      <c r="K16" s="255">
        <f t="shared" si="1"/>
        <v>0</v>
      </c>
      <c r="L16" s="255">
        <f t="shared" si="2"/>
        <v>0</v>
      </c>
      <c r="M16" s="255">
        <f t="shared" si="3"/>
        <v>0</v>
      </c>
      <c r="N16" s="255">
        <f>500000-500000</f>
        <v>0</v>
      </c>
      <c r="O16" s="255">
        <f t="shared" si="4"/>
        <v>1000000</v>
      </c>
      <c r="P16" s="255">
        <f t="shared" si="5"/>
        <v>0</v>
      </c>
      <c r="Q16" s="255"/>
      <c r="R16" s="255"/>
      <c r="S16" s="255">
        <f t="shared" si="6"/>
        <v>0</v>
      </c>
      <c r="T16" s="255">
        <f t="shared" si="7"/>
        <v>0</v>
      </c>
      <c r="U16" s="255">
        <f t="shared" si="8"/>
        <v>0</v>
      </c>
      <c r="V16" s="255">
        <f t="shared" si="9"/>
        <v>0</v>
      </c>
      <c r="W16" s="255"/>
      <c r="X16" s="255"/>
      <c r="Y16" s="255"/>
      <c r="Z16" s="255"/>
      <c r="AA16" s="254"/>
      <c r="AB16" s="254">
        <v>749000</v>
      </c>
      <c r="AC16" s="247"/>
      <c r="AD16" s="429"/>
      <c r="AE16" s="261"/>
      <c r="AF16" s="416"/>
      <c r="AG16" s="416"/>
      <c r="AH16" s="416"/>
      <c r="AK16" s="261"/>
    </row>
    <row r="17" spans="1:37" s="258" customFormat="1" ht="28" customHeight="1">
      <c r="A17" s="254">
        <f t="shared" si="10"/>
        <v>12</v>
      </c>
      <c r="B17" s="281">
        <v>2054</v>
      </c>
      <c r="C17" s="280" t="s">
        <v>990</v>
      </c>
      <c r="D17" s="282">
        <v>650000</v>
      </c>
      <c r="E17" s="282">
        <v>650000</v>
      </c>
      <c r="F17" s="255">
        <f t="shared" si="0"/>
        <v>0</v>
      </c>
      <c r="G17" s="255">
        <v>0</v>
      </c>
      <c r="H17" s="255">
        <v>0</v>
      </c>
      <c r="I17" s="255"/>
      <c r="J17" s="255"/>
      <c r="K17" s="255">
        <f t="shared" si="1"/>
        <v>0</v>
      </c>
      <c r="L17" s="255">
        <f t="shared" si="2"/>
        <v>0</v>
      </c>
      <c r="M17" s="255">
        <f t="shared" si="3"/>
        <v>0</v>
      </c>
      <c r="N17" s="255">
        <f>200000-200000</f>
        <v>0</v>
      </c>
      <c r="O17" s="255">
        <f t="shared" si="4"/>
        <v>650000</v>
      </c>
      <c r="P17" s="255">
        <f t="shared" si="5"/>
        <v>0</v>
      </c>
      <c r="Q17" s="255"/>
      <c r="R17" s="255"/>
      <c r="S17" s="255">
        <f t="shared" si="6"/>
        <v>0</v>
      </c>
      <c r="T17" s="255">
        <f t="shared" si="7"/>
        <v>0</v>
      </c>
      <c r="U17" s="255">
        <f t="shared" si="8"/>
        <v>0</v>
      </c>
      <c r="V17" s="255">
        <f t="shared" si="9"/>
        <v>0</v>
      </c>
      <c r="W17" s="255"/>
      <c r="X17" s="255"/>
      <c r="Y17" s="255"/>
      <c r="Z17" s="255"/>
      <c r="AA17" s="254"/>
      <c r="AB17" s="254">
        <v>749000</v>
      </c>
      <c r="AC17" s="247"/>
      <c r="AD17" s="429"/>
      <c r="AE17" s="261"/>
      <c r="AF17" s="416"/>
      <c r="AG17" s="416"/>
      <c r="AH17" s="416"/>
      <c r="AK17" s="261"/>
    </row>
    <row r="18" spans="1:37" s="258" customFormat="1" ht="28" customHeight="1">
      <c r="A18" s="254">
        <f t="shared" si="10"/>
        <v>13</v>
      </c>
      <c r="B18" s="281">
        <v>2057</v>
      </c>
      <c r="C18" s="280" t="s">
        <v>991</v>
      </c>
      <c r="D18" s="282">
        <v>1500000</v>
      </c>
      <c r="E18" s="282">
        <v>1500000</v>
      </c>
      <c r="F18" s="255">
        <f t="shared" si="0"/>
        <v>0</v>
      </c>
      <c r="G18" s="255">
        <v>0</v>
      </c>
      <c r="H18" s="255">
        <v>0</v>
      </c>
      <c r="I18" s="255"/>
      <c r="J18" s="255"/>
      <c r="K18" s="255">
        <f t="shared" si="1"/>
        <v>0</v>
      </c>
      <c r="L18" s="255">
        <f t="shared" si="2"/>
        <v>0</v>
      </c>
      <c r="M18" s="255">
        <f t="shared" si="3"/>
        <v>0</v>
      </c>
      <c r="N18" s="255">
        <v>1500000</v>
      </c>
      <c r="O18" s="255">
        <f t="shared" si="4"/>
        <v>0</v>
      </c>
      <c r="P18" s="255">
        <f t="shared" si="5"/>
        <v>0</v>
      </c>
      <c r="Q18" s="255"/>
      <c r="R18" s="255"/>
      <c r="S18" s="255">
        <f t="shared" si="6"/>
        <v>0</v>
      </c>
      <c r="T18" s="255">
        <f t="shared" si="7"/>
        <v>0</v>
      </c>
      <c r="U18" s="255">
        <f t="shared" si="8"/>
        <v>1500000</v>
      </c>
      <c r="V18" s="255">
        <f t="shared" si="9"/>
        <v>1500000</v>
      </c>
      <c r="W18" s="255"/>
      <c r="X18" s="255"/>
      <c r="Y18" s="255"/>
      <c r="Z18" s="255"/>
      <c r="AA18" s="254" t="s">
        <v>1376</v>
      </c>
      <c r="AB18" s="254">
        <v>747000</v>
      </c>
      <c r="AC18" s="247"/>
      <c r="AD18" s="429"/>
      <c r="AE18" s="261"/>
      <c r="AF18" s="416"/>
      <c r="AG18" s="416"/>
      <c r="AH18" s="416"/>
      <c r="AK18" s="261"/>
    </row>
    <row r="19" spans="1:37" s="259" customFormat="1" ht="28" customHeight="1">
      <c r="A19" s="260">
        <f>A18</f>
        <v>13</v>
      </c>
      <c r="B19" s="557"/>
      <c r="C19" s="260" t="s">
        <v>518</v>
      </c>
      <c r="D19" s="235">
        <f t="shared" ref="D19:Z19" si="11">SUM(D6:D18)</f>
        <v>39693000</v>
      </c>
      <c r="E19" s="235">
        <f t="shared" si="11"/>
        <v>39693000</v>
      </c>
      <c r="F19" s="235">
        <f t="shared" si="11"/>
        <v>0</v>
      </c>
      <c r="G19" s="235">
        <f t="shared" si="11"/>
        <v>12130000</v>
      </c>
      <c r="H19" s="235">
        <f t="shared" si="11"/>
        <v>10252507.559999999</v>
      </c>
      <c r="I19" s="235">
        <f t="shared" si="11"/>
        <v>0</v>
      </c>
      <c r="J19" s="235">
        <f t="shared" si="11"/>
        <v>0</v>
      </c>
      <c r="K19" s="235">
        <f t="shared" si="11"/>
        <v>0</v>
      </c>
      <c r="L19" s="235">
        <f t="shared" si="11"/>
        <v>10252507.559999999</v>
      </c>
      <c r="M19" s="235">
        <f t="shared" si="11"/>
        <v>2077492.44</v>
      </c>
      <c r="N19" s="235">
        <f t="shared" si="11"/>
        <v>7930000</v>
      </c>
      <c r="O19" s="235">
        <f t="shared" si="11"/>
        <v>19433000</v>
      </c>
      <c r="P19" s="235">
        <f t="shared" si="11"/>
        <v>1877492.44</v>
      </c>
      <c r="Q19" s="235">
        <f t="shared" si="11"/>
        <v>200000</v>
      </c>
      <c r="R19" s="235">
        <f t="shared" si="11"/>
        <v>0</v>
      </c>
      <c r="S19" s="235">
        <f t="shared" si="11"/>
        <v>200000</v>
      </c>
      <c r="T19" s="235">
        <f t="shared" si="11"/>
        <v>0</v>
      </c>
      <c r="U19" s="235">
        <f t="shared" si="11"/>
        <v>7930000</v>
      </c>
      <c r="V19" s="235">
        <f t="shared" si="11"/>
        <v>3130000</v>
      </c>
      <c r="W19" s="235">
        <f t="shared" si="11"/>
        <v>0</v>
      </c>
      <c r="X19" s="235">
        <f>SUM(X6:X18)</f>
        <v>0</v>
      </c>
      <c r="Y19" s="235">
        <f t="shared" si="11"/>
        <v>0</v>
      </c>
      <c r="Z19" s="235">
        <f t="shared" si="11"/>
        <v>4800000</v>
      </c>
      <c r="AA19" s="235"/>
      <c r="AB19" s="235"/>
      <c r="AC19" s="247"/>
      <c r="AE19" s="261"/>
      <c r="AF19" s="416"/>
      <c r="AG19" s="416"/>
      <c r="AH19" s="416"/>
      <c r="AK19" s="261"/>
    </row>
    <row r="20" spans="1:37" hidden="1">
      <c r="L20" s="275">
        <f>H19+K19</f>
        <v>10252507.559999999</v>
      </c>
      <c r="M20" s="275">
        <f>P19+S19-T19</f>
        <v>2077492.44</v>
      </c>
      <c r="P20" s="275">
        <f>G19-L19</f>
        <v>1877492.4400000013</v>
      </c>
      <c r="U20" s="276">
        <f>N19-T19</f>
        <v>7930000</v>
      </c>
    </row>
    <row r="21" spans="1:37">
      <c r="M21" s="438"/>
      <c r="P21" s="438"/>
    </row>
    <row r="22" spans="1:37">
      <c r="M22" s="438"/>
      <c r="P22" s="438"/>
    </row>
    <row r="23" spans="1:37">
      <c r="M23" s="438"/>
      <c r="P23" s="438"/>
    </row>
    <row r="24" spans="1:37">
      <c r="M24" s="438"/>
      <c r="P24" s="438"/>
    </row>
    <row r="25" spans="1:37">
      <c r="M25" s="438"/>
      <c r="P25" s="438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27"/>
  <sheetViews>
    <sheetView showZeros="0" rightToLeft="1" zoomScaleNormal="100" workbookViewId="0">
      <pane xSplit="3" ySplit="4" topLeftCell="D11" activePane="bottomRight" state="frozen"/>
      <selection activeCell="C42" sqref="C42"/>
      <selection pane="topRight" activeCell="C42" sqref="C42"/>
      <selection pane="bottomLeft" activeCell="C42" sqref="C42"/>
      <selection pane="bottomRight" activeCell="C42" sqref="C42"/>
    </sheetView>
  </sheetViews>
  <sheetFormatPr defaultColWidth="9.1796875" defaultRowHeight="18"/>
  <cols>
    <col min="1" max="1" width="5.26953125" style="418" customWidth="1"/>
    <col min="2" max="2" width="6.7265625" style="247" customWidth="1"/>
    <col min="3" max="3" width="38.26953125" style="247" customWidth="1"/>
    <col min="4" max="4" width="12.7265625" style="248" customWidth="1"/>
    <col min="5" max="5" width="12.7265625" style="248" hidden="1" customWidth="1"/>
    <col min="6" max="6" width="11.1796875" style="248" hidden="1" customWidth="1"/>
    <col min="7" max="10" width="12.7265625" style="248" hidden="1" customWidth="1"/>
    <col min="11" max="11" width="11.26953125" style="248" hidden="1" customWidth="1"/>
    <col min="12" max="12" width="10.54296875" style="248" customWidth="1"/>
    <col min="13" max="13" width="10.81640625" style="248" customWidth="1"/>
    <col min="14" max="14" width="11.1796875" style="248" bestFit="1" customWidth="1"/>
    <col min="15" max="15" width="10.54296875" style="248" customWidth="1"/>
    <col min="16" max="17" width="11.1796875" style="248" hidden="1" customWidth="1"/>
    <col min="18" max="19" width="12" style="248" hidden="1" customWidth="1"/>
    <col min="20" max="20" width="10.26953125" style="248" hidden="1" customWidth="1"/>
    <col min="21" max="21" width="11.81640625" style="247" bestFit="1" customWidth="1"/>
    <col min="22" max="22" width="9" style="247" customWidth="1"/>
    <col min="23" max="23" width="8" style="247" customWidth="1"/>
    <col min="24" max="24" width="8.26953125" style="247" customWidth="1"/>
    <col min="25" max="25" width="11.81640625" style="247" customWidth="1"/>
    <col min="26" max="26" width="10.54296875" style="247" customWidth="1"/>
    <col min="27" max="27" width="14.26953125" style="247" hidden="1" customWidth="1"/>
    <col min="28" max="28" width="7.81640625" style="247" customWidth="1"/>
    <col min="29" max="29" width="20.81640625" style="247" customWidth="1"/>
    <col min="30" max="31" width="9.1796875" style="437" customWidth="1"/>
    <col min="32" max="32" width="11.26953125" style="416" customWidth="1"/>
    <col min="33" max="33" width="11.7265625" style="416" customWidth="1"/>
    <col min="34" max="34" width="12.7265625" style="416" customWidth="1"/>
    <col min="35" max="16384" width="9.1796875" style="247"/>
  </cols>
  <sheetData>
    <row r="1" spans="1:37" s="416" customFormat="1">
      <c r="A1" s="414"/>
      <c r="B1" s="414"/>
      <c r="C1" s="414"/>
      <c r="D1" s="414"/>
      <c r="E1" s="414"/>
      <c r="F1" s="414"/>
      <c r="G1" s="414"/>
      <c r="H1" s="414"/>
      <c r="I1" s="414"/>
      <c r="J1" s="414"/>
      <c r="K1" s="414"/>
      <c r="L1" s="414"/>
      <c r="M1" s="414"/>
      <c r="N1" s="414"/>
      <c r="O1" s="414"/>
      <c r="P1" s="414"/>
      <c r="Q1" s="414"/>
      <c r="R1" s="414"/>
      <c r="S1" s="414"/>
      <c r="T1" s="414"/>
      <c r="U1" s="414"/>
      <c r="V1" s="414"/>
      <c r="W1" s="414"/>
      <c r="X1" s="494"/>
      <c r="Y1" s="494"/>
      <c r="AC1" s="247"/>
      <c r="AD1" s="556"/>
      <c r="AE1" s="556"/>
    </row>
    <row r="2" spans="1:37">
      <c r="A2" s="414" t="s">
        <v>174</v>
      </c>
      <c r="B2" s="414"/>
      <c r="C2" s="414"/>
      <c r="D2" s="414"/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414"/>
      <c r="R2" s="414"/>
      <c r="S2" s="414"/>
      <c r="T2" s="414"/>
      <c r="U2" s="414"/>
      <c r="V2" s="414"/>
      <c r="W2" s="414"/>
    </row>
    <row r="4" spans="1:37" s="422" customFormat="1" ht="86.25" customHeight="1">
      <c r="A4" s="250" t="s">
        <v>0</v>
      </c>
      <c r="B4" s="250" t="s">
        <v>1</v>
      </c>
      <c r="C4" s="250" t="s">
        <v>2</v>
      </c>
      <c r="D4" s="250" t="s">
        <v>3</v>
      </c>
      <c r="E4" s="250" t="s">
        <v>4</v>
      </c>
      <c r="F4" s="250" t="s">
        <v>5</v>
      </c>
      <c r="G4" s="250" t="s">
        <v>6</v>
      </c>
      <c r="H4" s="250" t="s">
        <v>7</v>
      </c>
      <c r="I4" s="250" t="s">
        <v>9</v>
      </c>
      <c r="J4" s="250" t="s">
        <v>318</v>
      </c>
      <c r="K4" s="250" t="s">
        <v>10</v>
      </c>
      <c r="L4" s="250" t="s">
        <v>11</v>
      </c>
      <c r="M4" s="11" t="s">
        <v>627</v>
      </c>
      <c r="N4" s="250" t="s">
        <v>628</v>
      </c>
      <c r="O4" s="250" t="s">
        <v>629</v>
      </c>
      <c r="P4" s="250" t="s">
        <v>12</v>
      </c>
      <c r="Q4" s="250" t="s">
        <v>739</v>
      </c>
      <c r="R4" s="250" t="s">
        <v>740</v>
      </c>
      <c r="S4" s="250" t="s">
        <v>632</v>
      </c>
      <c r="T4" s="250" t="s">
        <v>633</v>
      </c>
      <c r="U4" s="250" t="s">
        <v>634</v>
      </c>
      <c r="V4" s="250" t="s">
        <v>13</v>
      </c>
      <c r="W4" s="250" t="s">
        <v>14</v>
      </c>
      <c r="X4" s="250" t="s">
        <v>15</v>
      </c>
      <c r="Y4" s="250" t="s">
        <v>523</v>
      </c>
      <c r="Z4" s="250" t="s">
        <v>140</v>
      </c>
      <c r="AA4" s="19" t="s">
        <v>635</v>
      </c>
      <c r="AB4" s="250" t="s">
        <v>16</v>
      </c>
      <c r="AC4" s="247"/>
      <c r="AD4" s="34"/>
      <c r="AE4" s="34"/>
      <c r="AF4" s="416"/>
      <c r="AG4" s="416"/>
      <c r="AH4" s="416"/>
    </row>
    <row r="5" spans="1:37" s="258" customFormat="1">
      <c r="A5" s="254"/>
      <c r="B5" s="254"/>
      <c r="C5" s="254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Y5" s="255"/>
      <c r="Z5" s="254"/>
      <c r="AA5" s="254"/>
      <c r="AB5" s="251"/>
      <c r="AC5" s="247"/>
      <c r="AD5" s="429"/>
      <c r="AE5" s="429"/>
      <c r="AF5" s="416"/>
      <c r="AG5" s="416"/>
      <c r="AH5" s="416"/>
    </row>
    <row r="6" spans="1:37" s="259" customFormat="1">
      <c r="A6" s="254">
        <f t="shared" ref="A6:A11" si="0">A5+1</f>
        <v>1</v>
      </c>
      <c r="B6" s="254">
        <v>1519</v>
      </c>
      <c r="C6" s="254" t="s">
        <v>138</v>
      </c>
      <c r="D6" s="255">
        <f>'תקציב החברה לתירות 2019'!D6</f>
        <v>8493000</v>
      </c>
      <c r="E6" s="255">
        <f>'תקציב החברה לתירות 2019'!E6</f>
        <v>8493000</v>
      </c>
      <c r="F6" s="255">
        <f>'תקציב החברה לתירות 2019'!F6</f>
        <v>0</v>
      </c>
      <c r="G6" s="255">
        <f>'תקציב החברה לתירות 2019'!G6</f>
        <v>730000</v>
      </c>
      <c r="H6" s="255">
        <f>'תקציב החברה לתירות 2019'!H6</f>
        <v>727317.36</v>
      </c>
      <c r="I6" s="255">
        <f>'תקציב החברה לתירות 2019'!I6</f>
        <v>0</v>
      </c>
      <c r="J6" s="255">
        <f>'תקציב החברה לתירות 2019'!J6</f>
        <v>0</v>
      </c>
      <c r="K6" s="255">
        <f>'תקציב החברה לתירות 2019'!K6</f>
        <v>0</v>
      </c>
      <c r="L6" s="255">
        <f>'תקציב החברה לתירות 2019'!L6</f>
        <v>727317.36</v>
      </c>
      <c r="M6" s="255">
        <f>'תקציב החברה לתירות 2019'!M6</f>
        <v>2682.640000000014</v>
      </c>
      <c r="N6" s="255">
        <f>'תקציב החברה לתירות 2019'!N6</f>
        <v>0</v>
      </c>
      <c r="O6" s="255">
        <f>'תקציב החברה לתירות 2019'!O6</f>
        <v>7763000</v>
      </c>
      <c r="P6" s="255">
        <f>'תקציב החברה לתירות 2019'!P6</f>
        <v>2682.640000000014</v>
      </c>
      <c r="Q6" s="255">
        <f>'תקציב החברה לתירות 2019'!Q6</f>
        <v>0</v>
      </c>
      <c r="R6" s="255">
        <f>'תקציב החברה לתירות 2019'!R6</f>
        <v>0</v>
      </c>
      <c r="S6" s="255">
        <f>'תקציב החברה לתירות 2019'!S6</f>
        <v>0</v>
      </c>
      <c r="T6" s="255">
        <f>'תקציב החברה לתירות 2019'!T6</f>
        <v>0</v>
      </c>
      <c r="U6" s="255">
        <f>'תקציב החברה לתירות 2019'!U6</f>
        <v>0</v>
      </c>
      <c r="V6" s="255">
        <f>'תקציב החברה לתירות 2019'!V6</f>
        <v>0</v>
      </c>
      <c r="W6" s="255">
        <f>'תקציב החברה לתירות 2019'!W6</f>
        <v>0</v>
      </c>
      <c r="X6" s="255">
        <f>'תקציב החברה לתירות 2019'!X6</f>
        <v>0</v>
      </c>
      <c r="Y6" s="255">
        <f>'תקציב החברה לתירות 2019'!Y6</f>
        <v>0</v>
      </c>
      <c r="Z6" s="255">
        <f>'תקציב החברה לתירות 2019'!Z6</f>
        <v>0</v>
      </c>
      <c r="AA6" s="255" t="str">
        <f>'תקציב החברה לתירות 2019'!AA6</f>
        <v>הכנת תב"ע .</v>
      </c>
      <c r="AB6" s="254">
        <f>'תקציב החברה לתירות 2019'!AB6</f>
        <v>732000</v>
      </c>
      <c r="AC6" s="247"/>
      <c r="AD6" s="429"/>
      <c r="AE6" s="261"/>
      <c r="AF6" s="416"/>
      <c r="AG6" s="416"/>
      <c r="AH6" s="416"/>
    </row>
    <row r="7" spans="1:37" s="258" customFormat="1">
      <c r="A7" s="254">
        <f t="shared" si="0"/>
        <v>2</v>
      </c>
      <c r="B7" s="254">
        <v>1867</v>
      </c>
      <c r="C7" s="254" t="s">
        <v>236</v>
      </c>
      <c r="D7" s="255">
        <f>'תקציב החברה לתירות 2019'!D7</f>
        <v>1520000</v>
      </c>
      <c r="E7" s="255">
        <f>'תקציב החברה לתירות 2019'!E7</f>
        <v>1520000</v>
      </c>
      <c r="F7" s="255">
        <f>'תקציב החברה לתירות 2019'!F7</f>
        <v>0</v>
      </c>
      <c r="G7" s="255">
        <f>'תקציב החברה לתירות 2019'!G7</f>
        <v>200000</v>
      </c>
      <c r="H7" s="255">
        <f>'תקציב החברה לתירות 2019'!H7</f>
        <v>198579</v>
      </c>
      <c r="I7" s="255">
        <f>'תקציב החברה לתירות 2019'!I7</f>
        <v>0</v>
      </c>
      <c r="J7" s="255">
        <f>'תקציב החברה לתירות 2019'!J7</f>
        <v>0</v>
      </c>
      <c r="K7" s="255">
        <f>'תקציב החברה לתירות 2019'!K7</f>
        <v>0</v>
      </c>
      <c r="L7" s="255">
        <f>'תקציב החברה לתירות 2019'!L7</f>
        <v>198579</v>
      </c>
      <c r="M7" s="255">
        <f>'תקציב החברה לתירות 2019'!M7</f>
        <v>201421</v>
      </c>
      <c r="N7" s="255">
        <f>'תקציב החברה לתירות 2019'!N7</f>
        <v>0</v>
      </c>
      <c r="O7" s="255">
        <f>'תקציב החברה לתירות 2019'!O7</f>
        <v>1120000</v>
      </c>
      <c r="P7" s="255">
        <f>'תקציב החברה לתירות 2019'!P7</f>
        <v>1421</v>
      </c>
      <c r="Q7" s="255">
        <f>'תקציב החברה לתירות 2019'!Q7</f>
        <v>200000</v>
      </c>
      <c r="R7" s="255">
        <f>'תקציב החברה לתירות 2019'!R7</f>
        <v>0</v>
      </c>
      <c r="S7" s="255">
        <f>'תקציב החברה לתירות 2019'!S7</f>
        <v>200000</v>
      </c>
      <c r="T7" s="255">
        <f>'תקציב החברה לתירות 2019'!T7</f>
        <v>0</v>
      </c>
      <c r="U7" s="255">
        <f>'תקציב החברה לתירות 2019'!U7</f>
        <v>0</v>
      </c>
      <c r="V7" s="255">
        <f>'תקציב החברה לתירות 2019'!V7</f>
        <v>0</v>
      </c>
      <c r="W7" s="255">
        <f>'תקציב החברה לתירות 2019'!W7</f>
        <v>0</v>
      </c>
      <c r="X7" s="255">
        <f>'תקציב החברה לתירות 2019'!X7</f>
        <v>0</v>
      </c>
      <c r="Y7" s="255">
        <f>'תקציב החברה לתירות 2019'!Y7</f>
        <v>0</v>
      </c>
      <c r="Z7" s="255">
        <f>'תקציב החברה לתירות 2019'!Z7</f>
        <v>0</v>
      </c>
      <c r="AA7" s="255" t="str">
        <f>'תקציב החברה לתירות 2019'!AA7</f>
        <v>הכנת תב"ע .</v>
      </c>
      <c r="AB7" s="254">
        <f>'תקציב החברה לתירות 2019'!AB7</f>
        <v>732000</v>
      </c>
      <c r="AC7" s="247"/>
      <c r="AD7" s="429"/>
      <c r="AE7" s="261"/>
      <c r="AF7" s="416"/>
      <c r="AG7" s="416"/>
      <c r="AH7" s="416"/>
    </row>
    <row r="8" spans="1:37" s="258" customFormat="1">
      <c r="A8" s="254">
        <f t="shared" si="0"/>
        <v>3</v>
      </c>
      <c r="B8" s="281">
        <v>1979</v>
      </c>
      <c r="C8" s="280" t="s">
        <v>284</v>
      </c>
      <c r="D8" s="255">
        <f>'תקציב החברה לתירות 2019'!D12</f>
        <v>195000</v>
      </c>
      <c r="E8" s="255">
        <f>'תקציב החברה לתירות 2019'!E12</f>
        <v>195000</v>
      </c>
      <c r="F8" s="255">
        <f>'תקציב החברה לתירות 2019'!F12</f>
        <v>0</v>
      </c>
      <c r="G8" s="255">
        <f>'תקציב החברה לתירות 2019'!G12</f>
        <v>50000</v>
      </c>
      <c r="H8" s="255">
        <f>'תקציב החברה לתירות 2019'!H12</f>
        <v>0</v>
      </c>
      <c r="I8" s="255">
        <f>'תקציב החברה לתירות 2019'!I12</f>
        <v>0</v>
      </c>
      <c r="J8" s="255">
        <f>'תקציב החברה לתירות 2019'!J12</f>
        <v>0</v>
      </c>
      <c r="K8" s="255">
        <f>'תקציב החברה לתירות 2019'!K12</f>
        <v>0</v>
      </c>
      <c r="L8" s="255">
        <f>'תקציב החברה לתירות 2019'!L12</f>
        <v>0</v>
      </c>
      <c r="M8" s="255">
        <f>'תקציב החברה לתירות 2019'!M12</f>
        <v>50000</v>
      </c>
      <c r="N8" s="255">
        <f>'תקציב החברה לתירות 2019'!N12</f>
        <v>145000</v>
      </c>
      <c r="O8" s="255">
        <f>'תקציב החברה לתירות 2019'!O12</f>
        <v>0</v>
      </c>
      <c r="P8" s="255">
        <f>'תקציב החברה לתירות 2019'!P12</f>
        <v>50000</v>
      </c>
      <c r="Q8" s="255">
        <f>'תקציב החברה לתירות 2019'!Q12</f>
        <v>0</v>
      </c>
      <c r="R8" s="255">
        <f>'תקציב החברה לתירות 2019'!R12</f>
        <v>0</v>
      </c>
      <c r="S8" s="255">
        <f>'תקציב החברה לתירות 2019'!S12</f>
        <v>0</v>
      </c>
      <c r="T8" s="255">
        <f>'תקציב החברה לתירות 2019'!T12</f>
        <v>0</v>
      </c>
      <c r="U8" s="255">
        <f>'תקציב החברה לתירות 2019'!U12</f>
        <v>145000</v>
      </c>
      <c r="V8" s="255">
        <f>'תקציב החברה לתירות 2019'!V12</f>
        <v>145000</v>
      </c>
      <c r="W8" s="255">
        <f>'תקציב החברה לתירות 2019'!W12</f>
        <v>0</v>
      </c>
      <c r="X8" s="255">
        <f>'תקציב החברה לתירות 2019'!X12</f>
        <v>0</v>
      </c>
      <c r="Y8" s="255">
        <f>'תקציב החברה לתירות 2019'!Y12</f>
        <v>0</v>
      </c>
      <c r="Z8" s="255">
        <f>'תקציב החברה לתירות 2019'!Z12</f>
        <v>0</v>
      </c>
      <c r="AA8" s="255" t="str">
        <f>'תקציב החברה לתירות 2019'!AA12</f>
        <v>הכנת תב"ע .</v>
      </c>
      <c r="AB8" s="254">
        <f>'תקציב החברה לתירות 2019'!AB12</f>
        <v>732000</v>
      </c>
      <c r="AC8" s="247"/>
      <c r="AD8" s="429"/>
      <c r="AE8" s="261"/>
      <c r="AF8" s="416"/>
      <c r="AG8" s="416"/>
      <c r="AH8" s="416"/>
      <c r="AK8" s="261"/>
    </row>
    <row r="9" spans="1:37" s="258" customFormat="1" ht="42">
      <c r="A9" s="254">
        <f t="shared" si="0"/>
        <v>4</v>
      </c>
      <c r="B9" s="281">
        <v>1980</v>
      </c>
      <c r="C9" s="280" t="s">
        <v>341</v>
      </c>
      <c r="D9" s="255">
        <f>'תקציב החברה לתירות 2019'!D13</f>
        <v>1150000</v>
      </c>
      <c r="E9" s="255">
        <f>'תקציב החברה לתירות 2019'!E13</f>
        <v>1150000</v>
      </c>
      <c r="F9" s="255">
        <f>'תקציב החברה לתירות 2019'!F13</f>
        <v>0</v>
      </c>
      <c r="G9" s="255">
        <f>'תקציב החברה לתירות 2019'!G13</f>
        <v>450000</v>
      </c>
      <c r="H9" s="255">
        <f>'תקציב החברה לתירות 2019'!H13</f>
        <v>374638.52</v>
      </c>
      <c r="I9" s="255">
        <f>'תקציב החברה לתירות 2019'!I13</f>
        <v>0</v>
      </c>
      <c r="J9" s="255">
        <f>'תקציב החברה לתירות 2019'!J13</f>
        <v>0</v>
      </c>
      <c r="K9" s="255">
        <f>'תקציב החברה לתירות 2019'!K13</f>
        <v>0</v>
      </c>
      <c r="L9" s="255">
        <f>'תקציב החברה לתירות 2019'!L13</f>
        <v>374638.52</v>
      </c>
      <c r="M9" s="255">
        <f>'תקציב החברה לתירות 2019'!M13</f>
        <v>75361.479999999981</v>
      </c>
      <c r="N9" s="255">
        <f>'תקציב החברה לתירות 2019'!N13</f>
        <v>0</v>
      </c>
      <c r="O9" s="255">
        <f>'תקציב החברה לתירות 2019'!O13</f>
        <v>700000</v>
      </c>
      <c r="P9" s="255">
        <f>'תקציב החברה לתירות 2019'!P13</f>
        <v>75361.479999999981</v>
      </c>
      <c r="Q9" s="255">
        <f>'תקציב החברה לתירות 2019'!Q13</f>
        <v>0</v>
      </c>
      <c r="R9" s="255">
        <f>'תקציב החברה לתירות 2019'!R13</f>
        <v>0</v>
      </c>
      <c r="S9" s="255">
        <f>'תקציב החברה לתירות 2019'!S13</f>
        <v>0</v>
      </c>
      <c r="T9" s="255">
        <f>'תקציב החברה לתירות 2019'!T13</f>
        <v>0</v>
      </c>
      <c r="U9" s="255">
        <f>'תקציב החברה לתירות 2019'!U13</f>
        <v>0</v>
      </c>
      <c r="V9" s="255">
        <f>'תקציב החברה לתירות 2019'!V13</f>
        <v>0</v>
      </c>
      <c r="W9" s="255">
        <f>'תקציב החברה לתירות 2019'!W13</f>
        <v>0</v>
      </c>
      <c r="X9" s="255">
        <f>'תקציב החברה לתירות 2019'!X13</f>
        <v>0</v>
      </c>
      <c r="Y9" s="255">
        <f>'תקציב החברה לתירות 2019'!Y13</f>
        <v>0</v>
      </c>
      <c r="Z9" s="255">
        <f>'תקציב החברה לתירות 2019'!Z13</f>
        <v>0</v>
      </c>
      <c r="AA9" s="255" t="str">
        <f>'תקציב החברה לתירות 2019'!AA13</f>
        <v>תכנון להסדרת ייעודיי קרקע בטיילת החוף.</v>
      </c>
      <c r="AB9" s="254">
        <f>'תקציב החברה לתירות 2019'!AB13</f>
        <v>732000</v>
      </c>
      <c r="AC9" s="247"/>
      <c r="AD9" s="429"/>
      <c r="AE9" s="261"/>
      <c r="AF9" s="416"/>
      <c r="AG9" s="416"/>
      <c r="AH9" s="416"/>
      <c r="AK9" s="261"/>
    </row>
    <row r="10" spans="1:37" s="258" customFormat="1">
      <c r="A10" s="254">
        <f t="shared" si="0"/>
        <v>5</v>
      </c>
      <c r="B10" s="281">
        <v>1981</v>
      </c>
      <c r="C10" s="280" t="s">
        <v>285</v>
      </c>
      <c r="D10" s="255">
        <f>'תקציב החברה לתירות 2019'!D14</f>
        <v>1100000</v>
      </c>
      <c r="E10" s="255">
        <f>'תקציב החברה לתירות 2019'!E14</f>
        <v>1100000</v>
      </c>
      <c r="F10" s="255">
        <f>'תקציב החברה לתירות 2019'!F14</f>
        <v>0</v>
      </c>
      <c r="G10" s="255">
        <f>'תקציב החברה לתירות 2019'!G14</f>
        <v>600000</v>
      </c>
      <c r="H10" s="255">
        <f>'תקציב החברה לתירות 2019'!H14</f>
        <v>549187.35</v>
      </c>
      <c r="I10" s="255">
        <f>'תקציב החברה לתירות 2019'!I14</f>
        <v>0</v>
      </c>
      <c r="J10" s="255">
        <f>'תקציב החברה לתירות 2019'!J14</f>
        <v>0</v>
      </c>
      <c r="K10" s="255">
        <f>'תקציב החברה לתירות 2019'!K14</f>
        <v>0</v>
      </c>
      <c r="L10" s="255">
        <f>'תקציב החברה לתירות 2019'!L14</f>
        <v>549187.35</v>
      </c>
      <c r="M10" s="255">
        <f>'תקציב החברה לתירות 2019'!M14</f>
        <v>50812.650000000023</v>
      </c>
      <c r="N10" s="255">
        <f>'תקציב החברה לתירות 2019'!N14</f>
        <v>400000</v>
      </c>
      <c r="O10" s="255">
        <f>'תקציב החברה לתירות 2019'!O14</f>
        <v>100000</v>
      </c>
      <c r="P10" s="255">
        <f>'תקציב החברה לתירות 2019'!P14</f>
        <v>50812.650000000023</v>
      </c>
      <c r="Q10" s="255">
        <f>'תקציב החברה לתירות 2019'!Q14</f>
        <v>0</v>
      </c>
      <c r="R10" s="255">
        <f>'תקציב החברה לתירות 2019'!R14</f>
        <v>0</v>
      </c>
      <c r="S10" s="255">
        <f>'תקציב החברה לתירות 2019'!S14</f>
        <v>0</v>
      </c>
      <c r="T10" s="255">
        <f>'תקציב החברה לתירות 2019'!T14</f>
        <v>0</v>
      </c>
      <c r="U10" s="255">
        <f>'תקציב החברה לתירות 2019'!U14</f>
        <v>400000</v>
      </c>
      <c r="V10" s="255">
        <f>'תקציב החברה לתירות 2019'!V14</f>
        <v>400000</v>
      </c>
      <c r="W10" s="255">
        <f>'תקציב החברה לתירות 2019'!W14</f>
        <v>0</v>
      </c>
      <c r="X10" s="255">
        <f>'תקציב החברה לתירות 2019'!X14</f>
        <v>0</v>
      </c>
      <c r="Y10" s="255">
        <f>'תקציב החברה לתירות 2019'!Y14</f>
        <v>0</v>
      </c>
      <c r="Z10" s="255">
        <f>'תקציב החברה לתירות 2019'!Z14</f>
        <v>0</v>
      </c>
      <c r="AA10" s="255" t="str">
        <f>'תקציב החברה לתירות 2019'!AA14</f>
        <v>הכנת תב"ע .</v>
      </c>
      <c r="AB10" s="254">
        <f>'תקציב החברה לתירות 2019'!AB14</f>
        <v>732000</v>
      </c>
      <c r="AC10" s="247"/>
      <c r="AD10" s="429"/>
      <c r="AE10" s="261"/>
      <c r="AF10" s="416"/>
      <c r="AG10" s="416"/>
      <c r="AH10" s="416"/>
      <c r="AK10" s="261"/>
    </row>
    <row r="11" spans="1:37" s="258" customFormat="1">
      <c r="A11" s="254">
        <f t="shared" si="0"/>
        <v>6</v>
      </c>
      <c r="B11" s="281">
        <v>2052</v>
      </c>
      <c r="C11" s="280" t="s">
        <v>988</v>
      </c>
      <c r="D11" s="255">
        <f>'תקציב החברה לתירות 2019'!D15</f>
        <v>355000</v>
      </c>
      <c r="E11" s="255">
        <f>'תקציב החברה לתירות 2019'!E15</f>
        <v>355000</v>
      </c>
      <c r="F11" s="255">
        <f>'תקציב החברה לתירות 2019'!F15</f>
        <v>0</v>
      </c>
      <c r="G11" s="255">
        <f>'תקציב החברה לתירות 2019'!G15</f>
        <v>0</v>
      </c>
      <c r="H11" s="255">
        <f>'תקציב החברה לתירות 2019'!H15</f>
        <v>0</v>
      </c>
      <c r="I11" s="255">
        <f>'תקציב החברה לתירות 2019'!I15</f>
        <v>0</v>
      </c>
      <c r="J11" s="255">
        <f>'תקציב החברה לתירות 2019'!J15</f>
        <v>0</v>
      </c>
      <c r="K11" s="255">
        <f>'תקציב החברה לתירות 2019'!K15</f>
        <v>0</v>
      </c>
      <c r="L11" s="255">
        <f>'תקציב החברה לתירות 2019'!L15</f>
        <v>0</v>
      </c>
      <c r="M11" s="255">
        <f>'תקציב החברה לתירות 2019'!M15</f>
        <v>0</v>
      </c>
      <c r="N11" s="255">
        <f>'תקציב החברה לתירות 2019'!N15</f>
        <v>355000</v>
      </c>
      <c r="O11" s="255">
        <f>'תקציב החברה לתירות 2019'!O15</f>
        <v>0</v>
      </c>
      <c r="P11" s="255">
        <f>'תקציב החברה לתירות 2019'!P15</f>
        <v>0</v>
      </c>
      <c r="Q11" s="255">
        <f>'תקציב החברה לתירות 2019'!Q15</f>
        <v>0</v>
      </c>
      <c r="R11" s="255">
        <f>'תקציב החברה לתירות 2019'!R15</f>
        <v>0</v>
      </c>
      <c r="S11" s="255">
        <f>'תקציב החברה לתירות 2019'!S15</f>
        <v>0</v>
      </c>
      <c r="T11" s="255">
        <f>'תקציב החברה לתירות 2019'!T15</f>
        <v>0</v>
      </c>
      <c r="U11" s="255">
        <f>'תקציב החברה לתירות 2019'!U15</f>
        <v>355000</v>
      </c>
      <c r="V11" s="255">
        <f>'תקציב החברה לתירות 2019'!V15</f>
        <v>355000</v>
      </c>
      <c r="W11" s="255">
        <f>'תקציב החברה לתירות 2019'!W15</f>
        <v>0</v>
      </c>
      <c r="X11" s="255">
        <f>'תקציב החברה לתירות 2019'!X15</f>
        <v>0</v>
      </c>
      <c r="Y11" s="255">
        <f>'תקציב החברה לתירות 2019'!Y15</f>
        <v>0</v>
      </c>
      <c r="Z11" s="255">
        <f>'תקציב החברה לתירות 2019'!Z15</f>
        <v>0</v>
      </c>
      <c r="AA11" s="255" t="str">
        <f>'תקציב החברה לתירות 2019'!AA15</f>
        <v>הכנת תב"ע .</v>
      </c>
      <c r="AB11" s="254">
        <f>'תקציב החברה לתירות 2019'!AB15</f>
        <v>732000</v>
      </c>
      <c r="AC11" s="247"/>
      <c r="AD11" s="429"/>
      <c r="AE11" s="261"/>
      <c r="AF11" s="416"/>
      <c r="AG11" s="416"/>
      <c r="AH11" s="416"/>
      <c r="AK11" s="261"/>
    </row>
    <row r="12" spans="1:37" s="621" customFormat="1">
      <c r="A12" s="426"/>
      <c r="B12" s="678"/>
      <c r="C12" s="679" t="s">
        <v>1201</v>
      </c>
      <c r="D12" s="659">
        <f>SUM(D6:D11)</f>
        <v>12813000</v>
      </c>
      <c r="E12" s="659">
        <f t="shared" ref="E12:Z12" si="1">SUM(E6:E11)</f>
        <v>12813000</v>
      </c>
      <c r="F12" s="659">
        <f t="shared" si="1"/>
        <v>0</v>
      </c>
      <c r="G12" s="659">
        <f t="shared" si="1"/>
        <v>2030000</v>
      </c>
      <c r="H12" s="659">
        <f t="shared" si="1"/>
        <v>1849722.23</v>
      </c>
      <c r="I12" s="659">
        <f t="shared" si="1"/>
        <v>0</v>
      </c>
      <c r="J12" s="659">
        <f t="shared" si="1"/>
        <v>0</v>
      </c>
      <c r="K12" s="659">
        <f t="shared" si="1"/>
        <v>0</v>
      </c>
      <c r="L12" s="659">
        <f t="shared" si="1"/>
        <v>1849722.23</v>
      </c>
      <c r="M12" s="659">
        <f t="shared" si="1"/>
        <v>380277.77</v>
      </c>
      <c r="N12" s="659">
        <f t="shared" si="1"/>
        <v>900000</v>
      </c>
      <c r="O12" s="659">
        <f t="shared" si="1"/>
        <v>9683000</v>
      </c>
      <c r="P12" s="659">
        <f t="shared" si="1"/>
        <v>180277.77000000002</v>
      </c>
      <c r="Q12" s="659">
        <f t="shared" si="1"/>
        <v>200000</v>
      </c>
      <c r="R12" s="659">
        <f t="shared" si="1"/>
        <v>0</v>
      </c>
      <c r="S12" s="659">
        <f t="shared" si="1"/>
        <v>200000</v>
      </c>
      <c r="T12" s="659">
        <f t="shared" si="1"/>
        <v>0</v>
      </c>
      <c r="U12" s="659">
        <f t="shared" si="1"/>
        <v>900000</v>
      </c>
      <c r="V12" s="659">
        <f t="shared" si="1"/>
        <v>900000</v>
      </c>
      <c r="W12" s="659">
        <f t="shared" si="1"/>
        <v>0</v>
      </c>
      <c r="X12" s="659">
        <f t="shared" si="1"/>
        <v>0</v>
      </c>
      <c r="Y12" s="659">
        <f t="shared" si="1"/>
        <v>0</v>
      </c>
      <c r="Z12" s="659">
        <f t="shared" si="1"/>
        <v>0</v>
      </c>
      <c r="AA12" s="659"/>
      <c r="AB12" s="426"/>
      <c r="AC12" s="642"/>
      <c r="AD12" s="680"/>
      <c r="AE12" s="663"/>
      <c r="AF12" s="624"/>
      <c r="AG12" s="624"/>
      <c r="AH12" s="624"/>
      <c r="AK12" s="663"/>
    </row>
    <row r="13" spans="1:37" s="258" customFormat="1" ht="42">
      <c r="A13" s="254">
        <f>A11+1</f>
        <v>7</v>
      </c>
      <c r="B13" s="254">
        <v>1869</v>
      </c>
      <c r="C13" s="254" t="s">
        <v>237</v>
      </c>
      <c r="D13" s="255">
        <f>'תקציב החברה לתירות 2019'!D8</f>
        <v>8200000</v>
      </c>
      <c r="E13" s="255">
        <f>'תקציב החברה לתירות 2019'!E8</f>
        <v>8200000</v>
      </c>
      <c r="F13" s="255">
        <f>'תקציב החברה לתירות 2019'!F8</f>
        <v>0</v>
      </c>
      <c r="G13" s="255">
        <f>'תקציב החברה לתירות 2019'!G8</f>
        <v>100000</v>
      </c>
      <c r="H13" s="255">
        <f>'תקציב החברה לתירות 2019'!H8</f>
        <v>69622.02</v>
      </c>
      <c r="I13" s="255">
        <f>'תקציב החברה לתירות 2019'!I8</f>
        <v>0</v>
      </c>
      <c r="J13" s="255">
        <f>'תקציב החברה לתירות 2019'!J8</f>
        <v>0</v>
      </c>
      <c r="K13" s="255">
        <f>'תקציב החברה לתירות 2019'!K8</f>
        <v>0</v>
      </c>
      <c r="L13" s="255">
        <f>'תקציב החברה לתירות 2019'!L8</f>
        <v>69622.02</v>
      </c>
      <c r="M13" s="255">
        <f>'תקציב החברה לתירות 2019'!M8</f>
        <v>30377.979999999996</v>
      </c>
      <c r="N13" s="255">
        <f>'תקציב החברה לתירות 2019'!N8</f>
        <v>0</v>
      </c>
      <c r="O13" s="255">
        <f>'תקציב החברה לתירות 2019'!O8</f>
        <v>8100000</v>
      </c>
      <c r="P13" s="255">
        <f>'תקציב החברה לתירות 2019'!P8</f>
        <v>30377.979999999996</v>
      </c>
      <c r="Q13" s="255">
        <f>'תקציב החברה לתירות 2019'!Q8</f>
        <v>0</v>
      </c>
      <c r="R13" s="255">
        <f>'תקציב החברה לתירות 2019'!R8</f>
        <v>0</v>
      </c>
      <c r="S13" s="255">
        <f>'תקציב החברה לתירות 2019'!S8</f>
        <v>0</v>
      </c>
      <c r="T13" s="255">
        <f>'תקציב החברה לתירות 2019'!T8</f>
        <v>0</v>
      </c>
      <c r="U13" s="255">
        <f>'תקציב החברה לתירות 2019'!U8</f>
        <v>0</v>
      </c>
      <c r="V13" s="255">
        <f>'תקציב החברה לתירות 2019'!V8</f>
        <v>0</v>
      </c>
      <c r="W13" s="255">
        <f>'תקציב החברה לתירות 2019'!W8</f>
        <v>0</v>
      </c>
      <c r="X13" s="255">
        <f>'תקציב החברה לתירות 2019'!X8</f>
        <v>0</v>
      </c>
      <c r="Y13" s="255">
        <f>'תקציב החברה לתירות 2019'!Y8</f>
        <v>0</v>
      </c>
      <c r="Z13" s="255">
        <f>'תקציב החברה לתירות 2019'!Z8</f>
        <v>0</v>
      </c>
      <c r="AA13" s="255" t="str">
        <f>'תקציב החברה לתירות 2019'!AA8</f>
        <v>שיקום ופיתוח המצודה בתל מיכל.</v>
      </c>
      <c r="AB13" s="254">
        <f>'תקציב החברה לתירות 2019'!AB8</f>
        <v>742000</v>
      </c>
      <c r="AC13" s="247"/>
      <c r="AD13" s="429"/>
      <c r="AE13" s="261"/>
      <c r="AF13" s="416"/>
      <c r="AG13" s="416"/>
      <c r="AH13" s="416"/>
    </row>
    <row r="14" spans="1:37" s="258" customFormat="1" ht="28">
      <c r="A14" s="254">
        <f t="shared" ref="A14:A19" si="2">A13+1</f>
        <v>8</v>
      </c>
      <c r="B14" s="254">
        <v>1870</v>
      </c>
      <c r="C14" s="254" t="s">
        <v>239</v>
      </c>
      <c r="D14" s="255">
        <f>'תקציב החברה לתירות 2019'!D9</f>
        <v>7230000</v>
      </c>
      <c r="E14" s="255">
        <f>'תקציב החברה לתירות 2019'!E9</f>
        <v>7230000</v>
      </c>
      <c r="F14" s="255">
        <f>'תקציב החברה לתירות 2019'!F9</f>
        <v>0</v>
      </c>
      <c r="G14" s="255">
        <f>'תקציב החברה לתירות 2019'!G9</f>
        <v>6500000</v>
      </c>
      <c r="H14" s="255">
        <f>'תקציב החברה לתירות 2019'!H9</f>
        <v>5149035.42</v>
      </c>
      <c r="I14" s="255">
        <f>'תקציב החברה לתירות 2019'!I9</f>
        <v>0</v>
      </c>
      <c r="J14" s="255">
        <f>'תקציב החברה לתירות 2019'!J9</f>
        <v>0</v>
      </c>
      <c r="K14" s="255">
        <f>'תקציב החברה לתירות 2019'!K9</f>
        <v>0</v>
      </c>
      <c r="L14" s="255">
        <f>'תקציב החברה לתירות 2019'!L9</f>
        <v>5149035.42</v>
      </c>
      <c r="M14" s="255">
        <f>'תקציב החברה לתירות 2019'!M9</f>
        <v>1350964.58</v>
      </c>
      <c r="N14" s="255">
        <f>'תקציב החברה לתירות 2019'!N9</f>
        <v>730000</v>
      </c>
      <c r="O14" s="255">
        <f>'תקציב החברה לתירות 2019'!O9</f>
        <v>0</v>
      </c>
      <c r="P14" s="255">
        <f>'תקציב החברה לתירות 2019'!P9</f>
        <v>1350964.58</v>
      </c>
      <c r="Q14" s="255">
        <f>'תקציב החברה לתירות 2019'!Q9</f>
        <v>0</v>
      </c>
      <c r="R14" s="255">
        <f>'תקציב החברה לתירות 2019'!R9</f>
        <v>0</v>
      </c>
      <c r="S14" s="255">
        <f>'תקציב החברה לתירות 2019'!S9</f>
        <v>0</v>
      </c>
      <c r="T14" s="255">
        <f>'תקציב החברה לתירות 2019'!T9</f>
        <v>0</v>
      </c>
      <c r="U14" s="255">
        <f>'תקציב החברה לתירות 2019'!U9</f>
        <v>730000</v>
      </c>
      <c r="V14" s="255">
        <f>'תקציב החברה לתירות 2019'!V9</f>
        <v>730000</v>
      </c>
      <c r="W14" s="255">
        <f>'תקציב החברה לתירות 2019'!W9</f>
        <v>0</v>
      </c>
      <c r="X14" s="255">
        <f>'תקציב החברה לתירות 2019'!X9</f>
        <v>0</v>
      </c>
      <c r="Y14" s="255">
        <f>'תקציב החברה לתירות 2019'!Y9</f>
        <v>0</v>
      </c>
      <c r="Z14" s="255">
        <f>'תקציב החברה לתירות 2019'!Z9</f>
        <v>0</v>
      </c>
      <c r="AA14" s="255" t="str">
        <f>'תקציב החברה לתירות 2019'!AA9</f>
        <v>עבודות פיתוח בחוף הדרומי.</v>
      </c>
      <c r="AB14" s="254">
        <f>'תקציב החברה לתירות 2019'!AB9</f>
        <v>742000</v>
      </c>
      <c r="AC14" s="247"/>
      <c r="AD14" s="429"/>
      <c r="AE14" s="261"/>
      <c r="AF14" s="416"/>
      <c r="AG14" s="416"/>
      <c r="AH14" s="416"/>
    </row>
    <row r="15" spans="1:37" s="258" customFormat="1" ht="28">
      <c r="A15" s="254">
        <f t="shared" si="2"/>
        <v>9</v>
      </c>
      <c r="B15" s="281">
        <v>1934</v>
      </c>
      <c r="C15" s="280" t="s">
        <v>283</v>
      </c>
      <c r="D15" s="255">
        <f>'תקציב החברה לתירות 2019'!D11</f>
        <v>3300000</v>
      </c>
      <c r="E15" s="255">
        <f>'תקציב החברה לתירות 2019'!E11</f>
        <v>3300000</v>
      </c>
      <c r="F15" s="255">
        <f>'תקציב החברה לתירות 2019'!F11</f>
        <v>0</v>
      </c>
      <c r="G15" s="255">
        <f>'תקציב החברה לתירות 2019'!G11</f>
        <v>3300000</v>
      </c>
      <c r="H15" s="255">
        <f>'תקציב החברה לתירות 2019'!H11</f>
        <v>3086593.6</v>
      </c>
      <c r="I15" s="255">
        <f>'תקציב החברה לתירות 2019'!I11</f>
        <v>0</v>
      </c>
      <c r="J15" s="255">
        <f>'תקציב החברה לתירות 2019'!J11</f>
        <v>0</v>
      </c>
      <c r="K15" s="255">
        <f>'תקציב החברה לתירות 2019'!K11</f>
        <v>0</v>
      </c>
      <c r="L15" s="255">
        <f>'תקציב החברה לתירות 2019'!L11</f>
        <v>3086593.6</v>
      </c>
      <c r="M15" s="255">
        <f>'תקציב החברה לתירות 2019'!M11</f>
        <v>213406.39999999991</v>
      </c>
      <c r="N15" s="255">
        <f>'תקציב החברה לתירות 2019'!N11</f>
        <v>0</v>
      </c>
      <c r="O15" s="255">
        <f>'תקציב החברה לתירות 2019'!O11</f>
        <v>0</v>
      </c>
      <c r="P15" s="255">
        <f>'תקציב החברה לתירות 2019'!P11</f>
        <v>213406.39999999991</v>
      </c>
      <c r="Q15" s="255">
        <f>'תקציב החברה לתירות 2019'!Q11</f>
        <v>0</v>
      </c>
      <c r="R15" s="255">
        <f>'תקציב החברה לתירות 2019'!R11</f>
        <v>0</v>
      </c>
      <c r="S15" s="255">
        <f>'תקציב החברה לתירות 2019'!S11</f>
        <v>0</v>
      </c>
      <c r="T15" s="255">
        <f>'תקציב החברה לתירות 2019'!T11</f>
        <v>0</v>
      </c>
      <c r="U15" s="255">
        <f>'תקציב החברה לתירות 2019'!U11</f>
        <v>0</v>
      </c>
      <c r="V15" s="255">
        <f>'תקציב החברה לתירות 2019'!V11</f>
        <v>0</v>
      </c>
      <c r="W15" s="255">
        <f>'תקציב החברה לתירות 2019'!W11</f>
        <v>0</v>
      </c>
      <c r="X15" s="255">
        <f>'תקציב החברה לתירות 2019'!X11</f>
        <v>0</v>
      </c>
      <c r="Y15" s="255">
        <f>'תקציב החברה לתירות 2019'!Y11</f>
        <v>0</v>
      </c>
      <c r="Z15" s="255">
        <f>'תקציב החברה לתירות 2019'!Z11</f>
        <v>0</v>
      </c>
      <c r="AA15" s="255" t="str">
        <f>'תקציב החברה לתירות 2019'!AA11</f>
        <v>עבודות פיתוח בחוף הכוכבים.</v>
      </c>
      <c r="AB15" s="254">
        <f>'תקציב החברה לתירות 2019'!AB11</f>
        <v>742000</v>
      </c>
      <c r="AC15" s="247"/>
      <c r="AD15" s="429"/>
      <c r="AE15" s="261"/>
      <c r="AF15" s="416"/>
      <c r="AG15" s="416"/>
      <c r="AH15" s="416"/>
      <c r="AK15" s="261"/>
    </row>
    <row r="16" spans="1:37" s="258" customFormat="1">
      <c r="A16" s="254">
        <f t="shared" si="2"/>
        <v>10</v>
      </c>
      <c r="B16" s="254">
        <v>1932</v>
      </c>
      <c r="C16" s="254" t="s">
        <v>238</v>
      </c>
      <c r="D16" s="255">
        <f>'תקציב החברה לתירות 2019'!D10</f>
        <v>5000000</v>
      </c>
      <c r="E16" s="255">
        <f>'תקציב החברה לתירות 2019'!E10</f>
        <v>5000000</v>
      </c>
      <c r="F16" s="255">
        <f>'תקציב החברה לתירות 2019'!F10</f>
        <v>0</v>
      </c>
      <c r="G16" s="255">
        <f>'תקציב החברה לתירות 2019'!G10</f>
        <v>200000</v>
      </c>
      <c r="H16" s="255">
        <f>'תקציב החברה לתירות 2019'!H10</f>
        <v>97534.29</v>
      </c>
      <c r="I16" s="255">
        <f>'תקציב החברה לתירות 2019'!I10</f>
        <v>0</v>
      </c>
      <c r="J16" s="255">
        <f>'תקציב החברה לתירות 2019'!J10</f>
        <v>0</v>
      </c>
      <c r="K16" s="255">
        <f>'תקציב החברה לתירות 2019'!K10</f>
        <v>0</v>
      </c>
      <c r="L16" s="255">
        <f>'תקציב החברה לתירות 2019'!L10</f>
        <v>97534.29</v>
      </c>
      <c r="M16" s="255">
        <f>'תקציב החברה לתירות 2019'!M10</f>
        <v>102465.71</v>
      </c>
      <c r="N16" s="255">
        <f>'תקציב החברה לתירות 2019'!N10</f>
        <v>4800000</v>
      </c>
      <c r="O16" s="255">
        <f>'תקציב החברה לתירות 2019'!O10</f>
        <v>0</v>
      </c>
      <c r="P16" s="255">
        <f>'תקציב החברה לתירות 2019'!P10</f>
        <v>102465.71</v>
      </c>
      <c r="Q16" s="255">
        <f>'תקציב החברה לתירות 2019'!Q10</f>
        <v>0</v>
      </c>
      <c r="R16" s="255">
        <f>'תקציב החברה לתירות 2019'!R10</f>
        <v>0</v>
      </c>
      <c r="S16" s="255">
        <f>'תקציב החברה לתירות 2019'!S10</f>
        <v>0</v>
      </c>
      <c r="T16" s="255">
        <f>'תקציב החברה לתירות 2019'!T10</f>
        <v>0</v>
      </c>
      <c r="U16" s="255">
        <f>'תקציב החברה לתירות 2019'!U10</f>
        <v>4800000</v>
      </c>
      <c r="V16" s="255">
        <f>'תקציב החברה לתירות 2019'!V10</f>
        <v>0</v>
      </c>
      <c r="W16" s="255">
        <f>'תקציב החברה לתירות 2019'!W10</f>
        <v>0</v>
      </c>
      <c r="X16" s="255">
        <f>'תקציב החברה לתירות 2019'!X10</f>
        <v>0</v>
      </c>
      <c r="Y16" s="255">
        <f>'תקציב החברה לתירות 2019'!Y10</f>
        <v>0</v>
      </c>
      <c r="Z16" s="255">
        <f>'תקציב החברה לתירות 2019'!Z10</f>
        <v>4800000</v>
      </c>
      <c r="AA16" s="255" t="str">
        <f>'תקציב החברה לתירות 2019'!AA10</f>
        <v>מימון רמ"י.</v>
      </c>
      <c r="AB16" s="254">
        <f>'תקציב החברה לתירות 2019'!AB10</f>
        <v>746000</v>
      </c>
      <c r="AC16" s="247"/>
      <c r="AD16" s="429"/>
      <c r="AE16" s="261"/>
      <c r="AF16" s="416"/>
      <c r="AG16" s="416"/>
      <c r="AH16" s="416"/>
      <c r="AK16" s="261"/>
    </row>
    <row r="17" spans="1:37" s="258" customFormat="1" ht="42">
      <c r="A17" s="254">
        <f t="shared" si="2"/>
        <v>11</v>
      </c>
      <c r="B17" s="281">
        <v>2057</v>
      </c>
      <c r="C17" s="280" t="s">
        <v>991</v>
      </c>
      <c r="D17" s="255">
        <f>'תקציב החברה לתירות 2019'!D18</f>
        <v>1500000</v>
      </c>
      <c r="E17" s="255">
        <f>'תקציב החברה לתירות 2019'!E18</f>
        <v>1500000</v>
      </c>
      <c r="F17" s="255">
        <f>'תקציב החברה לתירות 2019'!F18</f>
        <v>0</v>
      </c>
      <c r="G17" s="255">
        <f>'תקציב החברה לתירות 2019'!G18</f>
        <v>0</v>
      </c>
      <c r="H17" s="255">
        <f>'תקציב החברה לתירות 2019'!H18</f>
        <v>0</v>
      </c>
      <c r="I17" s="255">
        <f>'תקציב החברה לתירות 2019'!I18</f>
        <v>0</v>
      </c>
      <c r="J17" s="255">
        <f>'תקציב החברה לתירות 2019'!J18</f>
        <v>0</v>
      </c>
      <c r="K17" s="255">
        <f>'תקציב החברה לתירות 2019'!K18</f>
        <v>0</v>
      </c>
      <c r="L17" s="255">
        <f>'תקציב החברה לתירות 2019'!L18</f>
        <v>0</v>
      </c>
      <c r="M17" s="255">
        <f>'תקציב החברה לתירות 2019'!M18</f>
        <v>0</v>
      </c>
      <c r="N17" s="255">
        <f>'תקציב החברה לתירות 2019'!N18</f>
        <v>1500000</v>
      </c>
      <c r="O17" s="255">
        <f>'תקציב החברה לתירות 2019'!O18</f>
        <v>0</v>
      </c>
      <c r="P17" s="255">
        <f>'תקציב החברה לתירות 2019'!P18</f>
        <v>0</v>
      </c>
      <c r="Q17" s="255">
        <f>'תקציב החברה לתירות 2019'!Q18</f>
        <v>0</v>
      </c>
      <c r="R17" s="255">
        <f>'תקציב החברה לתירות 2019'!R18</f>
        <v>0</v>
      </c>
      <c r="S17" s="255">
        <f>'תקציב החברה לתירות 2019'!S18</f>
        <v>0</v>
      </c>
      <c r="T17" s="255">
        <f>'תקציב החברה לתירות 2019'!T18</f>
        <v>0</v>
      </c>
      <c r="U17" s="255">
        <f>'תקציב החברה לתירות 2019'!U18</f>
        <v>1500000</v>
      </c>
      <c r="V17" s="255">
        <f>'תקציב החברה לתירות 2019'!V18</f>
        <v>1500000</v>
      </c>
      <c r="W17" s="255">
        <f>'תקציב החברה לתירות 2019'!W18</f>
        <v>0</v>
      </c>
      <c r="X17" s="255">
        <f>'תקציב החברה לתירות 2019'!X18</f>
        <v>0</v>
      </c>
      <c r="Y17" s="255">
        <f>'תקציב החברה לתירות 2019'!Y18</f>
        <v>0</v>
      </c>
      <c r="Z17" s="255">
        <f>'תקציב החברה לתירות 2019'!Z18</f>
        <v>0</v>
      </c>
      <c r="AA17" s="255" t="str">
        <f>'תקציב החברה לתירות 2019'!AA18</f>
        <v xml:space="preserve">עבודות פיתוח מתחם מבואות השרון. </v>
      </c>
      <c r="AB17" s="254">
        <f>'תקציב החברה לתירות 2019'!AB18</f>
        <v>747000</v>
      </c>
      <c r="AC17" s="247"/>
      <c r="AD17" s="429"/>
      <c r="AE17" s="261"/>
      <c r="AF17" s="416"/>
      <c r="AG17" s="416"/>
      <c r="AH17" s="416"/>
      <c r="AK17" s="261"/>
    </row>
    <row r="18" spans="1:37" s="258" customFormat="1">
      <c r="A18" s="254">
        <f t="shared" si="2"/>
        <v>12</v>
      </c>
      <c r="B18" s="281">
        <v>2053</v>
      </c>
      <c r="C18" s="280" t="s">
        <v>989</v>
      </c>
      <c r="D18" s="255">
        <f>'תקציב החברה לתירות 2019'!D16</f>
        <v>1000000</v>
      </c>
      <c r="E18" s="255">
        <f>'תקציב החברה לתירות 2019'!E16</f>
        <v>1000000</v>
      </c>
      <c r="F18" s="255">
        <f>'תקציב החברה לתירות 2019'!F16</f>
        <v>0</v>
      </c>
      <c r="G18" s="255">
        <f>'תקציב החברה לתירות 2019'!G16</f>
        <v>0</v>
      </c>
      <c r="H18" s="255">
        <f>'תקציב החברה לתירות 2019'!H16</f>
        <v>0</v>
      </c>
      <c r="I18" s="255">
        <f>'תקציב החברה לתירות 2019'!I16</f>
        <v>0</v>
      </c>
      <c r="J18" s="255">
        <f>'תקציב החברה לתירות 2019'!J16</f>
        <v>0</v>
      </c>
      <c r="K18" s="255">
        <f>'תקציב החברה לתירות 2019'!K16</f>
        <v>0</v>
      </c>
      <c r="L18" s="255">
        <f>'תקציב החברה לתירות 2019'!L16</f>
        <v>0</v>
      </c>
      <c r="M18" s="255">
        <f>'תקציב החברה לתירות 2019'!M16</f>
        <v>0</v>
      </c>
      <c r="N18" s="255">
        <f>'תקציב החברה לתירות 2019'!N16</f>
        <v>0</v>
      </c>
      <c r="O18" s="255">
        <f>'תקציב החברה לתירות 2019'!O16</f>
        <v>1000000</v>
      </c>
      <c r="P18" s="255">
        <f>'תקציב החברה לתירות 2019'!P16</f>
        <v>0</v>
      </c>
      <c r="Q18" s="255">
        <f>'תקציב החברה לתירות 2019'!Q16</f>
        <v>0</v>
      </c>
      <c r="R18" s="255">
        <f>'תקציב החברה לתירות 2019'!R16</f>
        <v>0</v>
      </c>
      <c r="S18" s="255">
        <f>'תקציב החברה לתירות 2019'!S16</f>
        <v>0</v>
      </c>
      <c r="T18" s="255">
        <f>'תקציב החברה לתירות 2019'!T16</f>
        <v>0</v>
      </c>
      <c r="U18" s="255">
        <f>'תקציב החברה לתירות 2019'!U16</f>
        <v>0</v>
      </c>
      <c r="V18" s="255">
        <f>'תקציב החברה לתירות 2019'!V16</f>
        <v>0</v>
      </c>
      <c r="W18" s="255">
        <f>'תקציב החברה לתירות 2019'!W16</f>
        <v>0</v>
      </c>
      <c r="X18" s="255">
        <f>'תקציב החברה לתירות 2019'!X16</f>
        <v>0</v>
      </c>
      <c r="Y18" s="255">
        <f>'תקציב החברה לתירות 2019'!Y16</f>
        <v>0</v>
      </c>
      <c r="Z18" s="255">
        <f>'תקציב החברה לתירות 2019'!Z16</f>
        <v>0</v>
      </c>
      <c r="AA18" s="255">
        <f>'תקציב החברה לתירות 2019'!AA16</f>
        <v>0</v>
      </c>
      <c r="AB18" s="254">
        <f>'תקציב החברה לתירות 2019'!AB16</f>
        <v>749000</v>
      </c>
      <c r="AC18" s="247"/>
      <c r="AD18" s="429"/>
      <c r="AE18" s="261"/>
      <c r="AF18" s="416"/>
      <c r="AG18" s="416"/>
      <c r="AH18" s="416"/>
      <c r="AK18" s="261"/>
    </row>
    <row r="19" spans="1:37" s="258" customFormat="1">
      <c r="A19" s="254">
        <f t="shared" si="2"/>
        <v>13</v>
      </c>
      <c r="B19" s="281">
        <v>2054</v>
      </c>
      <c r="C19" s="280" t="s">
        <v>990</v>
      </c>
      <c r="D19" s="255">
        <f>'תקציב החברה לתירות 2019'!D17</f>
        <v>650000</v>
      </c>
      <c r="E19" s="255">
        <f>'תקציב החברה לתירות 2019'!E17</f>
        <v>650000</v>
      </c>
      <c r="F19" s="255">
        <f>'תקציב החברה לתירות 2019'!F17</f>
        <v>0</v>
      </c>
      <c r="G19" s="255">
        <f>'תקציב החברה לתירות 2019'!G17</f>
        <v>0</v>
      </c>
      <c r="H19" s="255">
        <f>'תקציב החברה לתירות 2019'!H17</f>
        <v>0</v>
      </c>
      <c r="I19" s="255">
        <f>'תקציב החברה לתירות 2019'!I17</f>
        <v>0</v>
      </c>
      <c r="J19" s="255">
        <f>'תקציב החברה לתירות 2019'!J17</f>
        <v>0</v>
      </c>
      <c r="K19" s="255">
        <f>'תקציב החברה לתירות 2019'!K17</f>
        <v>0</v>
      </c>
      <c r="L19" s="255">
        <f>'תקציב החברה לתירות 2019'!L17</f>
        <v>0</v>
      </c>
      <c r="M19" s="255">
        <f>'תקציב החברה לתירות 2019'!M17</f>
        <v>0</v>
      </c>
      <c r="N19" s="255">
        <f>'תקציב החברה לתירות 2019'!N17</f>
        <v>0</v>
      </c>
      <c r="O19" s="255">
        <f>'תקציב החברה לתירות 2019'!O17</f>
        <v>650000</v>
      </c>
      <c r="P19" s="255">
        <f>'תקציב החברה לתירות 2019'!P17</f>
        <v>0</v>
      </c>
      <c r="Q19" s="255">
        <f>'תקציב החברה לתירות 2019'!Q17</f>
        <v>0</v>
      </c>
      <c r="R19" s="255">
        <f>'תקציב החברה לתירות 2019'!R17</f>
        <v>0</v>
      </c>
      <c r="S19" s="255">
        <f>'תקציב החברה לתירות 2019'!S17</f>
        <v>0</v>
      </c>
      <c r="T19" s="255">
        <f>'תקציב החברה לתירות 2019'!T17</f>
        <v>0</v>
      </c>
      <c r="U19" s="255">
        <f>'תקציב החברה לתירות 2019'!U17</f>
        <v>0</v>
      </c>
      <c r="V19" s="255">
        <f>'תקציב החברה לתירות 2019'!V17</f>
        <v>0</v>
      </c>
      <c r="W19" s="255">
        <f>'תקציב החברה לתירות 2019'!W17</f>
        <v>0</v>
      </c>
      <c r="X19" s="255">
        <f>'תקציב החברה לתירות 2019'!X17</f>
        <v>0</v>
      </c>
      <c r="Y19" s="255">
        <f>'תקציב החברה לתירות 2019'!Y17</f>
        <v>0</v>
      </c>
      <c r="Z19" s="255">
        <f>'תקציב החברה לתירות 2019'!Z17</f>
        <v>0</v>
      </c>
      <c r="AA19" s="255">
        <f>'תקציב החברה לתירות 2019'!AA17</f>
        <v>0</v>
      </c>
      <c r="AB19" s="254">
        <f>'תקציב החברה לתירות 2019'!AB17</f>
        <v>749000</v>
      </c>
      <c r="AC19" s="247"/>
      <c r="AD19" s="429"/>
      <c r="AE19" s="261"/>
      <c r="AF19" s="416"/>
      <c r="AG19" s="416"/>
      <c r="AH19" s="416"/>
      <c r="AK19" s="261"/>
    </row>
    <row r="20" spans="1:37" s="621" customFormat="1">
      <c r="A20" s="426"/>
      <c r="B20" s="678"/>
      <c r="C20" s="679" t="s">
        <v>1202</v>
      </c>
      <c r="D20" s="659">
        <f>SUM(D13:D19)</f>
        <v>26880000</v>
      </c>
      <c r="E20" s="659">
        <f t="shared" ref="E20:Z20" si="3">SUM(E13:E19)</f>
        <v>26880000</v>
      </c>
      <c r="F20" s="659">
        <f t="shared" si="3"/>
        <v>0</v>
      </c>
      <c r="G20" s="659">
        <f t="shared" si="3"/>
        <v>10100000</v>
      </c>
      <c r="H20" s="659">
        <f t="shared" si="3"/>
        <v>8402785.3299999982</v>
      </c>
      <c r="I20" s="659">
        <f t="shared" si="3"/>
        <v>0</v>
      </c>
      <c r="J20" s="659">
        <f t="shared" si="3"/>
        <v>0</v>
      </c>
      <c r="K20" s="659">
        <f t="shared" si="3"/>
        <v>0</v>
      </c>
      <c r="L20" s="659">
        <f t="shared" si="3"/>
        <v>8402785.3299999982</v>
      </c>
      <c r="M20" s="659">
        <f t="shared" si="3"/>
        <v>1697214.67</v>
      </c>
      <c r="N20" s="659">
        <f t="shared" si="3"/>
        <v>7030000</v>
      </c>
      <c r="O20" s="659">
        <f t="shared" si="3"/>
        <v>9750000</v>
      </c>
      <c r="P20" s="659">
        <f t="shared" si="3"/>
        <v>1697214.67</v>
      </c>
      <c r="Q20" s="659">
        <f t="shared" si="3"/>
        <v>0</v>
      </c>
      <c r="R20" s="659">
        <f t="shared" si="3"/>
        <v>0</v>
      </c>
      <c r="S20" s="659">
        <f t="shared" si="3"/>
        <v>0</v>
      </c>
      <c r="T20" s="659">
        <f t="shared" si="3"/>
        <v>0</v>
      </c>
      <c r="U20" s="659">
        <f t="shared" si="3"/>
        <v>7030000</v>
      </c>
      <c r="V20" s="659">
        <f t="shared" si="3"/>
        <v>2230000</v>
      </c>
      <c r="W20" s="659">
        <f t="shared" si="3"/>
        <v>0</v>
      </c>
      <c r="X20" s="659">
        <f t="shared" si="3"/>
        <v>0</v>
      </c>
      <c r="Y20" s="659">
        <f t="shared" si="3"/>
        <v>0</v>
      </c>
      <c r="Z20" s="659">
        <f t="shared" si="3"/>
        <v>4800000</v>
      </c>
      <c r="AA20" s="659"/>
      <c r="AB20" s="426"/>
      <c r="AC20" s="642"/>
      <c r="AD20" s="680"/>
      <c r="AE20" s="663"/>
      <c r="AF20" s="624"/>
      <c r="AG20" s="624"/>
      <c r="AH20" s="624"/>
      <c r="AK20" s="663"/>
    </row>
    <row r="21" spans="1:37" s="259" customFormat="1">
      <c r="A21" s="260">
        <f>A19</f>
        <v>13</v>
      </c>
      <c r="B21" s="557"/>
      <c r="C21" s="260" t="s">
        <v>518</v>
      </c>
      <c r="D21" s="235">
        <f>D20+D12</f>
        <v>39693000</v>
      </c>
      <c r="E21" s="235">
        <f t="shared" ref="E21:Z21" si="4">E20+E12</f>
        <v>39693000</v>
      </c>
      <c r="F21" s="235">
        <f t="shared" si="4"/>
        <v>0</v>
      </c>
      <c r="G21" s="235">
        <f t="shared" si="4"/>
        <v>12130000</v>
      </c>
      <c r="H21" s="235">
        <f t="shared" si="4"/>
        <v>10252507.559999999</v>
      </c>
      <c r="I21" s="235">
        <f t="shared" si="4"/>
        <v>0</v>
      </c>
      <c r="J21" s="235">
        <f t="shared" si="4"/>
        <v>0</v>
      </c>
      <c r="K21" s="235">
        <f t="shared" si="4"/>
        <v>0</v>
      </c>
      <c r="L21" s="235">
        <f t="shared" si="4"/>
        <v>10252507.559999999</v>
      </c>
      <c r="M21" s="235">
        <f t="shared" si="4"/>
        <v>2077492.44</v>
      </c>
      <c r="N21" s="235">
        <f t="shared" si="4"/>
        <v>7930000</v>
      </c>
      <c r="O21" s="235">
        <f t="shared" si="4"/>
        <v>19433000</v>
      </c>
      <c r="P21" s="235">
        <f t="shared" si="4"/>
        <v>1877492.44</v>
      </c>
      <c r="Q21" s="235">
        <f t="shared" si="4"/>
        <v>200000</v>
      </c>
      <c r="R21" s="235">
        <f t="shared" si="4"/>
        <v>0</v>
      </c>
      <c r="S21" s="235">
        <f t="shared" si="4"/>
        <v>200000</v>
      </c>
      <c r="T21" s="235">
        <f t="shared" si="4"/>
        <v>0</v>
      </c>
      <c r="U21" s="235">
        <f t="shared" si="4"/>
        <v>7930000</v>
      </c>
      <c r="V21" s="235">
        <f t="shared" si="4"/>
        <v>3130000</v>
      </c>
      <c r="W21" s="235">
        <f t="shared" si="4"/>
        <v>0</v>
      </c>
      <c r="X21" s="235">
        <f t="shared" si="4"/>
        <v>0</v>
      </c>
      <c r="Y21" s="235">
        <f t="shared" si="4"/>
        <v>0</v>
      </c>
      <c r="Z21" s="235">
        <f t="shared" si="4"/>
        <v>4800000</v>
      </c>
      <c r="AA21" s="235"/>
      <c r="AB21" s="235"/>
      <c r="AC21" s="247"/>
      <c r="AE21" s="261"/>
      <c r="AF21" s="416"/>
      <c r="AG21" s="416"/>
      <c r="AH21" s="416"/>
      <c r="AK21" s="261"/>
    </row>
    <row r="22" spans="1:37">
      <c r="L22" s="275">
        <f>H21+K21</f>
        <v>10252507.559999999</v>
      </c>
      <c r="M22" s="275">
        <f>P21+S21-T21</f>
        <v>2077492.44</v>
      </c>
      <c r="P22" s="275">
        <f>G21-L21</f>
        <v>1877492.4400000013</v>
      </c>
      <c r="U22" s="276">
        <f>N21-T21</f>
        <v>7930000</v>
      </c>
    </row>
    <row r="23" spans="1:37">
      <c r="M23" s="438"/>
      <c r="P23" s="438"/>
    </row>
    <row r="24" spans="1:37">
      <c r="M24" s="438"/>
      <c r="P24" s="438"/>
    </row>
    <row r="25" spans="1:37">
      <c r="M25" s="438"/>
      <c r="P25" s="438"/>
    </row>
    <row r="26" spans="1:37">
      <c r="M26" s="438"/>
      <c r="P26" s="438"/>
    </row>
    <row r="27" spans="1:37">
      <c r="M27" s="438"/>
      <c r="P27" s="438"/>
    </row>
  </sheetData>
  <sheetProtection formatCells="0" formatColumns="0" formatRows="0" insertColumns="0" insertRows="0" insertHyperlinks="0" deleteColumns="0" deleteRows="0" sort="0" autoFilter="0" pivotTables="0"/>
  <sortState ref="A6:AK19">
    <sortCondition ref="AB6:AB19"/>
  </sortState>
  <printOptions horizontalCentered="1"/>
  <pageMargins left="0" right="0" top="0.94488188976377963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3"/>
  <sheetViews>
    <sheetView rightToLeft="1" workbookViewId="0">
      <selection activeCell="T20" sqref="T20"/>
    </sheetView>
  </sheetViews>
  <sheetFormatPr defaultColWidth="9.1796875" defaultRowHeight="14"/>
  <cols>
    <col min="1" max="3" width="4.1796875" style="353" customWidth="1"/>
    <col min="4" max="4" width="34.81640625" style="353" customWidth="1"/>
    <col min="5" max="5" width="30.453125" style="353" customWidth="1"/>
    <col min="6" max="6" width="10.81640625" style="353" customWidth="1"/>
    <col min="7" max="7" width="5.54296875" style="353" customWidth="1"/>
    <col min="8" max="9" width="12.1796875" style="353" customWidth="1"/>
    <col min="10" max="10" width="7.81640625" style="353" customWidth="1"/>
    <col min="11" max="16384" width="9.1796875" style="353"/>
  </cols>
  <sheetData>
    <row r="3" spans="1:17" ht="20.5">
      <c r="A3" s="352"/>
      <c r="C3" s="354" t="s">
        <v>574</v>
      </c>
      <c r="D3" s="352"/>
      <c r="E3" s="352"/>
      <c r="F3" s="352"/>
      <c r="G3" s="352"/>
      <c r="H3" s="352"/>
      <c r="I3" s="352"/>
      <c r="J3" s="352"/>
      <c r="K3" s="352"/>
      <c r="L3" s="352"/>
    </row>
    <row r="4" spans="1:17" ht="20.5">
      <c r="A4" s="352"/>
      <c r="C4" s="354"/>
      <c r="D4" s="352"/>
      <c r="E4" s="352"/>
      <c r="F4" s="352"/>
      <c r="G4" s="352"/>
      <c r="H4" s="352"/>
      <c r="I4" s="352"/>
      <c r="J4" s="352"/>
      <c r="K4" s="352"/>
      <c r="L4" s="352"/>
    </row>
    <row r="5" spans="1:17" ht="20.5">
      <c r="A5" s="352"/>
      <c r="C5" s="354"/>
      <c r="D5" s="352"/>
      <c r="E5" s="352"/>
      <c r="F5" s="352"/>
      <c r="G5" s="352"/>
      <c r="H5" s="352"/>
      <c r="I5" s="352"/>
      <c r="J5" s="352"/>
      <c r="K5" s="352"/>
      <c r="L5" s="352"/>
    </row>
    <row r="6" spans="1:17" ht="21" thickBot="1">
      <c r="A6" s="352"/>
      <c r="C6" s="354"/>
      <c r="D6" s="352"/>
      <c r="E6" s="352"/>
      <c r="F6" s="352"/>
      <c r="G6" s="352"/>
      <c r="H6" s="352"/>
      <c r="I6" s="352"/>
      <c r="J6" s="352"/>
      <c r="K6" s="352"/>
      <c r="L6" s="352"/>
    </row>
    <row r="7" spans="1:17" ht="16" thickBot="1">
      <c r="A7" s="352"/>
      <c r="B7" s="355" t="s">
        <v>344</v>
      </c>
      <c r="C7" s="352" t="s">
        <v>1205</v>
      </c>
      <c r="D7" s="352"/>
      <c r="E7" s="352"/>
      <c r="F7" s="356">
        <f>'תקציב אגף תקשוב 2019'!U14</f>
        <v>12925000.060000001</v>
      </c>
      <c r="I7" s="352"/>
      <c r="J7" s="352"/>
      <c r="K7" s="352"/>
      <c r="L7" s="352"/>
    </row>
    <row r="8" spans="1:17" ht="21" thickBot="1">
      <c r="A8" s="352"/>
      <c r="C8" s="354"/>
      <c r="D8" s="352"/>
      <c r="E8" s="352"/>
      <c r="F8" s="352"/>
      <c r="H8" s="352"/>
      <c r="I8" s="352"/>
      <c r="J8" s="352"/>
      <c r="K8" s="352"/>
      <c r="L8" s="352"/>
    </row>
    <row r="9" spans="1:17" ht="16" thickBot="1">
      <c r="B9" s="355" t="s">
        <v>344</v>
      </c>
      <c r="C9" s="352" t="s">
        <v>606</v>
      </c>
      <c r="D9" s="352"/>
      <c r="F9" s="364">
        <f>'תקציב אגף תקשוב 2019'!A14</f>
        <v>8</v>
      </c>
      <c r="I9" s="352"/>
      <c r="J9" s="352"/>
      <c r="K9" s="352"/>
      <c r="L9" s="352"/>
      <c r="M9" s="352"/>
      <c r="N9" s="352"/>
      <c r="O9" s="352"/>
      <c r="P9" s="352"/>
      <c r="Q9" s="352"/>
    </row>
    <row r="10" spans="1:17" ht="15.5">
      <c r="B10" s="355"/>
      <c r="C10" s="352"/>
      <c r="D10" s="352"/>
      <c r="F10" s="358"/>
      <c r="I10" s="352"/>
      <c r="J10" s="352"/>
      <c r="K10" s="352"/>
      <c r="L10" s="352"/>
      <c r="M10" s="352"/>
      <c r="N10" s="352"/>
      <c r="O10" s="352"/>
      <c r="P10" s="352"/>
      <c r="Q10" s="352"/>
    </row>
    <row r="11" spans="1:17" ht="15.5">
      <c r="B11" s="355"/>
      <c r="C11" s="352"/>
      <c r="D11" s="352"/>
      <c r="F11" s="358"/>
      <c r="I11" s="352"/>
      <c r="J11" s="352"/>
      <c r="K11" s="352"/>
      <c r="L11" s="352"/>
      <c r="M11" s="352"/>
      <c r="N11" s="352"/>
      <c r="O11" s="352"/>
      <c r="P11" s="352"/>
      <c r="Q11" s="352"/>
    </row>
    <row r="12" spans="1:17" ht="15.5">
      <c r="B12" s="355" t="s">
        <v>344</v>
      </c>
      <c r="C12" s="352" t="s">
        <v>547</v>
      </c>
      <c r="D12" s="352"/>
      <c r="E12" s="352"/>
      <c r="F12" s="352"/>
      <c r="G12" s="352"/>
      <c r="H12" s="352"/>
      <c r="I12" s="352"/>
      <c r="J12" s="352"/>
      <c r="K12" s="352"/>
      <c r="L12" s="352"/>
    </row>
    <row r="13" spans="1:17" ht="16" thickBot="1">
      <c r="B13" s="352"/>
      <c r="C13" s="352"/>
      <c r="D13" s="352"/>
      <c r="E13" s="352"/>
      <c r="F13" s="352"/>
      <c r="G13" s="352"/>
      <c r="H13" s="352"/>
      <c r="I13" s="352"/>
      <c r="J13" s="352"/>
      <c r="K13" s="352"/>
      <c r="L13" s="352"/>
      <c r="M13" s="352"/>
      <c r="N13" s="352"/>
      <c r="O13" s="352"/>
      <c r="P13" s="352"/>
      <c r="Q13" s="352"/>
    </row>
    <row r="14" spans="1:17" ht="15.5">
      <c r="D14" s="365" t="s">
        <v>548</v>
      </c>
      <c r="E14" s="366" t="s">
        <v>549</v>
      </c>
      <c r="F14" s="367" t="s">
        <v>551</v>
      </c>
      <c r="G14" s="352"/>
      <c r="H14" s="352"/>
      <c r="I14" s="352"/>
      <c r="J14" s="352"/>
      <c r="K14" s="352"/>
      <c r="L14" s="352"/>
      <c r="M14" s="352"/>
      <c r="N14" s="352"/>
      <c r="O14" s="352"/>
      <c r="P14" s="352"/>
      <c r="Q14" s="352"/>
    </row>
    <row r="15" spans="1:17" ht="15.5">
      <c r="C15" s="355"/>
      <c r="D15" s="359" t="s">
        <v>13</v>
      </c>
      <c r="E15" s="368">
        <f>'תקציב אגף תקשוב 2019'!V14</f>
        <v>5450000</v>
      </c>
      <c r="F15" s="376">
        <f>E15/$E$18</f>
        <v>0.42166344098260683</v>
      </c>
      <c r="G15" s="352"/>
      <c r="H15" s="352"/>
      <c r="I15" s="352"/>
      <c r="J15" s="352"/>
      <c r="K15" s="352"/>
      <c r="L15" s="352"/>
      <c r="M15" s="352"/>
      <c r="N15" s="352"/>
      <c r="O15" s="352"/>
      <c r="P15" s="352"/>
      <c r="Q15" s="352"/>
    </row>
    <row r="16" spans="1:17" ht="15.5">
      <c r="C16" s="355"/>
      <c r="D16" s="359" t="s">
        <v>14</v>
      </c>
      <c r="E16" s="368">
        <f>'תקציב אגף תקשוב 2019'!W14</f>
        <v>4475000.0600000005</v>
      </c>
      <c r="F16" s="376">
        <f>E16/$E$18</f>
        <v>0.34622824288017839</v>
      </c>
      <c r="G16" s="352"/>
      <c r="H16" s="352"/>
      <c r="I16" s="352"/>
      <c r="J16" s="352"/>
      <c r="K16" s="352"/>
      <c r="L16" s="352"/>
      <c r="M16" s="352"/>
      <c r="N16" s="352"/>
      <c r="O16" s="352"/>
      <c r="P16" s="352"/>
      <c r="Q16" s="352"/>
    </row>
    <row r="17" spans="1:17" ht="15.5">
      <c r="C17" s="355"/>
      <c r="D17" s="359" t="s">
        <v>140</v>
      </c>
      <c r="E17" s="637">
        <f>'תקציב אגף תקשוב 2019'!Z14</f>
        <v>3000000</v>
      </c>
      <c r="F17" s="376">
        <f>E17/$E$18</f>
        <v>0.23210831613721478</v>
      </c>
      <c r="G17" s="352"/>
      <c r="H17" s="352"/>
      <c r="I17" s="352"/>
      <c r="J17" s="352"/>
      <c r="K17" s="352"/>
      <c r="L17" s="352"/>
      <c r="M17" s="352"/>
      <c r="N17" s="352"/>
      <c r="O17" s="352"/>
      <c r="P17" s="352"/>
      <c r="Q17" s="352"/>
    </row>
    <row r="18" spans="1:17" ht="16" thickBot="1">
      <c r="C18" s="355"/>
      <c r="D18" s="362" t="s">
        <v>160</v>
      </c>
      <c r="E18" s="382">
        <f>SUM(E15:E17)</f>
        <v>12925000.060000001</v>
      </c>
      <c r="F18" s="676">
        <f>SUM(F15:F17)</f>
        <v>1</v>
      </c>
      <c r="G18" s="352"/>
      <c r="H18" s="352"/>
      <c r="I18" s="352"/>
      <c r="J18" s="352"/>
      <c r="K18" s="352"/>
      <c r="L18" s="352"/>
      <c r="M18" s="352"/>
      <c r="N18" s="352"/>
      <c r="O18" s="352"/>
      <c r="P18" s="352"/>
      <c r="Q18" s="352"/>
    </row>
    <row r="19" spans="1:17" ht="15.5">
      <c r="B19" s="355"/>
      <c r="C19" s="352"/>
      <c r="D19" s="352"/>
      <c r="E19" s="352"/>
      <c r="F19" s="352"/>
      <c r="G19" s="352"/>
      <c r="H19" s="352"/>
      <c r="I19" s="352"/>
      <c r="J19" s="352"/>
      <c r="K19" s="352"/>
      <c r="L19" s="352"/>
      <c r="M19" s="352"/>
      <c r="N19" s="352"/>
      <c r="O19" s="352"/>
      <c r="P19" s="352"/>
      <c r="Q19" s="352"/>
    </row>
    <row r="20" spans="1:17" ht="15.5">
      <c r="B20" s="355"/>
      <c r="C20" s="352"/>
      <c r="D20" s="352"/>
      <c r="E20" s="352"/>
      <c r="F20" s="352"/>
      <c r="G20" s="352"/>
      <c r="H20" s="352"/>
      <c r="I20" s="352"/>
      <c r="J20" s="352"/>
      <c r="K20" s="352"/>
      <c r="L20" s="352"/>
      <c r="M20" s="352"/>
      <c r="N20" s="352"/>
      <c r="O20" s="352"/>
      <c r="P20" s="352"/>
      <c r="Q20" s="352"/>
    </row>
    <row r="21" spans="1:17" s="628" customFormat="1" ht="15.5">
      <c r="C21" s="630"/>
      <c r="D21" s="627"/>
      <c r="E21" s="627"/>
      <c r="F21" s="627"/>
      <c r="G21" s="627"/>
      <c r="H21" s="627"/>
      <c r="I21" s="627"/>
      <c r="J21" s="627"/>
      <c r="K21" s="627"/>
      <c r="L21" s="627"/>
      <c r="M21" s="627"/>
      <c r="N21" s="627"/>
      <c r="O21" s="627"/>
      <c r="P21" s="627"/>
      <c r="Q21" s="627"/>
    </row>
    <row r="23" spans="1:17" ht="15.5">
      <c r="A23" s="352"/>
      <c r="B23" s="352"/>
      <c r="C23" s="352"/>
      <c r="D23" s="352"/>
      <c r="E23" s="352"/>
      <c r="F23" s="352"/>
      <c r="G23" s="352"/>
      <c r="H23" s="352"/>
      <c r="I23" s="352"/>
      <c r="J23" s="352"/>
      <c r="K23" s="352"/>
      <c r="L23" s="352"/>
      <c r="M23" s="352"/>
      <c r="N23" s="352"/>
      <c r="O23" s="352"/>
      <c r="P23" s="352"/>
      <c r="Q23" s="352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6"/>
  <sheetViews>
    <sheetView rightToLeft="1" topLeftCell="A13" workbookViewId="0">
      <selection activeCell="T20" sqref="T20"/>
    </sheetView>
  </sheetViews>
  <sheetFormatPr defaultColWidth="9.1796875" defaultRowHeight="14"/>
  <cols>
    <col min="1" max="3" width="4.1796875" style="353" customWidth="1"/>
    <col min="4" max="4" width="34.81640625" style="353" customWidth="1"/>
    <col min="5" max="5" width="30.453125" style="353" customWidth="1"/>
    <col min="6" max="6" width="10.81640625" style="353" customWidth="1"/>
    <col min="7" max="7" width="5.54296875" style="353" customWidth="1"/>
    <col min="8" max="9" width="12.1796875" style="353" customWidth="1"/>
    <col min="10" max="10" width="7.81640625" style="353" customWidth="1"/>
    <col min="11" max="16384" width="9.1796875" style="353"/>
  </cols>
  <sheetData>
    <row r="3" spans="1:17" ht="20.5">
      <c r="A3" s="352"/>
      <c r="C3" s="354" t="s">
        <v>574</v>
      </c>
      <c r="D3" s="352"/>
      <c r="E3" s="352"/>
      <c r="F3" s="352"/>
      <c r="G3" s="352"/>
      <c r="H3" s="352"/>
      <c r="I3" s="352"/>
      <c r="J3" s="352"/>
      <c r="K3" s="352"/>
      <c r="L3" s="352"/>
    </row>
    <row r="4" spans="1:17" ht="20.5">
      <c r="A4" s="352"/>
      <c r="C4" s="354"/>
      <c r="D4" s="352"/>
      <c r="E4" s="352"/>
      <c r="F4" s="352"/>
      <c r="G4" s="352"/>
      <c r="H4" s="352"/>
      <c r="I4" s="352"/>
      <c r="J4" s="352"/>
      <c r="K4" s="352"/>
      <c r="L4" s="352"/>
    </row>
    <row r="5" spans="1:17" ht="15.5">
      <c r="B5" s="355"/>
      <c r="C5" s="352"/>
      <c r="D5" s="352"/>
      <c r="E5" s="352"/>
      <c r="F5" s="352"/>
      <c r="G5" s="352"/>
      <c r="H5" s="352"/>
      <c r="I5" s="352"/>
      <c r="J5" s="352"/>
      <c r="K5" s="352"/>
      <c r="L5" s="352"/>
      <c r="M5" s="352"/>
      <c r="N5" s="352"/>
      <c r="O5" s="352"/>
      <c r="P5" s="352"/>
      <c r="Q5" s="352"/>
    </row>
    <row r="6" spans="1:17" ht="15.5">
      <c r="B6" s="355" t="s">
        <v>344</v>
      </c>
      <c r="C6" s="352" t="s">
        <v>1200</v>
      </c>
      <c r="D6" s="352"/>
      <c r="F6" s="352"/>
      <c r="H6" s="361"/>
      <c r="I6" s="352"/>
      <c r="J6" s="352"/>
      <c r="K6" s="352"/>
      <c r="L6" s="352"/>
      <c r="M6" s="352"/>
      <c r="N6" s="352"/>
      <c r="O6" s="352"/>
      <c r="P6" s="352"/>
      <c r="Q6" s="352"/>
    </row>
    <row r="7" spans="1:17" ht="15.5">
      <c r="C7" s="352"/>
      <c r="D7" s="352" t="s">
        <v>594</v>
      </c>
      <c r="E7" s="352"/>
      <c r="F7" s="352"/>
      <c r="H7" s="352"/>
      <c r="I7" s="352"/>
      <c r="J7" s="352"/>
      <c r="K7" s="352"/>
      <c r="L7" s="352"/>
    </row>
    <row r="8" spans="1:17" ht="15.5">
      <c r="B8" s="355"/>
      <c r="C8" s="352"/>
      <c r="D8" s="352" t="s">
        <v>1264</v>
      </c>
      <c r="E8" s="352"/>
      <c r="F8" s="352"/>
      <c r="G8" s="352"/>
      <c r="H8" s="352"/>
      <c r="I8" s="352"/>
      <c r="J8" s="352"/>
      <c r="K8" s="352"/>
      <c r="L8" s="352"/>
      <c r="M8" s="352"/>
      <c r="N8" s="352"/>
      <c r="O8" s="352"/>
      <c r="P8" s="352"/>
      <c r="Q8" s="352"/>
    </row>
    <row r="9" spans="1:17" ht="15.5">
      <c r="B9" s="355"/>
      <c r="C9" s="352"/>
      <c r="D9" s="352"/>
      <c r="E9" s="352"/>
      <c r="F9" s="352"/>
      <c r="G9" s="352"/>
      <c r="H9" s="352"/>
      <c r="I9" s="352"/>
      <c r="J9" s="352"/>
      <c r="K9" s="352"/>
      <c r="L9" s="352"/>
      <c r="M9" s="352"/>
      <c r="N9" s="352"/>
      <c r="O9" s="352"/>
      <c r="P9" s="352"/>
      <c r="Q9" s="352"/>
    </row>
    <row r="11" spans="1:17" ht="15.5">
      <c r="D11" s="710" t="s">
        <v>1552</v>
      </c>
    </row>
    <row r="12" spans="1:17">
      <c r="D12" s="674"/>
    </row>
    <row r="33" spans="4:4">
      <c r="D33" s="673"/>
    </row>
    <row r="36" spans="4:4" ht="15.5">
      <c r="D36" s="352" t="s">
        <v>1410</v>
      </c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34"/>
  <sheetViews>
    <sheetView showZeros="0" rightToLeft="1" zoomScaleNormal="100" workbookViewId="0">
      <pane xSplit="3" ySplit="5" topLeftCell="D13" activePane="bottomRight" state="frozen"/>
      <selection activeCell="T20" sqref="T20"/>
      <selection pane="topRight" activeCell="T20" sqref="T20"/>
      <selection pane="bottomLeft" activeCell="T20" sqref="T20"/>
      <selection pane="bottomRight" activeCell="T20" sqref="T20"/>
    </sheetView>
  </sheetViews>
  <sheetFormatPr defaultColWidth="9.1796875" defaultRowHeight="14"/>
  <cols>
    <col min="1" max="1" width="2.453125" style="471" customWidth="1"/>
    <col min="2" max="2" width="5.7265625" style="470" customWidth="1"/>
    <col min="3" max="3" width="17.7265625" style="470" customWidth="1"/>
    <col min="4" max="5" width="9.81640625" style="490" customWidth="1"/>
    <col min="6" max="6" width="9.54296875" style="490" customWidth="1"/>
    <col min="7" max="10" width="12.7265625" style="490" hidden="1" customWidth="1"/>
    <col min="11" max="11" width="11.26953125" style="490" hidden="1" customWidth="1"/>
    <col min="12" max="12" width="10.453125" style="490" customWidth="1"/>
    <col min="13" max="13" width="9.453125" style="490" customWidth="1"/>
    <col min="14" max="14" width="10.453125" style="490" customWidth="1"/>
    <col min="15" max="15" width="10.1796875" style="490" customWidth="1"/>
    <col min="16" max="17" width="11.1796875" style="490" hidden="1" customWidth="1"/>
    <col min="18" max="19" width="12" style="490" hidden="1" customWidth="1"/>
    <col min="20" max="20" width="6.54296875" style="490" customWidth="1"/>
    <col min="21" max="21" width="10.453125" style="470" customWidth="1"/>
    <col min="22" max="22" width="9" style="470" customWidth="1"/>
    <col min="23" max="23" width="9.453125" style="470" customWidth="1"/>
    <col min="24" max="25" width="6" style="470" hidden="1" customWidth="1"/>
    <col min="26" max="26" width="9.1796875" style="470" customWidth="1"/>
    <col min="27" max="27" width="33.54296875" style="471" customWidth="1"/>
    <col min="28" max="28" width="7.81640625" style="470" hidden="1" customWidth="1"/>
    <col min="29" max="29" width="20.54296875" style="471" customWidth="1"/>
    <col min="30" max="30" width="10.453125" style="470" customWidth="1"/>
    <col min="31" max="31" width="16.7265625" style="470" customWidth="1"/>
    <col min="32" max="32" width="10.54296875" style="470" customWidth="1"/>
    <col min="33" max="33" width="15.81640625" style="470" customWidth="1"/>
    <col min="34" max="34" width="12.453125" style="471" customWidth="1"/>
    <col min="35" max="35" width="16" style="471" customWidth="1"/>
    <col min="36" max="36" width="15.7265625" style="471" customWidth="1"/>
    <col min="37" max="37" width="9.1796875" style="470" customWidth="1"/>
    <col min="38" max="16384" width="9.1796875" style="469"/>
  </cols>
  <sheetData>
    <row r="1" spans="1:38" ht="18">
      <c r="A1" s="464"/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  <c r="O1" s="464"/>
      <c r="P1" s="464"/>
      <c r="Q1" s="464"/>
      <c r="R1" s="464"/>
      <c r="S1" s="464"/>
      <c r="T1" s="464"/>
      <c r="U1" s="464"/>
      <c r="V1" s="464"/>
      <c r="W1" s="464"/>
      <c r="X1" s="466"/>
      <c r="Y1" s="466"/>
      <c r="Z1" s="467"/>
      <c r="AA1" s="468"/>
      <c r="AB1" s="467"/>
      <c r="AH1" s="468"/>
      <c r="AI1" s="468"/>
      <c r="AJ1" s="468"/>
      <c r="AK1" s="467"/>
    </row>
    <row r="2" spans="1:38" ht="18">
      <c r="A2" s="464" t="s">
        <v>1094</v>
      </c>
      <c r="B2" s="464"/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4"/>
      <c r="O2" s="464"/>
      <c r="P2" s="464"/>
      <c r="Q2" s="464"/>
      <c r="R2" s="464"/>
      <c r="S2" s="464"/>
      <c r="T2" s="464"/>
      <c r="U2" s="464"/>
      <c r="V2" s="464"/>
      <c r="W2" s="464"/>
    </row>
    <row r="4" spans="1:38" ht="97.5" customHeight="1">
      <c r="A4" s="19" t="s">
        <v>0</v>
      </c>
      <c r="B4" s="477" t="s">
        <v>1</v>
      </c>
      <c r="C4" s="477" t="s">
        <v>2</v>
      </c>
      <c r="D4" s="477" t="s">
        <v>3</v>
      </c>
      <c r="E4" s="477" t="s">
        <v>4</v>
      </c>
      <c r="F4" s="477" t="s">
        <v>5</v>
      </c>
      <c r="G4" s="477" t="s">
        <v>6</v>
      </c>
      <c r="H4" s="477" t="s">
        <v>7</v>
      </c>
      <c r="I4" s="477" t="s">
        <v>9</v>
      </c>
      <c r="J4" s="477" t="s">
        <v>318</v>
      </c>
      <c r="K4" s="477" t="s">
        <v>10</v>
      </c>
      <c r="L4" s="477" t="s">
        <v>11</v>
      </c>
      <c r="M4" s="2" t="s">
        <v>627</v>
      </c>
      <c r="N4" s="477" t="s">
        <v>628</v>
      </c>
      <c r="O4" s="477" t="s">
        <v>629</v>
      </c>
      <c r="P4" s="477" t="s">
        <v>12</v>
      </c>
      <c r="Q4" s="477" t="s">
        <v>630</v>
      </c>
      <c r="R4" s="477" t="s">
        <v>631</v>
      </c>
      <c r="S4" s="477" t="s">
        <v>632</v>
      </c>
      <c r="T4" s="477" t="s">
        <v>633</v>
      </c>
      <c r="U4" s="477" t="s">
        <v>634</v>
      </c>
      <c r="V4" s="477" t="s">
        <v>13</v>
      </c>
      <c r="W4" s="477" t="s">
        <v>14</v>
      </c>
      <c r="X4" s="477" t="s">
        <v>15</v>
      </c>
      <c r="Y4" s="477" t="s">
        <v>523</v>
      </c>
      <c r="Z4" s="477" t="s">
        <v>140</v>
      </c>
      <c r="AA4" s="421" t="s">
        <v>635</v>
      </c>
      <c r="AB4" s="477" t="s">
        <v>16</v>
      </c>
      <c r="AK4" s="478"/>
    </row>
    <row r="5" spans="1:38" ht="18.75" customHeight="1">
      <c r="A5" s="479"/>
      <c r="B5" s="479"/>
      <c r="C5" s="479"/>
      <c r="D5" s="480"/>
      <c r="E5" s="480"/>
      <c r="F5" s="480"/>
      <c r="G5" s="480"/>
      <c r="H5" s="480"/>
      <c r="I5" s="480"/>
      <c r="J5" s="480"/>
      <c r="K5" s="480"/>
      <c r="L5" s="480"/>
      <c r="M5" s="480"/>
      <c r="N5" s="480"/>
      <c r="O5" s="480"/>
      <c r="P5" s="480"/>
      <c r="Q5" s="480"/>
      <c r="R5" s="480"/>
      <c r="S5" s="480"/>
      <c r="T5" s="480">
        <f>P5-M5+R5</f>
        <v>0</v>
      </c>
      <c r="U5" s="480">
        <f t="shared" ref="U5:U13" si="0">N5-T5</f>
        <v>0</v>
      </c>
      <c r="V5" s="480"/>
      <c r="W5" s="480"/>
      <c r="X5" s="480"/>
      <c r="Y5" s="480"/>
      <c r="Z5" s="479"/>
      <c r="AA5" s="481"/>
      <c r="AB5" s="479"/>
      <c r="AK5" s="482"/>
    </row>
    <row r="6" spans="1:38" ht="42">
      <c r="A6" s="479">
        <f t="shared" ref="A6:A13" si="1">A5+1</f>
        <v>1</v>
      </c>
      <c r="B6" s="479">
        <v>1002</v>
      </c>
      <c r="C6" s="479" t="s">
        <v>246</v>
      </c>
      <c r="D6" s="480">
        <v>2290000</v>
      </c>
      <c r="E6" s="480">
        <v>2290000</v>
      </c>
      <c r="F6" s="480">
        <f t="shared" ref="F6:F13" si="2">D6-E6</f>
        <v>0</v>
      </c>
      <c r="G6" s="480">
        <v>2060000</v>
      </c>
      <c r="H6" s="480">
        <v>2028624.26</v>
      </c>
      <c r="I6" s="480"/>
      <c r="J6" s="480">
        <v>30402</v>
      </c>
      <c r="K6" s="480">
        <f t="shared" ref="K6:K13" si="3">SUM(I6:J6)</f>
        <v>30402</v>
      </c>
      <c r="L6" s="480">
        <f t="shared" ref="L6:L13" si="4">H6+K6</f>
        <v>2059026.26</v>
      </c>
      <c r="M6" s="483">
        <f>P6+S6</f>
        <v>973.73999999999069</v>
      </c>
      <c r="N6" s="483">
        <v>100000</v>
      </c>
      <c r="O6" s="483">
        <f t="shared" ref="O6:O13" si="5">D6-L6-M6-N6</f>
        <v>130000</v>
      </c>
      <c r="P6" s="483">
        <f t="shared" ref="P6:P13" si="6">G6-L6</f>
        <v>973.73999999999069</v>
      </c>
      <c r="Q6" s="483"/>
      <c r="R6" s="483"/>
      <c r="S6" s="483">
        <f t="shared" ref="S6:S13" si="7">SUM(Q6:R6)</f>
        <v>0</v>
      </c>
      <c r="T6" s="483">
        <f t="shared" ref="T6:T13" si="8">P6-M6+S6</f>
        <v>0</v>
      </c>
      <c r="U6" s="483">
        <f t="shared" si="0"/>
        <v>100000</v>
      </c>
      <c r="V6" s="483"/>
      <c r="W6" s="483">
        <f>U6-V6-X6-Y6-Z6</f>
        <v>100000</v>
      </c>
      <c r="X6" s="480"/>
      <c r="Y6" s="480"/>
      <c r="Z6" s="479"/>
      <c r="AA6" s="479" t="s">
        <v>1096</v>
      </c>
      <c r="AB6" s="479">
        <v>760000</v>
      </c>
      <c r="AH6" s="484"/>
      <c r="AK6" s="482"/>
    </row>
    <row r="7" spans="1:38" ht="35.15" customHeight="1">
      <c r="A7" s="479">
        <f t="shared" si="1"/>
        <v>2</v>
      </c>
      <c r="B7" s="479">
        <v>1497</v>
      </c>
      <c r="C7" s="479" t="s">
        <v>106</v>
      </c>
      <c r="D7" s="480">
        <v>8820000</v>
      </c>
      <c r="E7" s="480">
        <v>8820000</v>
      </c>
      <c r="F7" s="480">
        <f t="shared" si="2"/>
        <v>0</v>
      </c>
      <c r="G7" s="480">
        <v>2798000</v>
      </c>
      <c r="H7" s="480">
        <v>2504763.06</v>
      </c>
      <c r="I7" s="480">
        <v>136200</v>
      </c>
      <c r="J7" s="480">
        <v>101825</v>
      </c>
      <c r="K7" s="480">
        <f t="shared" si="3"/>
        <v>238025</v>
      </c>
      <c r="L7" s="480">
        <f t="shared" si="4"/>
        <v>2742788.06</v>
      </c>
      <c r="M7" s="483">
        <f>30000+212</f>
        <v>30212</v>
      </c>
      <c r="N7" s="483">
        <f>200000-50000</f>
        <v>150000</v>
      </c>
      <c r="O7" s="483">
        <f t="shared" si="5"/>
        <v>5896999.9399999995</v>
      </c>
      <c r="P7" s="483">
        <f t="shared" si="6"/>
        <v>55211.939999999944</v>
      </c>
      <c r="Q7" s="483"/>
      <c r="R7" s="483"/>
      <c r="S7" s="483">
        <f t="shared" si="7"/>
        <v>0</v>
      </c>
      <c r="T7" s="483">
        <f t="shared" si="8"/>
        <v>24999.939999999944</v>
      </c>
      <c r="U7" s="483">
        <f t="shared" si="0"/>
        <v>125000.06000000006</v>
      </c>
      <c r="V7" s="483"/>
      <c r="W7" s="483">
        <f>U7-V7-X7-Y7-Z7</f>
        <v>125000.06000000006</v>
      </c>
      <c r="X7" s="480"/>
      <c r="Y7" s="480"/>
      <c r="Z7" s="479"/>
      <c r="AA7" s="479" t="s">
        <v>1095</v>
      </c>
      <c r="AB7" s="479">
        <v>610000</v>
      </c>
      <c r="AH7" s="484"/>
      <c r="AK7" s="482"/>
    </row>
    <row r="8" spans="1:38" ht="35.15" customHeight="1">
      <c r="A8" s="479">
        <f t="shared" si="1"/>
        <v>3</v>
      </c>
      <c r="B8" s="479">
        <v>1647</v>
      </c>
      <c r="C8" s="479" t="s">
        <v>828</v>
      </c>
      <c r="D8" s="480">
        <v>4700000</v>
      </c>
      <c r="E8" s="480">
        <v>4700000</v>
      </c>
      <c r="F8" s="480">
        <f t="shared" si="2"/>
        <v>0</v>
      </c>
      <c r="G8" s="480">
        <v>4150000</v>
      </c>
      <c r="H8" s="480">
        <v>3886873</v>
      </c>
      <c r="I8" s="480"/>
      <c r="J8" s="480">
        <v>174850</v>
      </c>
      <c r="K8" s="480">
        <f t="shared" si="3"/>
        <v>174850</v>
      </c>
      <c r="L8" s="480">
        <f t="shared" si="4"/>
        <v>4061723</v>
      </c>
      <c r="M8" s="483">
        <f>30000+277</f>
        <v>30277</v>
      </c>
      <c r="N8" s="483">
        <f>300000-242000</f>
        <v>58000</v>
      </c>
      <c r="O8" s="483">
        <f t="shared" si="5"/>
        <v>550000</v>
      </c>
      <c r="P8" s="483">
        <f t="shared" si="6"/>
        <v>88277</v>
      </c>
      <c r="Q8" s="483"/>
      <c r="R8" s="483"/>
      <c r="S8" s="483">
        <f t="shared" si="7"/>
        <v>0</v>
      </c>
      <c r="T8" s="483">
        <f t="shared" si="8"/>
        <v>58000</v>
      </c>
      <c r="U8" s="483">
        <f t="shared" si="0"/>
        <v>0</v>
      </c>
      <c r="V8" s="483">
        <f>U8*0.5</f>
        <v>0</v>
      </c>
      <c r="W8" s="483">
        <f>U8-V8-X8-Y8-Z8</f>
        <v>0</v>
      </c>
      <c r="X8" s="480"/>
      <c r="Y8" s="480"/>
      <c r="Z8" s="479"/>
      <c r="AA8" s="479" t="s">
        <v>1162</v>
      </c>
      <c r="AB8" s="479">
        <v>810000</v>
      </c>
      <c r="AH8" s="484"/>
      <c r="AK8" s="482"/>
    </row>
    <row r="9" spans="1:38" ht="42">
      <c r="A9" s="479">
        <f t="shared" si="1"/>
        <v>4</v>
      </c>
      <c r="B9" s="479">
        <v>1871</v>
      </c>
      <c r="C9" s="479" t="s">
        <v>1377</v>
      </c>
      <c r="D9" s="480">
        <v>6000000</v>
      </c>
      <c r="E9" s="480">
        <v>3200000</v>
      </c>
      <c r="F9" s="480">
        <f t="shared" si="2"/>
        <v>2800000</v>
      </c>
      <c r="G9" s="480">
        <v>1990000</v>
      </c>
      <c r="H9" s="480">
        <v>0</v>
      </c>
      <c r="I9" s="480"/>
      <c r="J9" s="480"/>
      <c r="K9" s="480">
        <f t="shared" si="3"/>
        <v>0</v>
      </c>
      <c r="L9" s="480">
        <f t="shared" si="4"/>
        <v>0</v>
      </c>
      <c r="M9" s="483">
        <f>P9+S9</f>
        <v>1990000</v>
      </c>
      <c r="N9" s="483">
        <f>4010000-1010000</f>
        <v>3000000</v>
      </c>
      <c r="O9" s="483">
        <f t="shared" si="5"/>
        <v>1010000</v>
      </c>
      <c r="P9" s="483">
        <f t="shared" si="6"/>
        <v>1990000</v>
      </c>
      <c r="Q9" s="483"/>
      <c r="R9" s="483"/>
      <c r="S9" s="483">
        <f t="shared" si="7"/>
        <v>0</v>
      </c>
      <c r="T9" s="483">
        <f t="shared" si="8"/>
        <v>0</v>
      </c>
      <c r="U9" s="483">
        <f t="shared" si="0"/>
        <v>3000000</v>
      </c>
      <c r="V9" s="483">
        <f>U9-W9-Y9-Z9</f>
        <v>3000000</v>
      </c>
      <c r="W9" s="483"/>
      <c r="X9" s="480"/>
      <c r="Y9" s="480"/>
      <c r="Z9" s="479"/>
      <c r="AA9" s="479" t="s">
        <v>827</v>
      </c>
      <c r="AB9" s="479">
        <v>760000</v>
      </c>
      <c r="AH9" s="484"/>
      <c r="AK9" s="482"/>
    </row>
    <row r="10" spans="1:38" ht="42">
      <c r="A10" s="479">
        <f t="shared" si="1"/>
        <v>5</v>
      </c>
      <c r="B10" s="479">
        <v>1982</v>
      </c>
      <c r="C10" s="479" t="s">
        <v>1378</v>
      </c>
      <c r="D10" s="480">
        <v>19700000</v>
      </c>
      <c r="E10" s="480">
        <v>22500000</v>
      </c>
      <c r="F10" s="480">
        <f t="shared" si="2"/>
        <v>-2800000</v>
      </c>
      <c r="G10" s="480">
        <v>7050000</v>
      </c>
      <c r="H10" s="480">
        <v>75360</v>
      </c>
      <c r="I10" s="480">
        <v>5477214</v>
      </c>
      <c r="J10" s="480">
        <v>24092</v>
      </c>
      <c r="K10" s="480">
        <f t="shared" si="3"/>
        <v>5501306</v>
      </c>
      <c r="L10" s="480">
        <f t="shared" si="4"/>
        <v>5576666</v>
      </c>
      <c r="M10" s="483">
        <f>P10+S10</f>
        <v>1473334</v>
      </c>
      <c r="N10" s="483">
        <f>6000000-1000000</f>
        <v>5000000</v>
      </c>
      <c r="O10" s="483">
        <f t="shared" si="5"/>
        <v>7650000</v>
      </c>
      <c r="P10" s="483">
        <f t="shared" si="6"/>
        <v>1473334</v>
      </c>
      <c r="Q10" s="483"/>
      <c r="R10" s="483">
        <f>500000-500000</f>
        <v>0</v>
      </c>
      <c r="S10" s="483">
        <f t="shared" si="7"/>
        <v>0</v>
      </c>
      <c r="T10" s="483">
        <f t="shared" si="8"/>
        <v>0</v>
      </c>
      <c r="U10" s="483">
        <f t="shared" si="0"/>
        <v>5000000</v>
      </c>
      <c r="V10" s="483">
        <f>U10*0.4</f>
        <v>2000000</v>
      </c>
      <c r="W10" s="483">
        <f>U10-V10-X10-Y10-Z10</f>
        <v>3000000</v>
      </c>
      <c r="X10" s="480"/>
      <c r="Y10" s="480"/>
      <c r="Z10" s="479"/>
      <c r="AA10" s="479" t="s">
        <v>825</v>
      </c>
      <c r="AB10" s="479">
        <v>722000</v>
      </c>
      <c r="AH10" s="484"/>
      <c r="AK10" s="482"/>
    </row>
    <row r="11" spans="1:38" ht="70">
      <c r="A11" s="479">
        <f t="shared" si="1"/>
        <v>6</v>
      </c>
      <c r="B11" s="479">
        <v>2081</v>
      </c>
      <c r="C11" s="479" t="s">
        <v>829</v>
      </c>
      <c r="D11" s="480">
        <v>1500000</v>
      </c>
      <c r="E11" s="480"/>
      <c r="F11" s="480">
        <f t="shared" si="2"/>
        <v>1500000</v>
      </c>
      <c r="G11" s="480"/>
      <c r="H11" s="480"/>
      <c r="I11" s="480"/>
      <c r="J11" s="480"/>
      <c r="K11" s="480">
        <f t="shared" si="3"/>
        <v>0</v>
      </c>
      <c r="L11" s="480">
        <f t="shared" si="4"/>
        <v>0</v>
      </c>
      <c r="M11" s="483">
        <f>P11+S11</f>
        <v>0</v>
      </c>
      <c r="N11" s="483">
        <f>1500000-650000</f>
        <v>850000</v>
      </c>
      <c r="O11" s="483">
        <f t="shared" si="5"/>
        <v>650000</v>
      </c>
      <c r="P11" s="483">
        <f t="shared" si="6"/>
        <v>0</v>
      </c>
      <c r="Q11" s="483"/>
      <c r="R11" s="483"/>
      <c r="S11" s="483">
        <f t="shared" si="7"/>
        <v>0</v>
      </c>
      <c r="T11" s="483">
        <f t="shared" si="8"/>
        <v>0</v>
      </c>
      <c r="U11" s="483">
        <f t="shared" si="0"/>
        <v>850000</v>
      </c>
      <c r="V11" s="483">
        <v>450000</v>
      </c>
      <c r="W11" s="483">
        <f>U11-V11-X11-Y11-Z11</f>
        <v>400000</v>
      </c>
      <c r="X11" s="480"/>
      <c r="Y11" s="480"/>
      <c r="Z11" s="479"/>
      <c r="AA11" s="479" t="s">
        <v>1379</v>
      </c>
      <c r="AB11" s="479">
        <v>760000</v>
      </c>
      <c r="AK11" s="482"/>
    </row>
    <row r="12" spans="1:38" ht="84">
      <c r="A12" s="479">
        <f t="shared" si="1"/>
        <v>7</v>
      </c>
      <c r="B12" s="479">
        <v>2082</v>
      </c>
      <c r="C12" s="479" t="s">
        <v>830</v>
      </c>
      <c r="D12" s="480">
        <v>1000000</v>
      </c>
      <c r="E12" s="480"/>
      <c r="F12" s="480">
        <f t="shared" si="2"/>
        <v>1000000</v>
      </c>
      <c r="G12" s="480"/>
      <c r="H12" s="480"/>
      <c r="I12" s="480"/>
      <c r="J12" s="480"/>
      <c r="K12" s="480">
        <f t="shared" si="3"/>
        <v>0</v>
      </c>
      <c r="L12" s="480">
        <f t="shared" si="4"/>
        <v>0</v>
      </c>
      <c r="M12" s="483">
        <f>P12+S12</f>
        <v>0</v>
      </c>
      <c r="N12" s="483">
        <f>1000000-150000</f>
        <v>850000</v>
      </c>
      <c r="O12" s="483">
        <f t="shared" si="5"/>
        <v>150000</v>
      </c>
      <c r="P12" s="483">
        <f t="shared" si="6"/>
        <v>0</v>
      </c>
      <c r="Q12" s="483"/>
      <c r="R12" s="483"/>
      <c r="S12" s="483">
        <f t="shared" si="7"/>
        <v>0</v>
      </c>
      <c r="T12" s="483">
        <f t="shared" si="8"/>
        <v>0</v>
      </c>
      <c r="U12" s="483">
        <f t="shared" si="0"/>
        <v>850000</v>
      </c>
      <c r="V12" s="483">
        <f>U12-W12-Y12-Z12</f>
        <v>0</v>
      </c>
      <c r="W12" s="483">
        <v>850000</v>
      </c>
      <c r="X12" s="480"/>
      <c r="Y12" s="480"/>
      <c r="Z12" s="479"/>
      <c r="AA12" s="479" t="s">
        <v>1380</v>
      </c>
      <c r="AB12" s="479">
        <v>760000</v>
      </c>
      <c r="AK12" s="482"/>
    </row>
    <row r="13" spans="1:38" ht="70">
      <c r="A13" s="479">
        <f t="shared" si="1"/>
        <v>8</v>
      </c>
      <c r="B13" s="479">
        <v>2083</v>
      </c>
      <c r="C13" s="479" t="s">
        <v>1090</v>
      </c>
      <c r="D13" s="480">
        <v>5580000</v>
      </c>
      <c r="E13" s="480"/>
      <c r="F13" s="480">
        <f t="shared" si="2"/>
        <v>5580000</v>
      </c>
      <c r="G13" s="480"/>
      <c r="H13" s="480"/>
      <c r="I13" s="480"/>
      <c r="J13" s="480"/>
      <c r="K13" s="480">
        <f t="shared" si="3"/>
        <v>0</v>
      </c>
      <c r="L13" s="480">
        <f t="shared" si="4"/>
        <v>0</v>
      </c>
      <c r="M13" s="483">
        <f>P13+S13</f>
        <v>0</v>
      </c>
      <c r="N13" s="483">
        <f>5580000-2580000</f>
        <v>3000000</v>
      </c>
      <c r="O13" s="483">
        <f t="shared" si="5"/>
        <v>2580000</v>
      </c>
      <c r="P13" s="483">
        <f t="shared" si="6"/>
        <v>0</v>
      </c>
      <c r="Q13" s="483"/>
      <c r="R13" s="483"/>
      <c r="S13" s="483">
        <f t="shared" si="7"/>
        <v>0</v>
      </c>
      <c r="T13" s="483">
        <f t="shared" si="8"/>
        <v>0</v>
      </c>
      <c r="U13" s="483">
        <f t="shared" si="0"/>
        <v>3000000</v>
      </c>
      <c r="V13" s="483"/>
      <c r="W13" s="483">
        <f>U13-V13-X13-Y13-Z13</f>
        <v>0</v>
      </c>
      <c r="X13" s="480"/>
      <c r="Y13" s="480"/>
      <c r="Z13" s="483">
        <v>3000000</v>
      </c>
      <c r="AA13" s="479" t="s">
        <v>1163</v>
      </c>
      <c r="AB13" s="479">
        <v>810000</v>
      </c>
      <c r="AK13" s="482"/>
    </row>
    <row r="14" spans="1:38" s="489" customFormat="1" ht="35.15" customHeight="1">
      <c r="A14" s="485">
        <f>A13</f>
        <v>8</v>
      </c>
      <c r="B14" s="485"/>
      <c r="C14" s="486" t="s">
        <v>1161</v>
      </c>
      <c r="D14" s="487">
        <f t="shared" ref="D14:Z14" si="9">SUM(D6:D13)</f>
        <v>49590000</v>
      </c>
      <c r="E14" s="487">
        <f t="shared" si="9"/>
        <v>41510000</v>
      </c>
      <c r="F14" s="487">
        <f t="shared" si="9"/>
        <v>8080000</v>
      </c>
      <c r="G14" s="487">
        <f t="shared" si="9"/>
        <v>18048000</v>
      </c>
      <c r="H14" s="487">
        <f t="shared" si="9"/>
        <v>8495620.3200000003</v>
      </c>
      <c r="I14" s="487">
        <f t="shared" si="9"/>
        <v>5613414</v>
      </c>
      <c r="J14" s="487">
        <f t="shared" si="9"/>
        <v>331169</v>
      </c>
      <c r="K14" s="487">
        <f t="shared" si="9"/>
        <v>5944583</v>
      </c>
      <c r="L14" s="487">
        <f t="shared" si="9"/>
        <v>14440203.32</v>
      </c>
      <c r="M14" s="487">
        <f t="shared" si="9"/>
        <v>3524796.74</v>
      </c>
      <c r="N14" s="487">
        <f t="shared" si="9"/>
        <v>13008000</v>
      </c>
      <c r="O14" s="487">
        <f t="shared" si="9"/>
        <v>18616999.939999998</v>
      </c>
      <c r="P14" s="487">
        <f t="shared" si="9"/>
        <v>3607796.6799999997</v>
      </c>
      <c r="Q14" s="487">
        <f t="shared" si="9"/>
        <v>0</v>
      </c>
      <c r="R14" s="487">
        <f t="shared" si="9"/>
        <v>0</v>
      </c>
      <c r="S14" s="487">
        <f t="shared" si="9"/>
        <v>0</v>
      </c>
      <c r="T14" s="487">
        <f t="shared" si="9"/>
        <v>82999.939999999944</v>
      </c>
      <c r="U14" s="487">
        <f t="shared" si="9"/>
        <v>12925000.060000001</v>
      </c>
      <c r="V14" s="487">
        <f t="shared" si="9"/>
        <v>5450000</v>
      </c>
      <c r="W14" s="487">
        <f t="shared" si="9"/>
        <v>4475000.0600000005</v>
      </c>
      <c r="X14" s="487">
        <f t="shared" si="9"/>
        <v>0</v>
      </c>
      <c r="Y14" s="487">
        <f t="shared" si="9"/>
        <v>0</v>
      </c>
      <c r="Z14" s="487">
        <f t="shared" si="9"/>
        <v>3000000</v>
      </c>
      <c r="AA14" s="488"/>
      <c r="AB14" s="485"/>
      <c r="AC14" s="471"/>
      <c r="AD14" s="470"/>
      <c r="AE14" s="470"/>
      <c r="AF14" s="470"/>
      <c r="AG14" s="470"/>
      <c r="AH14" s="484"/>
      <c r="AI14" s="471"/>
      <c r="AJ14" s="471"/>
      <c r="AL14" s="469"/>
    </row>
    <row r="15" spans="1:38" ht="18.75" hidden="1" customHeight="1">
      <c r="L15" s="276">
        <f>H14+K14</f>
        <v>14440203.32</v>
      </c>
      <c r="M15" s="276">
        <f>P14+S14-T14</f>
        <v>3524796.7399999998</v>
      </c>
      <c r="P15" s="276">
        <f>G14-L14</f>
        <v>3607796.6799999997</v>
      </c>
      <c r="U15" s="276">
        <f>N14-T14</f>
        <v>12925000.060000001</v>
      </c>
    </row>
    <row r="16" spans="1:38">
      <c r="AA16" s="470"/>
    </row>
    <row r="17" spans="1:37">
      <c r="AA17" s="470"/>
    </row>
    <row r="18" spans="1:37">
      <c r="E18" s="491"/>
      <c r="F18" s="492"/>
      <c r="G18" s="492"/>
      <c r="H18" s="492"/>
      <c r="I18" s="492"/>
      <c r="AA18" s="470"/>
    </row>
    <row r="19" spans="1:37">
      <c r="A19" s="469"/>
      <c r="B19" s="469"/>
      <c r="C19" s="469"/>
      <c r="D19" s="469"/>
      <c r="E19" s="469"/>
      <c r="F19" s="469"/>
      <c r="G19" s="469"/>
      <c r="H19" s="469"/>
      <c r="I19" s="469"/>
      <c r="J19" s="469"/>
      <c r="K19" s="469"/>
      <c r="L19" s="469"/>
      <c r="M19" s="469"/>
      <c r="N19" s="469"/>
      <c r="O19" s="469"/>
      <c r="P19" s="469"/>
      <c r="Q19" s="469"/>
      <c r="R19" s="469"/>
      <c r="S19" s="469"/>
      <c r="T19" s="469"/>
      <c r="U19" s="469"/>
      <c r="V19" s="469"/>
      <c r="W19" s="469"/>
      <c r="X19" s="469"/>
      <c r="AA19" s="470"/>
      <c r="AB19" s="469"/>
      <c r="AK19" s="469"/>
    </row>
    <row r="20" spans="1:37">
      <c r="A20" s="469"/>
      <c r="B20" s="469"/>
      <c r="C20" s="469"/>
      <c r="D20" s="469"/>
      <c r="E20" s="469"/>
      <c r="F20" s="469"/>
      <c r="G20" s="469"/>
      <c r="H20" s="469"/>
      <c r="I20" s="469"/>
      <c r="J20" s="469"/>
      <c r="K20" s="469"/>
      <c r="L20" s="469"/>
      <c r="M20" s="469"/>
      <c r="N20" s="469"/>
      <c r="O20" s="469"/>
      <c r="P20" s="469"/>
      <c r="Q20" s="469"/>
      <c r="R20" s="469"/>
      <c r="S20" s="469"/>
      <c r="T20" s="469"/>
      <c r="U20" s="469"/>
      <c r="V20" s="469"/>
      <c r="W20" s="469"/>
      <c r="X20" s="469"/>
      <c r="AA20" s="470"/>
      <c r="AB20" s="469"/>
      <c r="AD20" s="469"/>
      <c r="AE20" s="469"/>
      <c r="AF20" s="469"/>
      <c r="AG20" s="469"/>
      <c r="AH20" s="469"/>
      <c r="AI20" s="469"/>
      <c r="AJ20" s="469"/>
      <c r="AK20" s="469"/>
    </row>
    <row r="21" spans="1:37">
      <c r="A21" s="469"/>
      <c r="B21" s="469"/>
      <c r="C21" s="469"/>
      <c r="D21" s="469"/>
      <c r="E21" s="469"/>
      <c r="F21" s="469"/>
      <c r="G21" s="469"/>
      <c r="H21" s="469"/>
      <c r="I21" s="469"/>
      <c r="J21" s="469"/>
      <c r="K21" s="469"/>
      <c r="L21" s="469"/>
      <c r="M21" s="469"/>
      <c r="N21" s="469"/>
      <c r="O21" s="469"/>
      <c r="P21" s="469"/>
      <c r="Q21" s="469"/>
      <c r="R21" s="469"/>
      <c r="S21" s="469"/>
      <c r="T21" s="469"/>
      <c r="U21" s="469"/>
      <c r="V21" s="469"/>
      <c r="W21" s="469"/>
      <c r="X21" s="469"/>
      <c r="AA21" s="470"/>
      <c r="AB21" s="469"/>
      <c r="AK21" s="469"/>
    </row>
    <row r="22" spans="1:37">
      <c r="A22" s="469"/>
      <c r="B22" s="469"/>
      <c r="C22" s="469"/>
      <c r="D22" s="469"/>
      <c r="E22" s="469"/>
      <c r="F22" s="469"/>
      <c r="G22" s="469"/>
      <c r="H22" s="469"/>
      <c r="I22" s="469"/>
      <c r="J22" s="469"/>
      <c r="K22" s="469"/>
      <c r="L22" s="469"/>
      <c r="M22" s="469"/>
      <c r="N22" s="469"/>
      <c r="O22" s="469"/>
      <c r="P22" s="469"/>
      <c r="Q22" s="469"/>
      <c r="R22" s="469"/>
      <c r="S22" s="469"/>
      <c r="T22" s="469"/>
      <c r="U22" s="469"/>
      <c r="V22" s="469"/>
      <c r="W22" s="469"/>
      <c r="X22" s="469"/>
      <c r="AA22" s="470"/>
      <c r="AB22" s="469"/>
      <c r="AK22" s="469"/>
    </row>
    <row r="23" spans="1:37">
      <c r="A23" s="469"/>
      <c r="B23" s="469"/>
      <c r="C23" s="469"/>
      <c r="D23" s="469"/>
      <c r="E23" s="469"/>
      <c r="F23" s="469"/>
      <c r="G23" s="469"/>
      <c r="H23" s="469"/>
      <c r="I23" s="469"/>
      <c r="J23" s="469"/>
      <c r="K23" s="469"/>
      <c r="L23" s="469"/>
      <c r="M23" s="469"/>
      <c r="N23" s="469"/>
      <c r="O23" s="469"/>
      <c r="P23" s="469"/>
      <c r="Q23" s="469"/>
      <c r="R23" s="469"/>
      <c r="S23" s="469"/>
      <c r="T23" s="469"/>
      <c r="U23" s="469"/>
      <c r="V23" s="469"/>
      <c r="W23" s="469"/>
      <c r="X23" s="469"/>
      <c r="Y23" s="469"/>
      <c r="Z23" s="469"/>
      <c r="AA23" s="469"/>
      <c r="AB23" s="469"/>
      <c r="AK23" s="469"/>
    </row>
    <row r="24" spans="1:37">
      <c r="A24" s="469"/>
      <c r="B24" s="469"/>
      <c r="C24" s="469"/>
      <c r="D24" s="469"/>
      <c r="E24" s="469"/>
      <c r="F24" s="469"/>
      <c r="G24" s="469"/>
      <c r="H24" s="469"/>
      <c r="I24" s="469"/>
      <c r="J24" s="469"/>
      <c r="K24" s="469"/>
      <c r="L24" s="469"/>
      <c r="M24" s="469"/>
      <c r="N24" s="469"/>
      <c r="O24" s="469"/>
      <c r="P24" s="469"/>
      <c r="Q24" s="469"/>
      <c r="R24" s="469"/>
      <c r="S24" s="469"/>
      <c r="T24" s="469"/>
      <c r="U24" s="469"/>
      <c r="V24" s="469"/>
      <c r="W24" s="469"/>
      <c r="X24" s="469"/>
      <c r="Y24" s="469"/>
      <c r="Z24" s="469"/>
      <c r="AA24" s="469"/>
      <c r="AB24" s="469"/>
      <c r="AK24" s="469"/>
    </row>
    <row r="25" spans="1:37">
      <c r="A25" s="469"/>
      <c r="B25" s="469"/>
      <c r="C25" s="469"/>
      <c r="D25" s="469"/>
      <c r="E25" s="469"/>
      <c r="F25" s="469"/>
      <c r="G25" s="469"/>
      <c r="H25" s="469"/>
      <c r="I25" s="469"/>
      <c r="J25" s="469"/>
      <c r="K25" s="469"/>
      <c r="L25" s="469"/>
      <c r="M25" s="469"/>
      <c r="N25" s="469"/>
      <c r="O25" s="469"/>
      <c r="P25" s="469"/>
      <c r="Q25" s="469"/>
      <c r="R25" s="469"/>
      <c r="S25" s="469"/>
      <c r="T25" s="469"/>
      <c r="U25" s="469"/>
      <c r="V25" s="469"/>
      <c r="W25" s="469"/>
      <c r="X25" s="469"/>
      <c r="Y25" s="469"/>
      <c r="Z25" s="469"/>
      <c r="AA25" s="469"/>
      <c r="AB25" s="469"/>
      <c r="AK25" s="469"/>
    </row>
    <row r="26" spans="1:37">
      <c r="A26" s="469"/>
      <c r="B26" s="469"/>
      <c r="C26" s="469"/>
      <c r="D26" s="469"/>
      <c r="E26" s="469"/>
      <c r="F26" s="469"/>
      <c r="G26" s="469"/>
      <c r="H26" s="469"/>
      <c r="I26" s="469"/>
      <c r="J26" s="469"/>
      <c r="K26" s="469"/>
      <c r="L26" s="469"/>
      <c r="M26" s="469"/>
      <c r="N26" s="469"/>
      <c r="O26" s="469"/>
      <c r="P26" s="469"/>
      <c r="Q26" s="469"/>
      <c r="R26" s="469"/>
      <c r="S26" s="469"/>
      <c r="T26" s="469"/>
      <c r="U26" s="469"/>
      <c r="V26" s="469"/>
      <c r="W26" s="469"/>
      <c r="X26" s="469"/>
      <c r="Y26" s="469"/>
      <c r="Z26" s="469"/>
      <c r="AA26" s="469"/>
      <c r="AB26" s="469"/>
      <c r="AK26" s="469"/>
    </row>
    <row r="27" spans="1:37">
      <c r="A27" s="469"/>
      <c r="B27" s="469"/>
      <c r="C27" s="469"/>
      <c r="D27" s="469"/>
      <c r="E27" s="469"/>
      <c r="F27" s="469"/>
      <c r="G27" s="469"/>
      <c r="H27" s="469"/>
      <c r="I27" s="469"/>
      <c r="J27" s="469"/>
      <c r="K27" s="469"/>
      <c r="L27" s="469"/>
      <c r="M27" s="469"/>
      <c r="N27" s="469"/>
      <c r="O27" s="469"/>
      <c r="P27" s="469"/>
      <c r="Q27" s="469"/>
      <c r="R27" s="469"/>
      <c r="S27" s="469"/>
      <c r="T27" s="469"/>
      <c r="U27" s="469"/>
      <c r="V27" s="469"/>
      <c r="W27" s="469"/>
      <c r="X27" s="469"/>
      <c r="Y27" s="469"/>
      <c r="Z27" s="469"/>
      <c r="AA27" s="469"/>
      <c r="AB27" s="469"/>
      <c r="AK27" s="469"/>
    </row>
    <row r="28" spans="1:37">
      <c r="A28" s="469"/>
      <c r="B28" s="469"/>
      <c r="C28" s="469"/>
      <c r="D28" s="469"/>
      <c r="E28" s="469"/>
      <c r="F28" s="469"/>
      <c r="G28" s="469"/>
      <c r="H28" s="469"/>
      <c r="I28" s="469"/>
      <c r="J28" s="469"/>
      <c r="K28" s="469"/>
      <c r="L28" s="469"/>
      <c r="M28" s="469"/>
      <c r="N28" s="469"/>
      <c r="O28" s="469"/>
      <c r="P28" s="469"/>
      <c r="Q28" s="469"/>
      <c r="R28" s="469"/>
      <c r="S28" s="469"/>
      <c r="T28" s="469"/>
      <c r="U28" s="469"/>
      <c r="V28" s="469"/>
      <c r="W28" s="469"/>
      <c r="X28" s="469"/>
      <c r="Y28" s="469"/>
      <c r="Z28" s="469"/>
      <c r="AA28" s="469"/>
      <c r="AB28" s="469"/>
      <c r="AK28" s="469"/>
    </row>
    <row r="31" spans="1:37">
      <c r="A31" s="469"/>
      <c r="B31" s="469"/>
      <c r="C31" s="469"/>
      <c r="D31" s="469"/>
      <c r="E31" s="469"/>
      <c r="F31" s="469"/>
      <c r="G31" s="469"/>
      <c r="H31" s="469"/>
      <c r="I31" s="469"/>
      <c r="J31" s="469"/>
      <c r="K31" s="469"/>
      <c r="L31" s="469"/>
      <c r="M31" s="469"/>
      <c r="N31" s="469"/>
      <c r="O31" s="469"/>
      <c r="P31" s="469"/>
      <c r="Q31" s="469"/>
      <c r="R31" s="469"/>
      <c r="S31" s="469"/>
      <c r="T31" s="469"/>
      <c r="U31" s="469"/>
      <c r="V31" s="469"/>
      <c r="W31" s="469"/>
      <c r="X31" s="469"/>
      <c r="Y31" s="469"/>
      <c r="Z31" s="469"/>
      <c r="AA31" s="469"/>
      <c r="AB31" s="469"/>
      <c r="AH31" s="469"/>
      <c r="AI31" s="469"/>
      <c r="AJ31" s="469"/>
      <c r="AK31" s="469"/>
    </row>
    <row r="32" spans="1:37">
      <c r="A32" s="469"/>
      <c r="B32" s="469"/>
      <c r="C32" s="469"/>
      <c r="D32" s="469"/>
      <c r="E32" s="469"/>
      <c r="F32" s="469"/>
      <c r="G32" s="469"/>
      <c r="H32" s="469"/>
      <c r="I32" s="469"/>
      <c r="J32" s="469"/>
      <c r="K32" s="469"/>
      <c r="L32" s="469"/>
      <c r="M32" s="469"/>
      <c r="N32" s="469"/>
      <c r="O32" s="469"/>
      <c r="P32" s="469"/>
      <c r="Q32" s="469"/>
      <c r="R32" s="469"/>
      <c r="S32" s="469"/>
      <c r="T32" s="469"/>
      <c r="U32" s="469"/>
      <c r="V32" s="469"/>
      <c r="W32" s="469"/>
      <c r="X32" s="469"/>
      <c r="Y32" s="469"/>
      <c r="Z32" s="469"/>
      <c r="AA32" s="469"/>
      <c r="AB32" s="469"/>
      <c r="AH32" s="469"/>
      <c r="AI32" s="469"/>
      <c r="AJ32" s="469"/>
      <c r="AK32" s="469"/>
    </row>
    <row r="33" spans="1:37">
      <c r="A33" s="469"/>
      <c r="B33" s="469"/>
      <c r="C33" s="469"/>
      <c r="D33" s="469"/>
      <c r="E33" s="469"/>
      <c r="F33" s="469"/>
      <c r="G33" s="469"/>
      <c r="H33" s="469"/>
      <c r="I33" s="469"/>
      <c r="J33" s="469"/>
      <c r="K33" s="469"/>
      <c r="L33" s="469"/>
      <c r="M33" s="469"/>
      <c r="N33" s="469"/>
      <c r="O33" s="469"/>
      <c r="P33" s="469"/>
      <c r="Q33" s="469"/>
      <c r="R33" s="469"/>
      <c r="S33" s="469"/>
      <c r="T33" s="469"/>
      <c r="U33" s="469"/>
      <c r="V33" s="469"/>
      <c r="W33" s="469"/>
      <c r="X33" s="469"/>
      <c r="Y33" s="469"/>
      <c r="Z33" s="469"/>
      <c r="AA33" s="469"/>
      <c r="AB33" s="469"/>
      <c r="AH33" s="469"/>
      <c r="AI33" s="469"/>
      <c r="AJ33" s="469"/>
      <c r="AK33" s="469"/>
    </row>
    <row r="34" spans="1:37">
      <c r="A34" s="469"/>
      <c r="B34" s="469"/>
      <c r="C34" s="469"/>
      <c r="D34" s="469"/>
      <c r="E34" s="469"/>
      <c r="F34" s="469"/>
      <c r="G34" s="469"/>
      <c r="H34" s="469"/>
      <c r="I34" s="469"/>
      <c r="J34" s="469"/>
      <c r="K34" s="469"/>
      <c r="L34" s="469"/>
      <c r="M34" s="469"/>
      <c r="N34" s="469"/>
      <c r="O34" s="469"/>
      <c r="P34" s="469"/>
      <c r="Q34" s="469"/>
      <c r="R34" s="469"/>
      <c r="S34" s="469"/>
      <c r="T34" s="469"/>
      <c r="U34" s="469"/>
      <c r="V34" s="469"/>
      <c r="W34" s="469"/>
      <c r="X34" s="469"/>
      <c r="Y34" s="469"/>
      <c r="Z34" s="469"/>
      <c r="AA34" s="469"/>
      <c r="AB34" s="469"/>
      <c r="AH34" s="469"/>
      <c r="AI34" s="469"/>
      <c r="AJ34" s="469"/>
      <c r="AK34" s="469"/>
    </row>
  </sheetData>
  <sortState ref="A7:AJ11">
    <sortCondition ref="B7:B11"/>
  </sortState>
  <conditionalFormatting sqref="F6">
    <cfRule type="cellIs" dxfId="246" priority="55" operator="equal">
      <formula>0</formula>
    </cfRule>
  </conditionalFormatting>
  <conditionalFormatting sqref="A14:B14 AD1:XFD9 Y7:Z9 Y23:AA1048576 A5:W8 AB21:AB1048576 A21:W1048576 AH21:XFD1048576 A1:W3 Y1:AA6 X1:X9 AB1:AB9 D14:AB14 AD14:AJ14 AL14:XFD14 B9:W9 A9:A13 AB15:AB19 A16:X19 AD15:XFD19 A15:K15 N15:O15 Q15:T15 V15:AA15 AC14:AC1048576 B4:W4">
    <cfRule type="cellIs" dxfId="245" priority="54" operator="equal">
      <formula>0</formula>
    </cfRule>
  </conditionalFormatting>
  <conditionalFormatting sqref="AD21:AG1048576">
    <cfRule type="cellIs" dxfId="244" priority="37" operator="equal">
      <formula>0</formula>
    </cfRule>
  </conditionalFormatting>
  <conditionalFormatting sqref="AA9">
    <cfRule type="cellIs" dxfId="243" priority="45" operator="equal">
      <formula>0</formula>
    </cfRule>
  </conditionalFormatting>
  <conditionalFormatting sqref="AA7">
    <cfRule type="cellIs" dxfId="242" priority="47" operator="equal">
      <formula>0</formula>
    </cfRule>
  </conditionalFormatting>
  <conditionalFormatting sqref="AA8">
    <cfRule type="cellIs" dxfId="241" priority="46" operator="equal">
      <formula>0</formula>
    </cfRule>
  </conditionalFormatting>
  <conditionalFormatting sqref="X21:X1048576">
    <cfRule type="cellIs" dxfId="240" priority="42" operator="equal">
      <formula>0</formula>
    </cfRule>
  </conditionalFormatting>
  <conditionalFormatting sqref="Y16:AA22">
    <cfRule type="cellIs" dxfId="239" priority="35" operator="equal">
      <formula>0</formula>
    </cfRule>
  </conditionalFormatting>
  <conditionalFormatting sqref="A20:X20 AB20 AD20:XFD20">
    <cfRule type="cellIs" dxfId="238" priority="36" operator="equal">
      <formula>0</formula>
    </cfRule>
  </conditionalFormatting>
  <conditionalFormatting sqref="AC1:AC9">
    <cfRule type="cellIs" dxfId="237" priority="23" operator="equal">
      <formula>0</formula>
    </cfRule>
  </conditionalFormatting>
  <conditionalFormatting sqref="AB10 B10:Z10 AD10:XFD10">
    <cfRule type="cellIs" dxfId="236" priority="22" operator="equal">
      <formula>0</formula>
    </cfRule>
  </conditionalFormatting>
  <conditionalFormatting sqref="AA10">
    <cfRule type="cellIs" dxfId="235" priority="21" operator="equal">
      <formula>0</formula>
    </cfRule>
  </conditionalFormatting>
  <conditionalFormatting sqref="AC10">
    <cfRule type="cellIs" dxfId="234" priority="20" operator="equal">
      <formula>0</formula>
    </cfRule>
  </conditionalFormatting>
  <conditionalFormatting sqref="AA13:AB13 AD13:AG13 AD11:AG11 AA11:AB11">
    <cfRule type="cellIs" dxfId="233" priority="19" operator="equal">
      <formula>0</formula>
    </cfRule>
  </conditionalFormatting>
  <conditionalFormatting sqref="B13:J13 AH13:XFD13 B11:C11">
    <cfRule type="cellIs" dxfId="232" priority="18" operator="equal">
      <formula>0</formula>
    </cfRule>
  </conditionalFormatting>
  <conditionalFormatting sqref="B11 E11:J11 AH11:XFD11">
    <cfRule type="cellIs" dxfId="231" priority="17" operator="equal">
      <formula>0</formula>
    </cfRule>
  </conditionalFormatting>
  <conditionalFormatting sqref="Y11:Z11 K11:V11 Y13 K13:U13">
    <cfRule type="cellIs" dxfId="230" priority="16" operator="equal">
      <formula>0</formula>
    </cfRule>
  </conditionalFormatting>
  <conditionalFormatting sqref="C11">
    <cfRule type="cellIs" dxfId="229" priority="15" operator="equal">
      <formula>0</formula>
    </cfRule>
  </conditionalFormatting>
  <conditionalFormatting sqref="D11">
    <cfRule type="cellIs" dxfId="228" priority="14" operator="equal">
      <formula>0</formula>
    </cfRule>
  </conditionalFormatting>
  <conditionalFormatting sqref="X11 X13">
    <cfRule type="cellIs" dxfId="227" priority="13" operator="equal">
      <formula>0</formula>
    </cfRule>
  </conditionalFormatting>
  <conditionalFormatting sqref="V13">
    <cfRule type="cellIs" dxfId="226" priority="12" operator="equal">
      <formula>0</formula>
    </cfRule>
  </conditionalFormatting>
  <conditionalFormatting sqref="AA12 AD12:AG12">
    <cfRule type="cellIs" dxfId="225" priority="11" operator="equal">
      <formula>0</formula>
    </cfRule>
  </conditionalFormatting>
  <conditionalFormatting sqref="B12:J12 AH12:XFD12">
    <cfRule type="cellIs" dxfId="224" priority="10" operator="equal">
      <formula>0</formula>
    </cfRule>
  </conditionalFormatting>
  <conditionalFormatting sqref="W12">
    <cfRule type="cellIs" dxfId="223" priority="7" operator="equal">
      <formula>0</formula>
    </cfRule>
  </conditionalFormatting>
  <conditionalFormatting sqref="K12:U12 Y12:Z12">
    <cfRule type="cellIs" dxfId="222" priority="9" operator="equal">
      <formula>0</formula>
    </cfRule>
  </conditionalFormatting>
  <conditionalFormatting sqref="X12">
    <cfRule type="cellIs" dxfId="221" priority="8" operator="equal">
      <formula>0</formula>
    </cfRule>
  </conditionalFormatting>
  <conditionalFormatting sqref="V12">
    <cfRule type="cellIs" dxfId="220" priority="6" operator="equal">
      <formula>0</formula>
    </cfRule>
  </conditionalFormatting>
  <conditionalFormatting sqref="W11">
    <cfRule type="cellIs" dxfId="219" priority="5" operator="equal">
      <formula>0</formula>
    </cfRule>
  </conditionalFormatting>
  <conditionalFormatting sqref="Z13">
    <cfRule type="cellIs" dxfId="218" priority="3" operator="equal">
      <formula>0</formula>
    </cfRule>
  </conditionalFormatting>
  <conditionalFormatting sqref="W13">
    <cfRule type="cellIs" dxfId="217" priority="4" operator="equal">
      <formula>0</formula>
    </cfRule>
  </conditionalFormatting>
  <conditionalFormatting sqref="AC11:AC13">
    <cfRule type="cellIs" dxfId="216" priority="2" operator="equal">
      <formula>0</formula>
    </cfRule>
  </conditionalFormatting>
  <conditionalFormatting sqref="AB12">
    <cfRule type="cellIs" dxfId="215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38"/>
  <sheetViews>
    <sheetView showZeros="0" rightToLeft="1" zoomScaleNormal="100" workbookViewId="0">
      <pane xSplit="3" ySplit="5" topLeftCell="D15" activePane="bottomRight" state="frozen"/>
      <selection activeCell="C42" sqref="C42"/>
      <selection pane="topRight" activeCell="C42" sqref="C42"/>
      <selection pane="bottomLeft" activeCell="C42" sqref="C42"/>
      <selection pane="bottomRight" activeCell="C42" sqref="C42"/>
    </sheetView>
  </sheetViews>
  <sheetFormatPr defaultColWidth="9.1796875" defaultRowHeight="14"/>
  <cols>
    <col min="1" max="1" width="5.26953125" style="471" customWidth="1"/>
    <col min="2" max="2" width="6.81640625" style="470" customWidth="1"/>
    <col min="3" max="3" width="19.81640625" style="470" customWidth="1"/>
    <col min="4" max="4" width="10.7265625" style="490" customWidth="1"/>
    <col min="5" max="5" width="9.81640625" style="490" hidden="1" customWidth="1"/>
    <col min="6" max="6" width="11.1796875" style="490" hidden="1" customWidth="1"/>
    <col min="7" max="10" width="12.7265625" style="490" hidden="1" customWidth="1"/>
    <col min="11" max="11" width="11.26953125" style="490" hidden="1" customWidth="1"/>
    <col min="12" max="12" width="10.453125" style="490" customWidth="1"/>
    <col min="13" max="13" width="9.453125" style="490" customWidth="1"/>
    <col min="14" max="14" width="10.453125" style="490" customWidth="1"/>
    <col min="15" max="15" width="10.1796875" style="490" customWidth="1"/>
    <col min="16" max="17" width="11.1796875" style="490" hidden="1" customWidth="1"/>
    <col min="18" max="19" width="12" style="490" hidden="1" customWidth="1"/>
    <col min="20" max="20" width="6.54296875" style="490" customWidth="1"/>
    <col min="21" max="21" width="10.453125" style="470" customWidth="1"/>
    <col min="22" max="22" width="9" style="470" customWidth="1"/>
    <col min="23" max="23" width="11.81640625" style="470" customWidth="1"/>
    <col min="24" max="25" width="6" style="470" hidden="1" customWidth="1"/>
    <col min="26" max="26" width="9.1796875" style="470" customWidth="1"/>
    <col min="27" max="27" width="33.54296875" style="605" hidden="1" customWidth="1"/>
    <col min="28" max="28" width="7.81640625" style="470" customWidth="1"/>
    <col min="29" max="29" width="20.54296875" style="471" customWidth="1"/>
    <col min="30" max="30" width="10.453125" style="470" customWidth="1"/>
    <col min="31" max="31" width="16.7265625" style="470" customWidth="1"/>
    <col min="32" max="32" width="10.54296875" style="470" customWidth="1"/>
    <col min="33" max="33" width="15.81640625" style="470" customWidth="1"/>
    <col min="34" max="34" width="12.453125" style="471" customWidth="1"/>
    <col min="35" max="35" width="16" style="471" customWidth="1"/>
    <col min="36" max="36" width="15.7265625" style="471" customWidth="1"/>
    <col min="37" max="37" width="9.1796875" style="470" customWidth="1"/>
    <col min="38" max="16384" width="9.1796875" style="469"/>
  </cols>
  <sheetData>
    <row r="1" spans="1:37" ht="18">
      <c r="A1" s="464"/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  <c r="O1" s="464"/>
      <c r="P1" s="464"/>
      <c r="Q1" s="464"/>
      <c r="R1" s="464"/>
      <c r="S1" s="464"/>
      <c r="T1" s="464"/>
      <c r="U1" s="464"/>
      <c r="V1" s="464"/>
      <c r="W1" s="464"/>
      <c r="X1" s="466"/>
      <c r="Y1" s="466"/>
      <c r="Z1" s="467"/>
      <c r="AA1" s="604"/>
      <c r="AB1" s="467"/>
      <c r="AH1" s="468"/>
      <c r="AI1" s="468"/>
      <c r="AJ1" s="468"/>
      <c r="AK1" s="467"/>
    </row>
    <row r="2" spans="1:37" ht="18">
      <c r="A2" s="464" t="s">
        <v>1094</v>
      </c>
      <c r="B2" s="464"/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4"/>
      <c r="O2" s="464"/>
      <c r="P2" s="464"/>
      <c r="Q2" s="464"/>
      <c r="R2" s="464"/>
      <c r="S2" s="464"/>
      <c r="T2" s="464"/>
      <c r="U2" s="464"/>
      <c r="V2" s="464"/>
      <c r="W2" s="464"/>
    </row>
    <row r="4" spans="1:37" ht="70">
      <c r="A4" s="19" t="s">
        <v>0</v>
      </c>
      <c r="B4" s="477" t="s">
        <v>1</v>
      </c>
      <c r="C4" s="477" t="s">
        <v>2</v>
      </c>
      <c r="D4" s="477" t="s">
        <v>3</v>
      </c>
      <c r="E4" s="477" t="s">
        <v>4</v>
      </c>
      <c r="F4" s="477" t="s">
        <v>5</v>
      </c>
      <c r="G4" s="477" t="s">
        <v>6</v>
      </c>
      <c r="H4" s="477" t="s">
        <v>7</v>
      </c>
      <c r="I4" s="477" t="s">
        <v>9</v>
      </c>
      <c r="J4" s="477" t="s">
        <v>318</v>
      </c>
      <c r="K4" s="477" t="s">
        <v>10</v>
      </c>
      <c r="L4" s="477" t="s">
        <v>11</v>
      </c>
      <c r="M4" s="2" t="s">
        <v>627</v>
      </c>
      <c r="N4" s="477" t="s">
        <v>628</v>
      </c>
      <c r="O4" s="477" t="s">
        <v>629</v>
      </c>
      <c r="P4" s="477" t="s">
        <v>12</v>
      </c>
      <c r="Q4" s="477" t="s">
        <v>630</v>
      </c>
      <c r="R4" s="477" t="s">
        <v>631</v>
      </c>
      <c r="S4" s="477" t="s">
        <v>632</v>
      </c>
      <c r="T4" s="477" t="s">
        <v>633</v>
      </c>
      <c r="U4" s="477" t="s">
        <v>634</v>
      </c>
      <c r="V4" s="477" t="s">
        <v>13</v>
      </c>
      <c r="W4" s="477" t="s">
        <v>14</v>
      </c>
      <c r="X4" s="477" t="s">
        <v>15</v>
      </c>
      <c r="Y4" s="477" t="s">
        <v>523</v>
      </c>
      <c r="Z4" s="477" t="s">
        <v>140</v>
      </c>
      <c r="AA4" s="477" t="s">
        <v>635</v>
      </c>
      <c r="AB4" s="477" t="s">
        <v>16</v>
      </c>
      <c r="AK4" s="478"/>
    </row>
    <row r="5" spans="1:37" ht="18.75" customHeight="1">
      <c r="A5" s="479"/>
      <c r="B5" s="479"/>
      <c r="C5" s="479"/>
      <c r="D5" s="480"/>
      <c r="E5" s="480"/>
      <c r="F5" s="480"/>
      <c r="G5" s="480"/>
      <c r="H5" s="480"/>
      <c r="I5" s="480"/>
      <c r="J5" s="480"/>
      <c r="K5" s="480"/>
      <c r="L5" s="480"/>
      <c r="M5" s="480"/>
      <c r="N5" s="480"/>
      <c r="O5" s="480"/>
      <c r="P5" s="480"/>
      <c r="Q5" s="480"/>
      <c r="R5" s="480"/>
      <c r="S5" s="480"/>
      <c r="T5" s="480">
        <f>P5-M5+R5</f>
        <v>0</v>
      </c>
      <c r="U5" s="480">
        <f>N5-T5</f>
        <v>0</v>
      </c>
      <c r="V5" s="480"/>
      <c r="W5" s="480"/>
      <c r="X5" s="480"/>
      <c r="Y5" s="480"/>
      <c r="Z5" s="479"/>
      <c r="AA5" s="606"/>
      <c r="AB5" s="479"/>
      <c r="AK5" s="482"/>
    </row>
    <row r="6" spans="1:37" ht="28">
      <c r="A6" s="479">
        <f>A5+1</f>
        <v>1</v>
      </c>
      <c r="B6" s="479">
        <v>1497</v>
      </c>
      <c r="C6" s="479" t="s">
        <v>106</v>
      </c>
      <c r="D6" s="480">
        <f>'תקציב אגף תקשוב 2019'!D7</f>
        <v>8820000</v>
      </c>
      <c r="E6" s="480">
        <f>'תקציב אגף תקשוב 2019'!E7</f>
        <v>8820000</v>
      </c>
      <c r="F6" s="480">
        <f>'תקציב אגף תקשוב 2019'!F7</f>
        <v>0</v>
      </c>
      <c r="G6" s="480">
        <f>'תקציב אגף תקשוב 2019'!G7</f>
        <v>2798000</v>
      </c>
      <c r="H6" s="480">
        <f>'תקציב אגף תקשוב 2019'!H7</f>
        <v>2504763.06</v>
      </c>
      <c r="I6" s="480">
        <f>'תקציב אגף תקשוב 2019'!I7</f>
        <v>136200</v>
      </c>
      <c r="J6" s="480">
        <f>'תקציב אגף תקשוב 2019'!J7</f>
        <v>101825</v>
      </c>
      <c r="K6" s="480">
        <f>'תקציב אגף תקשוב 2019'!K7</f>
        <v>238025</v>
      </c>
      <c r="L6" s="480">
        <f>'תקציב אגף תקשוב 2019'!L7</f>
        <v>2742788.06</v>
      </c>
      <c r="M6" s="480">
        <f>'תקציב אגף תקשוב 2019'!M7</f>
        <v>30212</v>
      </c>
      <c r="N6" s="480">
        <f>'תקציב אגף תקשוב 2019'!N7</f>
        <v>150000</v>
      </c>
      <c r="O6" s="480">
        <f>'תקציב אגף תקשוב 2019'!O7</f>
        <v>5896999.9399999995</v>
      </c>
      <c r="P6" s="480">
        <f>'תקציב אגף תקשוב 2019'!P7</f>
        <v>55211.939999999944</v>
      </c>
      <c r="Q6" s="480">
        <f>'תקציב אגף תקשוב 2019'!Q7</f>
        <v>0</v>
      </c>
      <c r="R6" s="480">
        <f>'תקציב אגף תקשוב 2019'!R7</f>
        <v>0</v>
      </c>
      <c r="S6" s="480">
        <f>'תקציב אגף תקשוב 2019'!S7</f>
        <v>0</v>
      </c>
      <c r="T6" s="480">
        <f>'תקציב אגף תקשוב 2019'!T7</f>
        <v>24999.939999999944</v>
      </c>
      <c r="U6" s="480">
        <f>'תקציב אגף תקשוב 2019'!U7</f>
        <v>125000.06000000006</v>
      </c>
      <c r="V6" s="480">
        <f>'תקציב אגף תקשוב 2019'!V7</f>
        <v>0</v>
      </c>
      <c r="W6" s="480">
        <f>'תקציב אגף תקשוב 2019'!W7</f>
        <v>125000.06000000006</v>
      </c>
      <c r="X6" s="480">
        <f>'תקציב אגף תקשוב 2019'!X7</f>
        <v>0</v>
      </c>
      <c r="Y6" s="480">
        <f>'תקציב אגף תקשוב 2019'!Y7</f>
        <v>0</v>
      </c>
      <c r="Z6" s="480">
        <f>'תקציב אגף תקשוב 2019'!Z7</f>
        <v>0</v>
      </c>
      <c r="AA6" s="607" t="str">
        <f>'תקציב אגף תקשוב 2019'!AA7</f>
        <v>תוספות שינויים ושיפורים שדרוג מערכות הליבה החברה לאוטומציה.</v>
      </c>
      <c r="AB6" s="253">
        <f>'תקציב אגף תקשוב 2019'!AB7</f>
        <v>610000</v>
      </c>
      <c r="AH6" s="484"/>
      <c r="AK6" s="482"/>
    </row>
    <row r="7" spans="1:37" s="489" customFormat="1">
      <c r="A7" s="485"/>
      <c r="B7" s="485"/>
      <c r="C7" s="485" t="s">
        <v>1212</v>
      </c>
      <c r="D7" s="487">
        <f>SUM(D6)</f>
        <v>8820000</v>
      </c>
      <c r="E7" s="487">
        <f t="shared" ref="E7:Z7" si="0">SUM(E6)</f>
        <v>8820000</v>
      </c>
      <c r="F7" s="487">
        <f t="shared" si="0"/>
        <v>0</v>
      </c>
      <c r="G7" s="487">
        <f t="shared" si="0"/>
        <v>2798000</v>
      </c>
      <c r="H7" s="487">
        <f t="shared" si="0"/>
        <v>2504763.06</v>
      </c>
      <c r="I7" s="487">
        <f t="shared" si="0"/>
        <v>136200</v>
      </c>
      <c r="J7" s="487">
        <f t="shared" si="0"/>
        <v>101825</v>
      </c>
      <c r="K7" s="487">
        <f t="shared" si="0"/>
        <v>238025</v>
      </c>
      <c r="L7" s="487">
        <f t="shared" si="0"/>
        <v>2742788.06</v>
      </c>
      <c r="M7" s="487">
        <f t="shared" si="0"/>
        <v>30212</v>
      </c>
      <c r="N7" s="487">
        <f t="shared" si="0"/>
        <v>150000</v>
      </c>
      <c r="O7" s="487">
        <f t="shared" si="0"/>
        <v>5896999.9399999995</v>
      </c>
      <c r="P7" s="487">
        <f t="shared" si="0"/>
        <v>55211.939999999944</v>
      </c>
      <c r="Q7" s="487">
        <f t="shared" si="0"/>
        <v>0</v>
      </c>
      <c r="R7" s="487">
        <f t="shared" si="0"/>
        <v>0</v>
      </c>
      <c r="S7" s="487">
        <f t="shared" si="0"/>
        <v>0</v>
      </c>
      <c r="T7" s="487">
        <f t="shared" si="0"/>
        <v>24999.939999999944</v>
      </c>
      <c r="U7" s="487">
        <f t="shared" si="0"/>
        <v>125000.06000000006</v>
      </c>
      <c r="V7" s="487">
        <f t="shared" si="0"/>
        <v>0</v>
      </c>
      <c r="W7" s="487">
        <f t="shared" si="0"/>
        <v>125000.06000000006</v>
      </c>
      <c r="X7" s="487">
        <f t="shared" si="0"/>
        <v>0</v>
      </c>
      <c r="Y7" s="487">
        <f t="shared" si="0"/>
        <v>0</v>
      </c>
      <c r="Z7" s="487">
        <f t="shared" si="0"/>
        <v>0</v>
      </c>
      <c r="AA7" s="477"/>
      <c r="AB7" s="257"/>
      <c r="AC7" s="633"/>
      <c r="AD7" s="634"/>
      <c r="AE7" s="634"/>
      <c r="AF7" s="634"/>
      <c r="AG7" s="634"/>
      <c r="AH7" s="635"/>
      <c r="AI7" s="633"/>
      <c r="AJ7" s="633"/>
      <c r="AK7" s="636"/>
    </row>
    <row r="8" spans="1:37" ht="28">
      <c r="A8" s="479">
        <f>A6+1</f>
        <v>2</v>
      </c>
      <c r="B8" s="479">
        <v>1982</v>
      </c>
      <c r="C8" s="479" t="s">
        <v>824</v>
      </c>
      <c r="D8" s="480">
        <f>'תקציב אגף תקשוב 2019'!D10</f>
        <v>19700000</v>
      </c>
      <c r="E8" s="480">
        <f>'תקציב אגף תקשוב 2019'!E10</f>
        <v>22500000</v>
      </c>
      <c r="F8" s="480">
        <f>'תקציב אגף תקשוב 2019'!F10</f>
        <v>-2800000</v>
      </c>
      <c r="G8" s="480">
        <f>'תקציב אגף תקשוב 2019'!G10</f>
        <v>7050000</v>
      </c>
      <c r="H8" s="480">
        <f>'תקציב אגף תקשוב 2019'!H10</f>
        <v>75360</v>
      </c>
      <c r="I8" s="480">
        <f>'תקציב אגף תקשוב 2019'!I10</f>
        <v>5477214</v>
      </c>
      <c r="J8" s="480">
        <f>'תקציב אגף תקשוב 2019'!J10</f>
        <v>24092</v>
      </c>
      <c r="K8" s="480">
        <f>'תקציב אגף תקשוב 2019'!K10</f>
        <v>5501306</v>
      </c>
      <c r="L8" s="480">
        <f>'תקציב אגף תקשוב 2019'!L10</f>
        <v>5576666</v>
      </c>
      <c r="M8" s="480">
        <f>'תקציב אגף תקשוב 2019'!M10</f>
        <v>1473334</v>
      </c>
      <c r="N8" s="480">
        <f>'תקציב אגף תקשוב 2019'!N10</f>
        <v>5000000</v>
      </c>
      <c r="O8" s="480">
        <f>'תקציב אגף תקשוב 2019'!O10</f>
        <v>7650000</v>
      </c>
      <c r="P8" s="480">
        <f>'תקציב אגף תקשוב 2019'!P10</f>
        <v>1473334</v>
      </c>
      <c r="Q8" s="480">
        <f>'תקציב אגף תקשוב 2019'!Q10</f>
        <v>0</v>
      </c>
      <c r="R8" s="480">
        <f>'תקציב אגף תקשוב 2019'!R10</f>
        <v>0</v>
      </c>
      <c r="S8" s="480">
        <f>'תקציב אגף תקשוב 2019'!S10</f>
        <v>0</v>
      </c>
      <c r="T8" s="480">
        <f>'תקציב אגף תקשוב 2019'!T10</f>
        <v>0</v>
      </c>
      <c r="U8" s="480">
        <f>'תקציב אגף תקשוב 2019'!U10</f>
        <v>5000000</v>
      </c>
      <c r="V8" s="480">
        <f>'תקציב אגף תקשוב 2019'!V10</f>
        <v>2000000</v>
      </c>
      <c r="W8" s="480">
        <f>'תקציב אגף תקשוב 2019'!W10</f>
        <v>3000000</v>
      </c>
      <c r="X8" s="480">
        <f>'תקציב אגף תקשוב 2019'!X10</f>
        <v>0</v>
      </c>
      <c r="Y8" s="480">
        <f>'תקציב אגף תקשוב 2019'!Y10</f>
        <v>0</v>
      </c>
      <c r="Z8" s="480">
        <f>'תקציב אגף תקשוב 2019'!Z10</f>
        <v>0</v>
      </c>
      <c r="AA8" s="607" t="str">
        <f>'תקציב אגף תקשוב 2019'!AA10</f>
        <v>מערכות מתקדמות לעיר חכמה כולל שו"ב מצלמות וציוד נלווה.</v>
      </c>
      <c r="AB8" s="253">
        <f>'תקציב אגף תקשוב 2019'!AB10</f>
        <v>722000</v>
      </c>
      <c r="AH8" s="484"/>
      <c r="AK8" s="482"/>
    </row>
    <row r="9" spans="1:37" s="489" customFormat="1">
      <c r="A9" s="485"/>
      <c r="B9" s="485"/>
      <c r="C9" s="485" t="s">
        <v>1213</v>
      </c>
      <c r="D9" s="487">
        <f>SUM(D8)</f>
        <v>19700000</v>
      </c>
      <c r="E9" s="487">
        <f t="shared" ref="E9:Z9" si="1">SUM(E8)</f>
        <v>22500000</v>
      </c>
      <c r="F9" s="487">
        <f t="shared" si="1"/>
        <v>-2800000</v>
      </c>
      <c r="G9" s="487">
        <f t="shared" si="1"/>
        <v>7050000</v>
      </c>
      <c r="H9" s="487">
        <f t="shared" si="1"/>
        <v>75360</v>
      </c>
      <c r="I9" s="487">
        <f t="shared" si="1"/>
        <v>5477214</v>
      </c>
      <c r="J9" s="487">
        <f t="shared" si="1"/>
        <v>24092</v>
      </c>
      <c r="K9" s="487">
        <f t="shared" si="1"/>
        <v>5501306</v>
      </c>
      <c r="L9" s="487">
        <f t="shared" si="1"/>
        <v>5576666</v>
      </c>
      <c r="M9" s="487">
        <f t="shared" si="1"/>
        <v>1473334</v>
      </c>
      <c r="N9" s="487">
        <f t="shared" si="1"/>
        <v>5000000</v>
      </c>
      <c r="O9" s="487">
        <f t="shared" si="1"/>
        <v>7650000</v>
      </c>
      <c r="P9" s="487">
        <f t="shared" si="1"/>
        <v>1473334</v>
      </c>
      <c r="Q9" s="487">
        <f t="shared" si="1"/>
        <v>0</v>
      </c>
      <c r="R9" s="487">
        <f t="shared" si="1"/>
        <v>0</v>
      </c>
      <c r="S9" s="487">
        <f t="shared" si="1"/>
        <v>0</v>
      </c>
      <c r="T9" s="487">
        <f t="shared" si="1"/>
        <v>0</v>
      </c>
      <c r="U9" s="487">
        <f t="shared" si="1"/>
        <v>5000000</v>
      </c>
      <c r="V9" s="487">
        <f t="shared" si="1"/>
        <v>2000000</v>
      </c>
      <c r="W9" s="487">
        <f t="shared" si="1"/>
        <v>3000000</v>
      </c>
      <c r="X9" s="487">
        <f t="shared" si="1"/>
        <v>0</v>
      </c>
      <c r="Y9" s="487">
        <f t="shared" si="1"/>
        <v>0</v>
      </c>
      <c r="Z9" s="487">
        <f t="shared" si="1"/>
        <v>0</v>
      </c>
      <c r="AA9" s="477"/>
      <c r="AB9" s="257"/>
      <c r="AC9" s="633"/>
      <c r="AD9" s="634"/>
      <c r="AE9" s="634"/>
      <c r="AF9" s="634"/>
      <c r="AG9" s="634"/>
      <c r="AH9" s="635"/>
      <c r="AI9" s="633"/>
      <c r="AJ9" s="633"/>
      <c r="AK9" s="636"/>
    </row>
    <row r="10" spans="1:37" ht="42">
      <c r="A10" s="479">
        <f>A8+1</f>
        <v>3</v>
      </c>
      <c r="B10" s="479">
        <v>1002</v>
      </c>
      <c r="C10" s="479" t="s">
        <v>246</v>
      </c>
      <c r="D10" s="480">
        <f>'תקציב אגף תקשוב 2019'!D6</f>
        <v>2290000</v>
      </c>
      <c r="E10" s="480">
        <f>'תקציב אגף תקשוב 2019'!E6</f>
        <v>2290000</v>
      </c>
      <c r="F10" s="480">
        <f>'תקציב אגף תקשוב 2019'!F6</f>
        <v>0</v>
      </c>
      <c r="G10" s="480">
        <f>'תקציב אגף תקשוב 2019'!G6</f>
        <v>2060000</v>
      </c>
      <c r="H10" s="480">
        <f>'תקציב אגף תקשוב 2019'!H6</f>
        <v>2028624.26</v>
      </c>
      <c r="I10" s="480">
        <f>'תקציב אגף תקשוב 2019'!I6</f>
        <v>0</v>
      </c>
      <c r="J10" s="480">
        <f>'תקציב אגף תקשוב 2019'!J6</f>
        <v>30402</v>
      </c>
      <c r="K10" s="480">
        <f>'תקציב אגף תקשוב 2019'!K6</f>
        <v>30402</v>
      </c>
      <c r="L10" s="480">
        <f>'תקציב אגף תקשוב 2019'!L6</f>
        <v>2059026.26</v>
      </c>
      <c r="M10" s="480">
        <f>'תקציב אגף תקשוב 2019'!M6</f>
        <v>973.73999999999069</v>
      </c>
      <c r="N10" s="480">
        <f>'תקציב אגף תקשוב 2019'!N6</f>
        <v>100000</v>
      </c>
      <c r="O10" s="480">
        <f>'תקציב אגף תקשוב 2019'!O6</f>
        <v>130000</v>
      </c>
      <c r="P10" s="480">
        <f>'תקציב אגף תקשוב 2019'!P6</f>
        <v>973.73999999999069</v>
      </c>
      <c r="Q10" s="480">
        <f>'תקציב אגף תקשוב 2019'!Q6</f>
        <v>0</v>
      </c>
      <c r="R10" s="480">
        <f>'תקציב אגף תקשוב 2019'!R6</f>
        <v>0</v>
      </c>
      <c r="S10" s="480">
        <f>'תקציב אגף תקשוב 2019'!S6</f>
        <v>0</v>
      </c>
      <c r="T10" s="480">
        <f>'תקציב אגף תקשוב 2019'!T6</f>
        <v>0</v>
      </c>
      <c r="U10" s="480">
        <f>'תקציב אגף תקשוב 2019'!U6</f>
        <v>100000</v>
      </c>
      <c r="V10" s="480">
        <f>'תקציב אגף תקשוב 2019'!V6</f>
        <v>0</v>
      </c>
      <c r="W10" s="480">
        <f>'תקציב אגף תקשוב 2019'!W6</f>
        <v>100000</v>
      </c>
      <c r="X10" s="480">
        <f>'תקציב אגף תקשוב 2019'!X6</f>
        <v>0</v>
      </c>
      <c r="Y10" s="480">
        <f>'תקציב אגף תקשוב 2019'!Y6</f>
        <v>0</v>
      </c>
      <c r="Z10" s="480">
        <f>'תקציב אגף תקשוב 2019'!Z6</f>
        <v>0</v>
      </c>
      <c r="AA10" s="607" t="str">
        <f>'תקציב אגף תקשוב 2019'!AA6</f>
        <v>פרויקט המושתת על מערכת GIS: שדרוג, הרחבת שרתים,תוספות לאפליקציות חדשות.</v>
      </c>
      <c r="AB10" s="253">
        <f>'תקציב אגף תקשוב 2019'!AB6</f>
        <v>760000</v>
      </c>
      <c r="AH10" s="484"/>
      <c r="AK10" s="482"/>
    </row>
    <row r="11" spans="1:37" ht="42">
      <c r="A11" s="479">
        <f>A10+1</f>
        <v>4</v>
      </c>
      <c r="B11" s="479">
        <v>1871</v>
      </c>
      <c r="C11" s="479" t="s">
        <v>826</v>
      </c>
      <c r="D11" s="480">
        <f>'תקציב אגף תקשוב 2019'!D9</f>
        <v>6000000</v>
      </c>
      <c r="E11" s="480">
        <f>'תקציב אגף תקשוב 2019'!E9</f>
        <v>3200000</v>
      </c>
      <c r="F11" s="480">
        <f>'תקציב אגף תקשוב 2019'!F9</f>
        <v>2800000</v>
      </c>
      <c r="G11" s="480">
        <f>'תקציב אגף תקשוב 2019'!G9</f>
        <v>1990000</v>
      </c>
      <c r="H11" s="480">
        <f>'תקציב אגף תקשוב 2019'!H9</f>
        <v>0</v>
      </c>
      <c r="I11" s="480">
        <f>'תקציב אגף תקשוב 2019'!I9</f>
        <v>0</v>
      </c>
      <c r="J11" s="480">
        <f>'תקציב אגף תקשוב 2019'!J9</f>
        <v>0</v>
      </c>
      <c r="K11" s="480">
        <f>'תקציב אגף תקשוב 2019'!K9</f>
        <v>0</v>
      </c>
      <c r="L11" s="480">
        <f>'תקציב אגף תקשוב 2019'!L9</f>
        <v>0</v>
      </c>
      <c r="M11" s="480">
        <f>'תקציב אגף תקשוב 2019'!M9</f>
        <v>1990000</v>
      </c>
      <c r="N11" s="480">
        <f>'תקציב אגף תקשוב 2019'!N9</f>
        <v>3000000</v>
      </c>
      <c r="O11" s="480">
        <f>'תקציב אגף תקשוב 2019'!O9</f>
        <v>1010000</v>
      </c>
      <c r="P11" s="480">
        <f>'תקציב אגף תקשוב 2019'!P9</f>
        <v>1990000</v>
      </c>
      <c r="Q11" s="480">
        <f>'תקציב אגף תקשוב 2019'!Q9</f>
        <v>0</v>
      </c>
      <c r="R11" s="480">
        <f>'תקציב אגף תקשוב 2019'!R9</f>
        <v>0</v>
      </c>
      <c r="S11" s="480">
        <f>'תקציב אגף תקשוב 2019'!S9</f>
        <v>0</v>
      </c>
      <c r="T11" s="480">
        <f>'תקציב אגף תקשוב 2019'!T9</f>
        <v>0</v>
      </c>
      <c r="U11" s="480">
        <f>'תקציב אגף תקשוב 2019'!U9</f>
        <v>3000000</v>
      </c>
      <c r="V11" s="480">
        <f>'תקציב אגף תקשוב 2019'!V9</f>
        <v>3000000</v>
      </c>
      <c r="W11" s="480">
        <f>'תקציב אגף תקשוב 2019'!W9</f>
        <v>0</v>
      </c>
      <c r="X11" s="480">
        <f>'תקציב אגף תקשוב 2019'!X9</f>
        <v>0</v>
      </c>
      <c r="Y11" s="480">
        <f>'תקציב אגף תקשוב 2019'!Y9</f>
        <v>0</v>
      </c>
      <c r="Z11" s="480">
        <f>'תקציב אגף תקשוב 2019'!Z9</f>
        <v>0</v>
      </c>
      <c r="AA11" s="607" t="str">
        <f>'תקציב אגף תקשוב 2019'!AA9</f>
        <v>תשתיות תקשורת אלחוטית וסיבים אופטיים לעיר חכמה במוס"ח וברחבי העיר בהתאם לתוכנית רב שנתית.</v>
      </c>
      <c r="AB11" s="253">
        <f>'תקציב אגף תקשוב 2019'!AB9</f>
        <v>760000</v>
      </c>
      <c r="AH11" s="484"/>
      <c r="AK11" s="482"/>
    </row>
    <row r="12" spans="1:37" ht="70">
      <c r="A12" s="479">
        <f>A11+1</f>
        <v>5</v>
      </c>
      <c r="B12" s="479">
        <v>2081</v>
      </c>
      <c r="C12" s="479" t="s">
        <v>829</v>
      </c>
      <c r="D12" s="480">
        <f>'תקציב אגף תקשוב 2019'!D11</f>
        <v>1500000</v>
      </c>
      <c r="E12" s="480">
        <f>'תקציב אגף תקשוב 2019'!E11</f>
        <v>0</v>
      </c>
      <c r="F12" s="480">
        <f>'תקציב אגף תקשוב 2019'!F11</f>
        <v>1500000</v>
      </c>
      <c r="G12" s="480">
        <f>'תקציב אגף תקשוב 2019'!G11</f>
        <v>0</v>
      </c>
      <c r="H12" s="480">
        <f>'תקציב אגף תקשוב 2019'!H11</f>
        <v>0</v>
      </c>
      <c r="I12" s="480">
        <f>'תקציב אגף תקשוב 2019'!I11</f>
        <v>0</v>
      </c>
      <c r="J12" s="480">
        <f>'תקציב אגף תקשוב 2019'!J11</f>
        <v>0</v>
      </c>
      <c r="K12" s="480">
        <f>'תקציב אגף תקשוב 2019'!K11</f>
        <v>0</v>
      </c>
      <c r="L12" s="480">
        <f>'תקציב אגף תקשוב 2019'!L11</f>
        <v>0</v>
      </c>
      <c r="M12" s="480">
        <f>'תקציב אגף תקשוב 2019'!M11</f>
        <v>0</v>
      </c>
      <c r="N12" s="480">
        <f>'תקציב אגף תקשוב 2019'!N11</f>
        <v>850000</v>
      </c>
      <c r="O12" s="480">
        <f>'תקציב אגף תקשוב 2019'!O11</f>
        <v>650000</v>
      </c>
      <c r="P12" s="480">
        <f>'תקציב אגף תקשוב 2019'!P11</f>
        <v>0</v>
      </c>
      <c r="Q12" s="480">
        <f>'תקציב אגף תקשוב 2019'!Q11</f>
        <v>0</v>
      </c>
      <c r="R12" s="480">
        <f>'תקציב אגף תקשוב 2019'!R11</f>
        <v>0</v>
      </c>
      <c r="S12" s="480">
        <f>'תקציב אגף תקשוב 2019'!S11</f>
        <v>0</v>
      </c>
      <c r="T12" s="480">
        <f>'תקציב אגף תקשוב 2019'!T11</f>
        <v>0</v>
      </c>
      <c r="U12" s="480">
        <f>'תקציב אגף תקשוב 2019'!U11</f>
        <v>850000</v>
      </c>
      <c r="V12" s="480">
        <f>'תקציב אגף תקשוב 2019'!V11</f>
        <v>450000</v>
      </c>
      <c r="W12" s="480">
        <f>'תקציב אגף תקשוב 2019'!W11</f>
        <v>400000</v>
      </c>
      <c r="X12" s="480">
        <f>'תקציב אגף תקשוב 2019'!X11</f>
        <v>0</v>
      </c>
      <c r="Y12" s="480">
        <f>'תקציב אגף תקשוב 2019'!Y11</f>
        <v>0</v>
      </c>
      <c r="Z12" s="480">
        <f>'תקציב אגף תקשוב 2019'!Z11</f>
        <v>0</v>
      </c>
      <c r="AA12" s="607" t="str">
        <f>'תקציב אגף תקשוב 2019'!AA11</f>
        <v>הקמת מרכז שליטה ובקרה  במיקום שיקבע ע"י הנהלת העיר כולל אמצעי מולטי מדיה למתן מענה לתשתית העיר החכמה. הההקמה כוללת עבודות בינוי, מולטימדיה וריהוט.</v>
      </c>
      <c r="AB12" s="253">
        <f>'תקציב אגף תקשוב 2019'!AB11</f>
        <v>760000</v>
      </c>
      <c r="AK12" s="482"/>
    </row>
    <row r="13" spans="1:37" ht="84">
      <c r="A13" s="479">
        <f>A12+1</f>
        <v>6</v>
      </c>
      <c r="B13" s="479">
        <v>2082</v>
      </c>
      <c r="C13" s="479" t="s">
        <v>830</v>
      </c>
      <c r="D13" s="480">
        <f>'תקציב אגף תקשוב 2019'!D12</f>
        <v>1000000</v>
      </c>
      <c r="E13" s="480">
        <f>'תקציב אגף תקשוב 2019'!E12</f>
        <v>0</v>
      </c>
      <c r="F13" s="480">
        <f>'תקציב אגף תקשוב 2019'!F12</f>
        <v>1000000</v>
      </c>
      <c r="G13" s="480">
        <f>'תקציב אגף תקשוב 2019'!G12</f>
        <v>0</v>
      </c>
      <c r="H13" s="480">
        <f>'תקציב אגף תקשוב 2019'!H12</f>
        <v>0</v>
      </c>
      <c r="I13" s="480">
        <f>'תקציב אגף תקשוב 2019'!I12</f>
        <v>0</v>
      </c>
      <c r="J13" s="480">
        <f>'תקציב אגף תקשוב 2019'!J12</f>
        <v>0</v>
      </c>
      <c r="K13" s="480">
        <f>'תקציב אגף תקשוב 2019'!K12</f>
        <v>0</v>
      </c>
      <c r="L13" s="480">
        <f>'תקציב אגף תקשוב 2019'!L12</f>
        <v>0</v>
      </c>
      <c r="M13" s="480">
        <f>'תקציב אגף תקשוב 2019'!M12</f>
        <v>0</v>
      </c>
      <c r="N13" s="480">
        <f>'תקציב אגף תקשוב 2019'!N12</f>
        <v>850000</v>
      </c>
      <c r="O13" s="480">
        <f>'תקציב אגף תקשוב 2019'!O12</f>
        <v>150000</v>
      </c>
      <c r="P13" s="480">
        <f>'תקציב אגף תקשוב 2019'!P12</f>
        <v>0</v>
      </c>
      <c r="Q13" s="480">
        <f>'תקציב אגף תקשוב 2019'!Q12</f>
        <v>0</v>
      </c>
      <c r="R13" s="480">
        <f>'תקציב אגף תקשוב 2019'!R12</f>
        <v>0</v>
      </c>
      <c r="S13" s="480">
        <f>'תקציב אגף תקשוב 2019'!S12</f>
        <v>0</v>
      </c>
      <c r="T13" s="480">
        <f>'תקציב אגף תקשוב 2019'!T12</f>
        <v>0</v>
      </c>
      <c r="U13" s="480">
        <f>'תקציב אגף תקשוב 2019'!U12</f>
        <v>850000</v>
      </c>
      <c r="V13" s="480">
        <f>'תקציב אגף תקשוב 2019'!V12</f>
        <v>0</v>
      </c>
      <c r="W13" s="480">
        <f>'תקציב אגף תקשוב 2019'!W12</f>
        <v>850000</v>
      </c>
      <c r="X13" s="480">
        <f>'תקציב אגף תקשוב 2019'!X12</f>
        <v>0</v>
      </c>
      <c r="Y13" s="480">
        <f>'תקציב אגף תקשוב 2019'!Y12</f>
        <v>0</v>
      </c>
      <c r="Z13" s="480">
        <f>'תקציב אגף תקשוב 2019'!Z12</f>
        <v>0</v>
      </c>
      <c r="AA13" s="607" t="str">
        <f>'תקציב אגף תקשוב 2019'!AA12</f>
        <v>הקמת אתר עירוני חדש מתקדם , ידידותי ומותאם לכלל הצרכים העירוניים כולל מימשקים לתושבים ומימשקים למערכות התפעוליות . האתר יהיה רספונסיבי  בנוסף מתן מענה לפורטל האירגוני על בסיס אותה תשתית.</v>
      </c>
      <c r="AB13" s="253">
        <f>'תקציב אגף תקשוב 2019'!AB12</f>
        <v>760000</v>
      </c>
      <c r="AK13" s="482"/>
    </row>
    <row r="14" spans="1:37" s="489" customFormat="1">
      <c r="A14" s="485"/>
      <c r="B14" s="485"/>
      <c r="C14" s="485" t="s">
        <v>1203</v>
      </c>
      <c r="D14" s="487">
        <f>SUM(D10:D13)</f>
        <v>10790000</v>
      </c>
      <c r="E14" s="487">
        <f t="shared" ref="E14:Z14" si="2">SUM(E10:E13)</f>
        <v>5490000</v>
      </c>
      <c r="F14" s="487">
        <f t="shared" si="2"/>
        <v>5300000</v>
      </c>
      <c r="G14" s="487">
        <f t="shared" si="2"/>
        <v>4050000</v>
      </c>
      <c r="H14" s="487">
        <f t="shared" si="2"/>
        <v>2028624.26</v>
      </c>
      <c r="I14" s="487">
        <f t="shared" si="2"/>
        <v>0</v>
      </c>
      <c r="J14" s="487">
        <f t="shared" si="2"/>
        <v>30402</v>
      </c>
      <c r="K14" s="487">
        <f t="shared" si="2"/>
        <v>30402</v>
      </c>
      <c r="L14" s="487">
        <f t="shared" si="2"/>
        <v>2059026.26</v>
      </c>
      <c r="M14" s="487">
        <f t="shared" si="2"/>
        <v>1990973.74</v>
      </c>
      <c r="N14" s="487">
        <f t="shared" si="2"/>
        <v>4800000</v>
      </c>
      <c r="O14" s="487">
        <f t="shared" si="2"/>
        <v>1940000</v>
      </c>
      <c r="P14" s="487">
        <f t="shared" si="2"/>
        <v>1990973.74</v>
      </c>
      <c r="Q14" s="487">
        <f t="shared" si="2"/>
        <v>0</v>
      </c>
      <c r="R14" s="487">
        <f t="shared" si="2"/>
        <v>0</v>
      </c>
      <c r="S14" s="487">
        <f t="shared" si="2"/>
        <v>0</v>
      </c>
      <c r="T14" s="487">
        <f t="shared" si="2"/>
        <v>0</v>
      </c>
      <c r="U14" s="487">
        <f t="shared" si="2"/>
        <v>4800000</v>
      </c>
      <c r="V14" s="487">
        <f t="shared" si="2"/>
        <v>3450000</v>
      </c>
      <c r="W14" s="487">
        <f t="shared" si="2"/>
        <v>1350000</v>
      </c>
      <c r="X14" s="487">
        <f t="shared" si="2"/>
        <v>0</v>
      </c>
      <c r="Y14" s="487">
        <f t="shared" si="2"/>
        <v>0</v>
      </c>
      <c r="Z14" s="487">
        <f t="shared" si="2"/>
        <v>0</v>
      </c>
      <c r="AA14" s="477"/>
      <c r="AB14" s="257"/>
      <c r="AC14" s="633"/>
      <c r="AD14" s="634"/>
      <c r="AE14" s="634"/>
      <c r="AF14" s="634"/>
      <c r="AG14" s="634"/>
      <c r="AH14" s="633"/>
      <c r="AI14" s="633"/>
      <c r="AJ14" s="633"/>
      <c r="AK14" s="636"/>
    </row>
    <row r="15" spans="1:37">
      <c r="A15" s="479">
        <f>A13+1</f>
        <v>7</v>
      </c>
      <c r="B15" s="479">
        <v>1647</v>
      </c>
      <c r="C15" s="479" t="s">
        <v>828</v>
      </c>
      <c r="D15" s="480">
        <f>'תקציב אגף תקשוב 2019'!D8</f>
        <v>4700000</v>
      </c>
      <c r="E15" s="480">
        <f>'תקציב אגף תקשוב 2019'!E8</f>
        <v>4700000</v>
      </c>
      <c r="F15" s="480">
        <f>'תקציב אגף תקשוב 2019'!F8</f>
        <v>0</v>
      </c>
      <c r="G15" s="480">
        <f>'תקציב אגף תקשוב 2019'!G8</f>
        <v>4150000</v>
      </c>
      <c r="H15" s="480">
        <f>'תקציב אגף תקשוב 2019'!H8</f>
        <v>3886873</v>
      </c>
      <c r="I15" s="480">
        <f>'תקציב אגף תקשוב 2019'!I8</f>
        <v>0</v>
      </c>
      <c r="J15" s="480">
        <f>'תקציב אגף תקשוב 2019'!J8</f>
        <v>174850</v>
      </c>
      <c r="K15" s="480">
        <f>'תקציב אגף תקשוב 2019'!K8</f>
        <v>174850</v>
      </c>
      <c r="L15" s="480">
        <f>'תקציב אגף תקשוב 2019'!L8</f>
        <v>4061723</v>
      </c>
      <c r="M15" s="480">
        <f>'תקציב אגף תקשוב 2019'!M8</f>
        <v>30277</v>
      </c>
      <c r="N15" s="480">
        <f>'תקציב אגף תקשוב 2019'!N8</f>
        <v>58000</v>
      </c>
      <c r="O15" s="480">
        <f>'תקציב אגף תקשוב 2019'!O8</f>
        <v>550000</v>
      </c>
      <c r="P15" s="480">
        <f>'תקציב אגף תקשוב 2019'!P8</f>
        <v>88277</v>
      </c>
      <c r="Q15" s="480">
        <f>'תקציב אגף תקשוב 2019'!Q8</f>
        <v>0</v>
      </c>
      <c r="R15" s="480">
        <f>'תקציב אגף תקשוב 2019'!R8</f>
        <v>0</v>
      </c>
      <c r="S15" s="480">
        <f>'תקציב אגף תקשוב 2019'!S8</f>
        <v>0</v>
      </c>
      <c r="T15" s="480">
        <f>'תקציב אגף תקשוב 2019'!T8</f>
        <v>58000</v>
      </c>
      <c r="U15" s="480">
        <f>'תקציב אגף תקשוב 2019'!U8</f>
        <v>0</v>
      </c>
      <c r="V15" s="480">
        <f>'תקציב אגף תקשוב 2019'!V8</f>
        <v>0</v>
      </c>
      <c r="W15" s="480">
        <f>'תקציב אגף תקשוב 2019'!W8</f>
        <v>0</v>
      </c>
      <c r="X15" s="480">
        <f>'תקציב אגף תקשוב 2019'!X8</f>
        <v>0</v>
      </c>
      <c r="Y15" s="480">
        <f>'תקציב אגף תקשוב 2019'!Y8</f>
        <v>0</v>
      </c>
      <c r="Z15" s="480">
        <f>'תקציב אגף תקשוב 2019'!Z8</f>
        <v>0</v>
      </c>
      <c r="AA15" s="607" t="str">
        <f>'תקציב אגף תקשוב 2019'!AA8</f>
        <v>שדרוג תשתיות אינטרנט במוס"ח.</v>
      </c>
      <c r="AB15" s="253">
        <f>'תקציב אגף תקשוב 2019'!AB8</f>
        <v>810000</v>
      </c>
      <c r="AH15" s="484"/>
      <c r="AK15" s="482"/>
    </row>
    <row r="16" spans="1:37" ht="70">
      <c r="A16" s="479">
        <f>A15+1</f>
        <v>8</v>
      </c>
      <c r="B16" s="479">
        <f>'תקציב אגף תקשוב 2019'!B13</f>
        <v>2083</v>
      </c>
      <c r="C16" s="479" t="s">
        <v>1090</v>
      </c>
      <c r="D16" s="480">
        <f>'תקציב אגף תקשוב 2019'!D13</f>
        <v>5580000</v>
      </c>
      <c r="E16" s="480">
        <f>'תקציב אגף תקשוב 2019'!E13</f>
        <v>0</v>
      </c>
      <c r="F16" s="480">
        <f>'תקציב אגף תקשוב 2019'!F13</f>
        <v>5580000</v>
      </c>
      <c r="G16" s="480">
        <f>'תקציב אגף תקשוב 2019'!G13</f>
        <v>0</v>
      </c>
      <c r="H16" s="480">
        <f>'תקציב אגף תקשוב 2019'!H13</f>
        <v>0</v>
      </c>
      <c r="I16" s="480">
        <f>'תקציב אגף תקשוב 2019'!I13</f>
        <v>0</v>
      </c>
      <c r="J16" s="480">
        <f>'תקציב אגף תקשוב 2019'!J13</f>
        <v>0</v>
      </c>
      <c r="K16" s="480">
        <f>'תקציב אגף תקשוב 2019'!K13</f>
        <v>0</v>
      </c>
      <c r="L16" s="480">
        <f>'תקציב אגף תקשוב 2019'!L13</f>
        <v>0</v>
      </c>
      <c r="M16" s="480">
        <f>'תקציב אגף תקשוב 2019'!M13</f>
        <v>0</v>
      </c>
      <c r="N16" s="480">
        <f>'תקציב אגף תקשוב 2019'!N13</f>
        <v>3000000</v>
      </c>
      <c r="O16" s="480">
        <f>'תקציב אגף תקשוב 2019'!O13</f>
        <v>2580000</v>
      </c>
      <c r="P16" s="480">
        <f>'תקציב אגף תקשוב 2019'!P13</f>
        <v>0</v>
      </c>
      <c r="Q16" s="480">
        <f>'תקציב אגף תקשוב 2019'!Q13</f>
        <v>0</v>
      </c>
      <c r="R16" s="480">
        <f>'תקציב אגף תקשוב 2019'!R13</f>
        <v>0</v>
      </c>
      <c r="S16" s="480">
        <f>'תקציב אגף תקשוב 2019'!S13</f>
        <v>0</v>
      </c>
      <c r="T16" s="480">
        <f>'תקציב אגף תקשוב 2019'!T13</f>
        <v>0</v>
      </c>
      <c r="U16" s="480">
        <f>'תקציב אגף תקשוב 2019'!U13</f>
        <v>3000000</v>
      </c>
      <c r="V16" s="480">
        <f>'תקציב אגף תקשוב 2019'!V13</f>
        <v>0</v>
      </c>
      <c r="W16" s="480">
        <f>'תקציב אגף תקשוב 2019'!W13</f>
        <v>0</v>
      </c>
      <c r="X16" s="480">
        <f>'תקציב אגף תקשוב 2019'!X13</f>
        <v>0</v>
      </c>
      <c r="Y16" s="480">
        <f>'תקציב אגף תקשוב 2019'!Y13</f>
        <v>0</v>
      </c>
      <c r="Z16" s="480">
        <f>'תקציב אגף תקשוב 2019'!Z13</f>
        <v>3000000</v>
      </c>
      <c r="AA16" s="607" t="str">
        <f>'תקציב אגף תקשוב 2019'!AA13</f>
        <v xml:space="preserve">תוכנית הצטיידות למיחשוב כל מוס"ח ביחס של 1:5.החלפת מחשבים ניידים והשלמה למורים חדשים,החלפת מקרנים מעבדות, החלפת מחשבים מזכירויות, מקרנים גנ"י. תוכנית רב שנתית. </v>
      </c>
      <c r="AB16" s="253">
        <f>'תקציב אגף תקשוב 2019'!AB13</f>
        <v>810000</v>
      </c>
      <c r="AK16" s="482"/>
    </row>
    <row r="17" spans="1:38" s="489" customFormat="1">
      <c r="A17" s="485"/>
      <c r="B17" s="485"/>
      <c r="C17" s="485" t="s">
        <v>1214</v>
      </c>
      <c r="D17" s="487">
        <f>SUM(D15:D16)</f>
        <v>10280000</v>
      </c>
      <c r="E17" s="487">
        <f t="shared" ref="E17:Z17" si="3">SUM(E15:E16)</f>
        <v>4700000</v>
      </c>
      <c r="F17" s="487">
        <f t="shared" si="3"/>
        <v>5580000</v>
      </c>
      <c r="G17" s="487">
        <f t="shared" si="3"/>
        <v>4150000</v>
      </c>
      <c r="H17" s="487">
        <f t="shared" si="3"/>
        <v>3886873</v>
      </c>
      <c r="I17" s="487">
        <f t="shared" si="3"/>
        <v>0</v>
      </c>
      <c r="J17" s="487">
        <f t="shared" si="3"/>
        <v>174850</v>
      </c>
      <c r="K17" s="487">
        <f t="shared" si="3"/>
        <v>174850</v>
      </c>
      <c r="L17" s="487">
        <f t="shared" si="3"/>
        <v>4061723</v>
      </c>
      <c r="M17" s="487">
        <f t="shared" si="3"/>
        <v>30277</v>
      </c>
      <c r="N17" s="487">
        <f t="shared" si="3"/>
        <v>3058000</v>
      </c>
      <c r="O17" s="487">
        <f t="shared" si="3"/>
        <v>3130000</v>
      </c>
      <c r="P17" s="487">
        <f t="shared" si="3"/>
        <v>88277</v>
      </c>
      <c r="Q17" s="487">
        <f t="shared" si="3"/>
        <v>0</v>
      </c>
      <c r="R17" s="487">
        <f t="shared" si="3"/>
        <v>0</v>
      </c>
      <c r="S17" s="487">
        <f t="shared" si="3"/>
        <v>0</v>
      </c>
      <c r="T17" s="487">
        <f t="shared" si="3"/>
        <v>58000</v>
      </c>
      <c r="U17" s="487">
        <f t="shared" si="3"/>
        <v>3000000</v>
      </c>
      <c r="V17" s="487">
        <f t="shared" si="3"/>
        <v>0</v>
      </c>
      <c r="W17" s="487">
        <f t="shared" si="3"/>
        <v>0</v>
      </c>
      <c r="X17" s="487">
        <f t="shared" si="3"/>
        <v>0</v>
      </c>
      <c r="Y17" s="487">
        <f t="shared" si="3"/>
        <v>0</v>
      </c>
      <c r="Z17" s="487">
        <f t="shared" si="3"/>
        <v>3000000</v>
      </c>
      <c r="AA17" s="477"/>
      <c r="AB17" s="257"/>
      <c r="AC17" s="633"/>
      <c r="AD17" s="634"/>
      <c r="AE17" s="634"/>
      <c r="AF17" s="634"/>
      <c r="AG17" s="634"/>
      <c r="AH17" s="633"/>
      <c r="AI17" s="633"/>
      <c r="AJ17" s="633"/>
      <c r="AK17" s="636"/>
    </row>
    <row r="18" spans="1:38" s="489" customFormat="1" ht="28">
      <c r="A18" s="485">
        <f>A16</f>
        <v>8</v>
      </c>
      <c r="B18" s="485"/>
      <c r="C18" s="486" t="s">
        <v>1161</v>
      </c>
      <c r="D18" s="487">
        <f>D17+D14+D9+D7</f>
        <v>49590000</v>
      </c>
      <c r="E18" s="487">
        <f t="shared" ref="E18:Z18" si="4">E17+E14+E9+E7</f>
        <v>41510000</v>
      </c>
      <c r="F18" s="487">
        <f t="shared" si="4"/>
        <v>8080000</v>
      </c>
      <c r="G18" s="487">
        <f t="shared" si="4"/>
        <v>18048000</v>
      </c>
      <c r="H18" s="487">
        <f t="shared" si="4"/>
        <v>8495620.3200000003</v>
      </c>
      <c r="I18" s="487">
        <f t="shared" si="4"/>
        <v>5613414</v>
      </c>
      <c r="J18" s="487">
        <f t="shared" si="4"/>
        <v>331169</v>
      </c>
      <c r="K18" s="487">
        <f t="shared" si="4"/>
        <v>5944583</v>
      </c>
      <c r="L18" s="487">
        <f t="shared" si="4"/>
        <v>14440203.32</v>
      </c>
      <c r="M18" s="487">
        <f t="shared" si="4"/>
        <v>3524796.74</v>
      </c>
      <c r="N18" s="487">
        <f t="shared" si="4"/>
        <v>13008000</v>
      </c>
      <c r="O18" s="487">
        <f t="shared" si="4"/>
        <v>18616999.939999998</v>
      </c>
      <c r="P18" s="487">
        <f t="shared" si="4"/>
        <v>3607796.68</v>
      </c>
      <c r="Q18" s="487">
        <f t="shared" si="4"/>
        <v>0</v>
      </c>
      <c r="R18" s="487">
        <f t="shared" si="4"/>
        <v>0</v>
      </c>
      <c r="S18" s="487">
        <f t="shared" si="4"/>
        <v>0</v>
      </c>
      <c r="T18" s="487">
        <f t="shared" si="4"/>
        <v>82999.939999999944</v>
      </c>
      <c r="U18" s="487">
        <f t="shared" si="4"/>
        <v>12925000.060000001</v>
      </c>
      <c r="V18" s="487">
        <f t="shared" si="4"/>
        <v>5450000</v>
      </c>
      <c r="W18" s="487">
        <f t="shared" si="4"/>
        <v>4475000.0600000005</v>
      </c>
      <c r="X18" s="487">
        <f t="shared" si="4"/>
        <v>0</v>
      </c>
      <c r="Y18" s="487">
        <f t="shared" si="4"/>
        <v>0</v>
      </c>
      <c r="Z18" s="487">
        <f t="shared" si="4"/>
        <v>3000000</v>
      </c>
      <c r="AA18" s="608"/>
      <c r="AB18" s="485"/>
      <c r="AC18" s="471"/>
      <c r="AD18" s="470"/>
      <c r="AE18" s="470"/>
      <c r="AF18" s="470"/>
      <c r="AG18" s="470"/>
      <c r="AH18" s="484"/>
      <c r="AI18" s="471"/>
      <c r="AJ18" s="471"/>
      <c r="AL18" s="469"/>
    </row>
    <row r="19" spans="1:38" ht="18.75" customHeight="1">
      <c r="L19" s="276">
        <f>H18+K18</f>
        <v>14440203.32</v>
      </c>
      <c r="M19" s="276">
        <f>P18+S18-T18</f>
        <v>3524796.74</v>
      </c>
      <c r="P19" s="276">
        <f>G18-L18</f>
        <v>3607796.6799999997</v>
      </c>
      <c r="U19" s="276">
        <f>N18-T18</f>
        <v>12925000.060000001</v>
      </c>
    </row>
    <row r="22" spans="1:38">
      <c r="E22" s="491"/>
      <c r="F22" s="492"/>
      <c r="G22" s="492"/>
      <c r="H22" s="492"/>
      <c r="I22" s="492"/>
    </row>
    <row r="23" spans="1:38">
      <c r="A23" s="469"/>
      <c r="B23" s="469"/>
      <c r="C23" s="469"/>
      <c r="D23" s="469"/>
      <c r="E23" s="469"/>
      <c r="F23" s="469"/>
      <c r="G23" s="469"/>
      <c r="H23" s="469"/>
      <c r="I23" s="469"/>
      <c r="J23" s="469"/>
      <c r="K23" s="469"/>
      <c r="L23" s="469"/>
      <c r="M23" s="469"/>
      <c r="N23" s="469"/>
      <c r="O23" s="469"/>
      <c r="P23" s="469"/>
      <c r="Q23" s="469"/>
      <c r="R23" s="469"/>
      <c r="S23" s="469"/>
      <c r="T23" s="469"/>
      <c r="U23" s="469"/>
      <c r="V23" s="469"/>
      <c r="W23" s="469"/>
      <c r="X23" s="469"/>
      <c r="AB23" s="469"/>
      <c r="AK23" s="469"/>
    </row>
    <row r="24" spans="1:38">
      <c r="A24" s="469"/>
      <c r="B24" s="469"/>
      <c r="C24" s="469"/>
      <c r="D24" s="469"/>
      <c r="E24" s="469"/>
      <c r="F24" s="469"/>
      <c r="G24" s="469"/>
      <c r="H24" s="469"/>
      <c r="I24" s="469"/>
      <c r="J24" s="469"/>
      <c r="K24" s="469"/>
      <c r="L24" s="469"/>
      <c r="M24" s="469"/>
      <c r="N24" s="469"/>
      <c r="O24" s="469"/>
      <c r="P24" s="469"/>
      <c r="Q24" s="469"/>
      <c r="R24" s="469"/>
      <c r="S24" s="469"/>
      <c r="T24" s="469"/>
      <c r="U24" s="469"/>
      <c r="V24" s="469"/>
      <c r="W24" s="469"/>
      <c r="X24" s="469"/>
      <c r="AB24" s="469"/>
      <c r="AD24" s="469"/>
      <c r="AE24" s="469"/>
      <c r="AF24" s="469"/>
      <c r="AG24" s="469"/>
      <c r="AH24" s="469"/>
      <c r="AI24" s="469"/>
      <c r="AJ24" s="469"/>
      <c r="AK24" s="469"/>
    </row>
    <row r="25" spans="1:38">
      <c r="A25" s="469"/>
      <c r="B25" s="469"/>
      <c r="C25" s="469"/>
      <c r="D25" s="469"/>
      <c r="E25" s="469"/>
      <c r="F25" s="469"/>
      <c r="G25" s="469"/>
      <c r="H25" s="469"/>
      <c r="I25" s="469"/>
      <c r="J25" s="469"/>
      <c r="K25" s="469"/>
      <c r="L25" s="469"/>
      <c r="M25" s="469"/>
      <c r="N25" s="469"/>
      <c r="O25" s="469"/>
      <c r="P25" s="469"/>
      <c r="Q25" s="469"/>
      <c r="R25" s="469"/>
      <c r="S25" s="469"/>
      <c r="T25" s="469"/>
      <c r="U25" s="469"/>
      <c r="V25" s="469"/>
      <c r="W25" s="469"/>
      <c r="X25" s="469"/>
      <c r="AB25" s="469"/>
      <c r="AK25" s="469"/>
    </row>
    <row r="26" spans="1:38">
      <c r="A26" s="469"/>
      <c r="B26" s="469"/>
      <c r="C26" s="469"/>
      <c r="D26" s="469"/>
      <c r="E26" s="469"/>
      <c r="F26" s="469"/>
      <c r="G26" s="469"/>
      <c r="H26" s="469"/>
      <c r="I26" s="469"/>
      <c r="J26" s="469"/>
      <c r="K26" s="469"/>
      <c r="L26" s="469"/>
      <c r="M26" s="469"/>
      <c r="N26" s="469"/>
      <c r="O26" s="469"/>
      <c r="P26" s="469"/>
      <c r="Q26" s="469"/>
      <c r="R26" s="469"/>
      <c r="S26" s="469"/>
      <c r="T26" s="469"/>
      <c r="U26" s="469"/>
      <c r="V26" s="469"/>
      <c r="W26" s="469"/>
      <c r="X26" s="469"/>
      <c r="AB26" s="469"/>
      <c r="AK26" s="469"/>
    </row>
    <row r="27" spans="1:38">
      <c r="A27" s="469"/>
      <c r="B27" s="469"/>
      <c r="C27" s="469"/>
      <c r="D27" s="469"/>
      <c r="E27" s="469"/>
      <c r="F27" s="469"/>
      <c r="G27" s="469"/>
      <c r="H27" s="469"/>
      <c r="I27" s="469"/>
      <c r="J27" s="469"/>
      <c r="K27" s="469"/>
      <c r="L27" s="469"/>
      <c r="M27" s="469"/>
      <c r="N27" s="469"/>
      <c r="O27" s="469"/>
      <c r="P27" s="469"/>
      <c r="Q27" s="469"/>
      <c r="R27" s="469"/>
      <c r="S27" s="469"/>
      <c r="T27" s="469"/>
      <c r="U27" s="469"/>
      <c r="V27" s="469"/>
      <c r="W27" s="469"/>
      <c r="X27" s="469"/>
      <c r="Y27" s="469"/>
      <c r="Z27" s="469"/>
      <c r="AA27" s="609"/>
      <c r="AB27" s="469"/>
      <c r="AK27" s="469"/>
    </row>
    <row r="28" spans="1:38">
      <c r="A28" s="469"/>
      <c r="B28" s="469"/>
      <c r="C28" s="469"/>
      <c r="D28" s="469"/>
      <c r="E28" s="469"/>
      <c r="F28" s="469"/>
      <c r="G28" s="469"/>
      <c r="H28" s="469"/>
      <c r="I28" s="469"/>
      <c r="J28" s="469"/>
      <c r="K28" s="469"/>
      <c r="L28" s="469"/>
      <c r="M28" s="469"/>
      <c r="N28" s="469"/>
      <c r="O28" s="469"/>
      <c r="P28" s="469"/>
      <c r="Q28" s="469"/>
      <c r="R28" s="469"/>
      <c r="S28" s="469"/>
      <c r="T28" s="469"/>
      <c r="U28" s="469"/>
      <c r="V28" s="469"/>
      <c r="W28" s="469"/>
      <c r="X28" s="469"/>
      <c r="Y28" s="469"/>
      <c r="Z28" s="469"/>
      <c r="AA28" s="609"/>
      <c r="AB28" s="469"/>
      <c r="AK28" s="469"/>
    </row>
    <row r="29" spans="1:38">
      <c r="A29" s="469"/>
      <c r="B29" s="469"/>
      <c r="C29" s="469"/>
      <c r="D29" s="469"/>
      <c r="E29" s="469"/>
      <c r="F29" s="469"/>
      <c r="G29" s="469"/>
      <c r="H29" s="469"/>
      <c r="I29" s="469"/>
      <c r="J29" s="469"/>
      <c r="K29" s="469"/>
      <c r="L29" s="469"/>
      <c r="M29" s="469"/>
      <c r="N29" s="469"/>
      <c r="O29" s="469"/>
      <c r="P29" s="469"/>
      <c r="Q29" s="469"/>
      <c r="R29" s="469"/>
      <c r="S29" s="469"/>
      <c r="T29" s="469"/>
      <c r="U29" s="469"/>
      <c r="V29" s="469"/>
      <c r="W29" s="469"/>
      <c r="X29" s="469"/>
      <c r="Y29" s="469"/>
      <c r="Z29" s="469"/>
      <c r="AA29" s="609"/>
      <c r="AB29" s="469"/>
      <c r="AK29" s="469"/>
    </row>
    <row r="30" spans="1:38">
      <c r="A30" s="469"/>
      <c r="B30" s="469"/>
      <c r="C30" s="469"/>
      <c r="D30" s="469"/>
      <c r="E30" s="469"/>
      <c r="F30" s="469"/>
      <c r="G30" s="469"/>
      <c r="H30" s="469"/>
      <c r="I30" s="469"/>
      <c r="J30" s="469"/>
      <c r="K30" s="469"/>
      <c r="L30" s="469"/>
      <c r="M30" s="469"/>
      <c r="N30" s="469"/>
      <c r="O30" s="469"/>
      <c r="P30" s="469"/>
      <c r="Q30" s="469"/>
      <c r="R30" s="469"/>
      <c r="S30" s="469"/>
      <c r="T30" s="469"/>
      <c r="U30" s="469"/>
      <c r="V30" s="469"/>
      <c r="W30" s="469"/>
      <c r="X30" s="469"/>
      <c r="Y30" s="469"/>
      <c r="Z30" s="469"/>
      <c r="AA30" s="609"/>
      <c r="AB30" s="469"/>
      <c r="AK30" s="469"/>
    </row>
    <row r="31" spans="1:38">
      <c r="A31" s="469"/>
      <c r="B31" s="469"/>
      <c r="C31" s="469"/>
      <c r="D31" s="469"/>
      <c r="E31" s="469"/>
      <c r="F31" s="469"/>
      <c r="G31" s="469"/>
      <c r="H31" s="469"/>
      <c r="I31" s="469"/>
      <c r="J31" s="469"/>
      <c r="K31" s="469"/>
      <c r="L31" s="469"/>
      <c r="M31" s="469"/>
      <c r="N31" s="469"/>
      <c r="O31" s="469"/>
      <c r="P31" s="469"/>
      <c r="Q31" s="469"/>
      <c r="R31" s="469"/>
      <c r="S31" s="469"/>
      <c r="T31" s="469"/>
      <c r="U31" s="469"/>
      <c r="V31" s="469"/>
      <c r="W31" s="469"/>
      <c r="X31" s="469"/>
      <c r="Y31" s="469"/>
      <c r="Z31" s="469"/>
      <c r="AA31" s="609"/>
      <c r="AB31" s="469"/>
      <c r="AK31" s="469"/>
    </row>
    <row r="32" spans="1:38">
      <c r="A32" s="469"/>
      <c r="B32" s="469"/>
      <c r="C32" s="469"/>
      <c r="D32" s="469"/>
      <c r="E32" s="469"/>
      <c r="F32" s="469"/>
      <c r="G32" s="469"/>
      <c r="H32" s="469"/>
      <c r="I32" s="469"/>
      <c r="J32" s="469"/>
      <c r="K32" s="469"/>
      <c r="L32" s="469"/>
      <c r="M32" s="469"/>
      <c r="N32" s="469"/>
      <c r="O32" s="469"/>
      <c r="P32" s="469"/>
      <c r="Q32" s="469"/>
      <c r="R32" s="469"/>
      <c r="S32" s="469"/>
      <c r="T32" s="469"/>
      <c r="U32" s="469"/>
      <c r="V32" s="469"/>
      <c r="W32" s="469"/>
      <c r="X32" s="469"/>
      <c r="Y32" s="469"/>
      <c r="Z32" s="469"/>
      <c r="AA32" s="609"/>
      <c r="AB32" s="469"/>
      <c r="AK32" s="469"/>
    </row>
    <row r="35" spans="1:37">
      <c r="A35" s="469"/>
      <c r="B35" s="469"/>
      <c r="C35" s="469"/>
      <c r="D35" s="469"/>
      <c r="E35" s="469"/>
      <c r="F35" s="469"/>
      <c r="G35" s="469"/>
      <c r="H35" s="469"/>
      <c r="I35" s="469"/>
      <c r="J35" s="469"/>
      <c r="K35" s="469"/>
      <c r="L35" s="469"/>
      <c r="M35" s="469"/>
      <c r="N35" s="469"/>
      <c r="O35" s="469"/>
      <c r="P35" s="469"/>
      <c r="Q35" s="469"/>
      <c r="R35" s="469"/>
      <c r="S35" s="469"/>
      <c r="T35" s="469"/>
      <c r="U35" s="469"/>
      <c r="V35" s="469"/>
      <c r="W35" s="469"/>
      <c r="X35" s="469"/>
      <c r="Y35" s="469"/>
      <c r="Z35" s="469"/>
      <c r="AA35" s="609"/>
      <c r="AB35" s="469"/>
      <c r="AH35" s="469"/>
      <c r="AI35" s="469"/>
      <c r="AJ35" s="469"/>
      <c r="AK35" s="469"/>
    </row>
    <row r="36" spans="1:37">
      <c r="A36" s="469"/>
      <c r="B36" s="469"/>
      <c r="C36" s="469"/>
      <c r="D36" s="469"/>
      <c r="E36" s="469"/>
      <c r="F36" s="469"/>
      <c r="G36" s="469"/>
      <c r="H36" s="469"/>
      <c r="I36" s="469"/>
      <c r="J36" s="469"/>
      <c r="K36" s="469"/>
      <c r="L36" s="469"/>
      <c r="M36" s="469"/>
      <c r="N36" s="469"/>
      <c r="O36" s="469"/>
      <c r="P36" s="469"/>
      <c r="Q36" s="469"/>
      <c r="R36" s="469"/>
      <c r="S36" s="469"/>
      <c r="T36" s="469"/>
      <c r="U36" s="469"/>
      <c r="V36" s="469"/>
      <c r="W36" s="469"/>
      <c r="X36" s="469"/>
      <c r="Y36" s="469"/>
      <c r="Z36" s="469"/>
      <c r="AA36" s="609"/>
      <c r="AB36" s="469"/>
      <c r="AH36" s="469"/>
      <c r="AI36" s="469"/>
      <c r="AJ36" s="469"/>
      <c r="AK36" s="469"/>
    </row>
    <row r="37" spans="1:37">
      <c r="A37" s="469"/>
      <c r="B37" s="469"/>
      <c r="C37" s="469"/>
      <c r="D37" s="469"/>
      <c r="E37" s="469"/>
      <c r="F37" s="469"/>
      <c r="G37" s="469"/>
      <c r="H37" s="469"/>
      <c r="I37" s="469"/>
      <c r="J37" s="469"/>
      <c r="K37" s="469"/>
      <c r="L37" s="469"/>
      <c r="M37" s="469"/>
      <c r="N37" s="469"/>
      <c r="O37" s="469"/>
      <c r="P37" s="469"/>
      <c r="Q37" s="469"/>
      <c r="R37" s="469"/>
      <c r="S37" s="469"/>
      <c r="T37" s="469"/>
      <c r="U37" s="469"/>
      <c r="V37" s="469"/>
      <c r="W37" s="469"/>
      <c r="X37" s="469"/>
      <c r="Y37" s="469"/>
      <c r="Z37" s="469"/>
      <c r="AA37" s="609"/>
      <c r="AB37" s="469"/>
      <c r="AH37" s="469"/>
      <c r="AI37" s="469"/>
      <c r="AJ37" s="469"/>
      <c r="AK37" s="469"/>
    </row>
    <row r="38" spans="1:37">
      <c r="A38" s="469"/>
      <c r="B38" s="469"/>
      <c r="C38" s="469"/>
      <c r="D38" s="469"/>
      <c r="E38" s="469"/>
      <c r="F38" s="469"/>
      <c r="G38" s="469"/>
      <c r="H38" s="469"/>
      <c r="I38" s="469"/>
      <c r="J38" s="469"/>
      <c r="K38" s="469"/>
      <c r="L38" s="469"/>
      <c r="M38" s="469"/>
      <c r="N38" s="469"/>
      <c r="O38" s="469"/>
      <c r="P38" s="469"/>
      <c r="Q38" s="469"/>
      <c r="R38" s="469"/>
      <c r="S38" s="469"/>
      <c r="T38" s="469"/>
      <c r="U38" s="469"/>
      <c r="V38" s="469"/>
      <c r="W38" s="469"/>
      <c r="X38" s="469"/>
      <c r="Y38" s="469"/>
      <c r="Z38" s="469"/>
      <c r="AA38" s="609"/>
      <c r="AB38" s="469"/>
      <c r="AH38" s="469"/>
      <c r="AI38" s="469"/>
      <c r="AJ38" s="469"/>
      <c r="AK38" s="469"/>
    </row>
  </sheetData>
  <sortState ref="A6:AL13">
    <sortCondition ref="AB6:AB13"/>
  </sortState>
  <conditionalFormatting sqref="A18:B18 AD1:XFD11 Y27:AA1048576 A5:W5 AB25:AB1048576 A25:W1048576 AH25:XFD1048576 A1:W3 X1:AB5 AD18:AJ18 AL18:XFD18 B11:C11 A11:A17 AB19:AB23 A20:X23 AD19:XFD23 A19:K19 N19:O19 Q19:T19 V19:AA19 A8:C10 A6:AA7 D8:AA17 D18:AB18 AC18:AC1048576 B4:W4">
    <cfRule type="cellIs" dxfId="214" priority="33" operator="equal">
      <formula>0</formula>
    </cfRule>
  </conditionalFormatting>
  <conditionalFormatting sqref="AD25:AG1048576">
    <cfRule type="cellIs" dxfId="213" priority="28" operator="equal">
      <formula>0</formula>
    </cfRule>
  </conditionalFormatting>
  <conditionalFormatting sqref="X25:X1048576">
    <cfRule type="cellIs" dxfId="212" priority="29" operator="equal">
      <formula>0</formula>
    </cfRule>
  </conditionalFormatting>
  <conditionalFormatting sqref="Y20:AA26">
    <cfRule type="cellIs" dxfId="211" priority="26" operator="equal">
      <formula>0</formula>
    </cfRule>
  </conditionalFormatting>
  <conditionalFormatting sqref="A24:X24 AB24 AD24:XFD24">
    <cfRule type="cellIs" dxfId="210" priority="27" operator="equal">
      <formula>0</formula>
    </cfRule>
  </conditionalFormatting>
  <conditionalFormatting sqref="AC1:AC11">
    <cfRule type="cellIs" dxfId="209" priority="25" operator="equal">
      <formula>0</formula>
    </cfRule>
  </conditionalFormatting>
  <conditionalFormatting sqref="B12:C12 AD12:XFD12">
    <cfRule type="cellIs" dxfId="208" priority="24" operator="equal">
      <formula>0</formula>
    </cfRule>
  </conditionalFormatting>
  <conditionalFormatting sqref="AC12">
    <cfRule type="cellIs" dxfId="207" priority="22" operator="equal">
      <formula>0</formula>
    </cfRule>
  </conditionalFormatting>
  <conditionalFormatting sqref="AD16:AG17 AD13:AG14">
    <cfRule type="cellIs" dxfId="206" priority="21" operator="equal">
      <formula>0</formula>
    </cfRule>
  </conditionalFormatting>
  <conditionalFormatting sqref="B17:C17 AH16:XFD17 B13:C14 C16">
    <cfRule type="cellIs" dxfId="205" priority="20" operator="equal">
      <formula>0</formula>
    </cfRule>
  </conditionalFormatting>
  <conditionalFormatting sqref="B13:B14 AH13:XFD14">
    <cfRule type="cellIs" dxfId="204" priority="19" operator="equal">
      <formula>0</formula>
    </cfRule>
  </conditionalFormatting>
  <conditionalFormatting sqref="C13:C14">
    <cfRule type="cellIs" dxfId="203" priority="17" operator="equal">
      <formula>0</formula>
    </cfRule>
  </conditionalFormatting>
  <conditionalFormatting sqref="AD15:AG15">
    <cfRule type="cellIs" dxfId="202" priority="13" operator="equal">
      <formula>0</formula>
    </cfRule>
  </conditionalFormatting>
  <conditionalFormatting sqref="B15:C15 AH15:XFD15">
    <cfRule type="cellIs" dxfId="201" priority="12" operator="equal">
      <formula>0</formula>
    </cfRule>
  </conditionalFormatting>
  <conditionalFormatting sqref="AC13:AC17">
    <cfRule type="cellIs" dxfId="200" priority="4" operator="equal">
      <formula>0</formula>
    </cfRule>
  </conditionalFormatting>
  <conditionalFormatting sqref="B16">
    <cfRule type="cellIs" dxfId="199" priority="1" operator="equal">
      <formula>0</formula>
    </cfRule>
  </conditionalFormatting>
  <printOptions horizontalCentered="1"/>
  <pageMargins left="0" right="0" top="0.94488188976377963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13"/>
  <sheetViews>
    <sheetView rightToLeft="1" workbookViewId="0">
      <selection activeCell="T20" sqref="T20"/>
    </sheetView>
  </sheetViews>
  <sheetFormatPr defaultColWidth="9.1796875" defaultRowHeight="14"/>
  <cols>
    <col min="1" max="3" width="4.1796875" style="628" customWidth="1"/>
    <col min="4" max="4" width="34.81640625" style="628" customWidth="1"/>
    <col min="5" max="5" width="30.453125" style="628" customWidth="1"/>
    <col min="6" max="6" width="10.81640625" style="628" customWidth="1"/>
    <col min="7" max="7" width="5.54296875" style="628" customWidth="1"/>
    <col min="8" max="9" width="12.1796875" style="628" customWidth="1"/>
    <col min="10" max="10" width="7.81640625" style="628" customWidth="1"/>
    <col min="11" max="16384" width="9.1796875" style="628"/>
  </cols>
  <sheetData>
    <row r="3" spans="1:17" ht="20.5">
      <c r="A3" s="627"/>
      <c r="C3" s="629" t="s">
        <v>1047</v>
      </c>
      <c r="D3" s="627"/>
      <c r="E3" s="627"/>
      <c r="F3" s="627"/>
      <c r="G3" s="627"/>
      <c r="H3" s="627"/>
      <c r="I3" s="627"/>
      <c r="J3" s="627"/>
      <c r="K3" s="627"/>
      <c r="L3" s="627"/>
    </row>
    <row r="4" spans="1:17" ht="20.5">
      <c r="A4" s="627"/>
      <c r="C4" s="629"/>
      <c r="D4" s="627"/>
      <c r="E4" s="627"/>
      <c r="F4" s="627"/>
      <c r="G4" s="627"/>
      <c r="H4" s="627"/>
      <c r="I4" s="627"/>
      <c r="J4" s="627"/>
      <c r="K4" s="627"/>
      <c r="L4" s="627"/>
    </row>
    <row r="5" spans="1:17" ht="21" thickBot="1">
      <c r="A5" s="627"/>
      <c r="C5" s="629"/>
      <c r="D5" s="627"/>
      <c r="E5" s="627"/>
      <c r="F5" s="627"/>
      <c r="G5" s="627"/>
      <c r="H5" s="627"/>
      <c r="I5" s="627"/>
      <c r="J5" s="627"/>
      <c r="K5" s="627"/>
      <c r="L5" s="627"/>
    </row>
    <row r="6" spans="1:17" ht="16" thickBot="1">
      <c r="A6" s="627"/>
      <c r="B6" s="630" t="s">
        <v>344</v>
      </c>
      <c r="C6" s="627" t="s">
        <v>1205</v>
      </c>
      <c r="D6" s="627"/>
      <c r="E6" s="627"/>
      <c r="F6" s="631">
        <f>'תקציב אגף נכסים וביטוח 2019'!U23</f>
        <v>7949300</v>
      </c>
      <c r="I6" s="627"/>
      <c r="J6" s="627"/>
      <c r="K6" s="627"/>
      <c r="L6" s="627"/>
    </row>
    <row r="7" spans="1:17" ht="15.5">
      <c r="B7" s="630"/>
      <c r="C7" s="627"/>
      <c r="D7" s="627"/>
      <c r="E7" s="627"/>
      <c r="F7" s="627"/>
      <c r="H7" s="627"/>
      <c r="I7" s="627"/>
      <c r="J7" s="627"/>
      <c r="K7" s="627"/>
      <c r="L7" s="627"/>
      <c r="M7" s="627"/>
      <c r="N7" s="627"/>
      <c r="O7" s="627"/>
      <c r="P7" s="627"/>
      <c r="Q7" s="627"/>
    </row>
    <row r="8" spans="1:17" ht="15.5">
      <c r="B8" s="630" t="s">
        <v>344</v>
      </c>
      <c r="C8" s="627" t="s">
        <v>572</v>
      </c>
      <c r="D8" s="627"/>
      <c r="E8" s="627"/>
      <c r="F8" s="627"/>
      <c r="G8" s="627"/>
      <c r="H8" s="627"/>
      <c r="I8" s="627"/>
      <c r="J8" s="627"/>
      <c r="K8" s="627"/>
      <c r="L8" s="627"/>
    </row>
    <row r="9" spans="1:17" ht="15.5">
      <c r="B9" s="630"/>
      <c r="C9" s="627"/>
      <c r="D9" s="627"/>
      <c r="E9" s="627"/>
      <c r="F9" s="627"/>
      <c r="G9" s="627"/>
      <c r="H9" s="627"/>
      <c r="I9" s="627"/>
      <c r="J9" s="627"/>
      <c r="K9" s="627"/>
      <c r="L9" s="627"/>
      <c r="M9" s="627"/>
      <c r="N9" s="627"/>
      <c r="O9" s="627"/>
      <c r="P9" s="627"/>
      <c r="Q9" s="627"/>
    </row>
    <row r="10" spans="1:17" ht="15.5">
      <c r="B10" s="630" t="s">
        <v>344</v>
      </c>
      <c r="C10" s="627" t="s">
        <v>1468</v>
      </c>
      <c r="D10" s="627"/>
      <c r="F10" s="627"/>
      <c r="H10" s="632"/>
      <c r="I10" s="627"/>
      <c r="J10" s="627"/>
      <c r="K10" s="627"/>
      <c r="L10" s="627"/>
      <c r="M10" s="627"/>
      <c r="N10" s="627"/>
      <c r="O10" s="627"/>
      <c r="P10" s="627"/>
      <c r="Q10" s="627"/>
    </row>
    <row r="11" spans="1:17" ht="15.5">
      <c r="C11" s="627" t="s">
        <v>573</v>
      </c>
      <c r="D11" s="627"/>
      <c r="E11" s="627"/>
      <c r="F11" s="627"/>
      <c r="H11" s="627"/>
      <c r="I11" s="627"/>
      <c r="J11" s="627"/>
      <c r="K11" s="627"/>
      <c r="L11" s="627"/>
    </row>
    <row r="12" spans="1:17" ht="15.5">
      <c r="B12" s="630"/>
      <c r="D12" s="627"/>
      <c r="E12" s="627"/>
      <c r="F12" s="627"/>
      <c r="G12" s="627"/>
      <c r="H12" s="627"/>
      <c r="I12" s="627"/>
      <c r="J12" s="627"/>
      <c r="K12" s="627"/>
      <c r="L12" s="627"/>
      <c r="M12" s="627"/>
      <c r="N12" s="627"/>
      <c r="O12" s="627"/>
      <c r="P12" s="627"/>
      <c r="Q12" s="627"/>
    </row>
    <row r="13" spans="1:17" ht="15.5">
      <c r="B13" s="630"/>
      <c r="C13" s="627"/>
      <c r="D13" s="627"/>
      <c r="E13" s="627"/>
      <c r="F13" s="627"/>
      <c r="G13" s="627"/>
      <c r="H13" s="627"/>
      <c r="I13" s="627"/>
      <c r="J13" s="627"/>
      <c r="K13" s="627"/>
      <c r="L13" s="627"/>
      <c r="M13" s="627"/>
      <c r="N13" s="627"/>
      <c r="O13" s="627"/>
      <c r="P13" s="627"/>
      <c r="Q13" s="627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24"/>
  <sheetViews>
    <sheetView showZeros="0" rightToLeft="1" zoomScaleNormal="100" workbookViewId="0">
      <pane xSplit="3" ySplit="4" topLeftCell="D17" activePane="bottomRight" state="frozen"/>
      <selection activeCell="T20" sqref="T20"/>
      <selection pane="topRight" activeCell="T20" sqref="T20"/>
      <selection pane="bottomLeft" activeCell="T20" sqref="T20"/>
      <selection pane="bottomRight" activeCell="T20" sqref="T20"/>
    </sheetView>
  </sheetViews>
  <sheetFormatPr defaultColWidth="9.1796875" defaultRowHeight="14"/>
  <cols>
    <col min="1" max="1" width="5.26953125" style="246" customWidth="1"/>
    <col min="2" max="2" width="5.453125" style="245" customWidth="1"/>
    <col min="3" max="3" width="36.81640625" style="245" customWidth="1"/>
    <col min="4" max="4" width="11.7265625" style="249" customWidth="1"/>
    <col min="5" max="5" width="11.453125" style="249" customWidth="1"/>
    <col min="6" max="6" width="9.81640625" style="249" customWidth="1"/>
    <col min="7" max="10" width="12.7265625" style="249" hidden="1" customWidth="1"/>
    <col min="11" max="11" width="11.26953125" style="249" hidden="1" customWidth="1"/>
    <col min="12" max="12" width="11" style="249" customWidth="1"/>
    <col min="13" max="13" width="10.453125" style="249" customWidth="1"/>
    <col min="14" max="14" width="9.54296875" style="249" customWidth="1"/>
    <col min="15" max="15" width="10.7265625" style="249" customWidth="1"/>
    <col min="16" max="17" width="11.1796875" style="249" hidden="1" customWidth="1"/>
    <col min="18" max="19" width="12" style="249" hidden="1" customWidth="1"/>
    <col min="20" max="20" width="10.26953125" style="249" hidden="1" customWidth="1"/>
    <col min="21" max="21" width="9.81640625" style="245" customWidth="1"/>
    <col min="22" max="22" width="8.81640625" style="245" customWidth="1"/>
    <col min="23" max="23" width="11.81640625" style="245" hidden="1" customWidth="1"/>
    <col min="24" max="25" width="10.1796875" style="245" hidden="1" customWidth="1"/>
    <col min="26" max="26" width="9.7265625" style="245" hidden="1" customWidth="1"/>
    <col min="27" max="27" width="32.7265625" style="245" customWidth="1"/>
    <col min="28" max="28" width="7.81640625" style="245" hidden="1" customWidth="1"/>
    <col min="29" max="29" width="19.453125" style="245" customWidth="1"/>
    <col min="30" max="30" width="13.1796875" style="245" customWidth="1"/>
    <col min="31" max="16384" width="9.1796875" style="245"/>
  </cols>
  <sheetData>
    <row r="1" spans="1:31" s="278" customFormat="1" ht="18">
      <c r="A1" s="323"/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  <c r="P1" s="323"/>
      <c r="Q1" s="323"/>
      <c r="R1" s="323"/>
      <c r="S1" s="323"/>
      <c r="T1" s="323"/>
      <c r="U1" s="323"/>
      <c r="V1" s="323"/>
      <c r="W1" s="323"/>
      <c r="X1" s="323"/>
      <c r="Y1" s="323"/>
      <c r="AC1" s="245"/>
      <c r="AD1" s="245"/>
    </row>
    <row r="2" spans="1:31" ht="18">
      <c r="A2" s="323" t="s">
        <v>1047</v>
      </c>
      <c r="B2" s="323"/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  <c r="N2" s="323"/>
      <c r="O2" s="323"/>
      <c r="P2" s="323"/>
      <c r="Q2" s="323"/>
      <c r="R2" s="323"/>
      <c r="S2" s="323"/>
      <c r="T2" s="323"/>
      <c r="U2" s="323"/>
      <c r="V2" s="323"/>
      <c r="W2" s="323"/>
      <c r="X2" s="323"/>
      <c r="Y2" s="323"/>
    </row>
    <row r="4" spans="1:31" s="279" customFormat="1" ht="86.25" customHeight="1">
      <c r="A4" s="243" t="s">
        <v>0</v>
      </c>
      <c r="B4" s="243" t="s">
        <v>1</v>
      </c>
      <c r="C4" s="243" t="s">
        <v>2</v>
      </c>
      <c r="D4" s="243" t="s">
        <v>3</v>
      </c>
      <c r="E4" s="243" t="s">
        <v>4</v>
      </c>
      <c r="F4" s="243" t="s">
        <v>5</v>
      </c>
      <c r="G4" s="243" t="s">
        <v>6</v>
      </c>
      <c r="H4" s="243" t="s">
        <v>7</v>
      </c>
      <c r="I4" s="243" t="s">
        <v>9</v>
      </c>
      <c r="J4" s="243" t="s">
        <v>318</v>
      </c>
      <c r="K4" s="243" t="s">
        <v>10</v>
      </c>
      <c r="L4" s="243" t="s">
        <v>11</v>
      </c>
      <c r="M4" s="2" t="s">
        <v>627</v>
      </c>
      <c r="N4" s="243" t="s">
        <v>628</v>
      </c>
      <c r="O4" s="243" t="s">
        <v>629</v>
      </c>
      <c r="P4" s="243" t="s">
        <v>12</v>
      </c>
      <c r="Q4" s="243" t="s">
        <v>630</v>
      </c>
      <c r="R4" s="243" t="s">
        <v>631</v>
      </c>
      <c r="S4" s="243" t="s">
        <v>632</v>
      </c>
      <c r="T4" s="243" t="s">
        <v>633</v>
      </c>
      <c r="U4" s="243" t="s">
        <v>634</v>
      </c>
      <c r="V4" s="243" t="s">
        <v>13</v>
      </c>
      <c r="W4" s="243" t="s">
        <v>14</v>
      </c>
      <c r="X4" s="243" t="s">
        <v>15</v>
      </c>
      <c r="Y4" s="243" t="s">
        <v>523</v>
      </c>
      <c r="Z4" s="243" t="s">
        <v>140</v>
      </c>
      <c r="AA4" s="421" t="s">
        <v>635</v>
      </c>
      <c r="AB4" s="243" t="s">
        <v>16</v>
      </c>
      <c r="AC4" s="245"/>
      <c r="AD4" s="245"/>
    </row>
    <row r="5" spans="1:31" s="252" customFormat="1" ht="18.75" customHeight="1">
      <c r="A5" s="253"/>
      <c r="B5" s="253"/>
      <c r="C5" s="253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28">
        <f t="shared" ref="O5:O22" si="0">D5-L5-M5-N5</f>
        <v>0</v>
      </c>
      <c r="P5" s="228"/>
      <c r="Q5" s="228"/>
      <c r="R5" s="228"/>
      <c r="S5" s="228"/>
      <c r="T5" s="228">
        <f>P5-M5+R5</f>
        <v>0</v>
      </c>
      <c r="U5" s="228">
        <f t="shared" ref="U5:U22" si="1">N5-T5</f>
        <v>0</v>
      </c>
      <c r="V5" s="228"/>
      <c r="W5" s="228"/>
      <c r="X5" s="228"/>
      <c r="Y5" s="228"/>
      <c r="Z5" s="253"/>
      <c r="AA5" s="253"/>
      <c r="AB5" s="253"/>
      <c r="AC5" s="245"/>
      <c r="AD5" s="245"/>
    </row>
    <row r="6" spans="1:31" s="252" customFormat="1" ht="46.5">
      <c r="A6" s="253">
        <f>1+A5</f>
        <v>1</v>
      </c>
      <c r="B6" s="253">
        <v>470</v>
      </c>
      <c r="C6" s="253" t="s">
        <v>110</v>
      </c>
      <c r="D6" s="228">
        <v>1830000</v>
      </c>
      <c r="E6" s="228">
        <v>1830000</v>
      </c>
      <c r="F6" s="228">
        <f t="shared" ref="F6:F22" si="2">D6-E6</f>
        <v>0</v>
      </c>
      <c r="G6" s="228">
        <v>1630000</v>
      </c>
      <c r="H6" s="228">
        <v>1567821.93</v>
      </c>
      <c r="I6" s="228"/>
      <c r="J6" s="228"/>
      <c r="K6" s="228">
        <f t="shared" ref="K6:K22" si="3">SUM(I6:J6)</f>
        <v>0</v>
      </c>
      <c r="L6" s="228">
        <f t="shared" ref="L6:L22" si="4">H6+K6</f>
        <v>1567821.93</v>
      </c>
      <c r="M6" s="228">
        <f t="shared" ref="M6:M22" si="5">P6+S6</f>
        <v>62178.070000000065</v>
      </c>
      <c r="N6" s="228">
        <v>200000</v>
      </c>
      <c r="O6" s="228">
        <f t="shared" si="0"/>
        <v>0</v>
      </c>
      <c r="P6" s="228">
        <f t="shared" ref="P6:P22" si="6">G6-L6</f>
        <v>62178.070000000065</v>
      </c>
      <c r="Q6" s="228"/>
      <c r="R6" s="228"/>
      <c r="S6" s="228">
        <f t="shared" ref="S6:S22" si="7">SUM(Q6:R6)</f>
        <v>0</v>
      </c>
      <c r="T6" s="228">
        <f t="shared" ref="T6:T22" si="8">P6-M6+S6</f>
        <v>0</v>
      </c>
      <c r="U6" s="228">
        <f t="shared" si="1"/>
        <v>200000</v>
      </c>
      <c r="V6" s="228">
        <f t="shared" ref="V6:V22" si="9">U6-W6-Y6-Z6</f>
        <v>200000</v>
      </c>
      <c r="W6" s="228"/>
      <c r="X6" s="228"/>
      <c r="Y6" s="228"/>
      <c r="Z6" s="253"/>
      <c r="AA6" s="563" t="s">
        <v>995</v>
      </c>
      <c r="AB6" s="253">
        <v>935000</v>
      </c>
      <c r="AC6" s="245"/>
      <c r="AD6" s="245"/>
      <c r="AE6" s="493"/>
    </row>
    <row r="7" spans="1:31" s="252" customFormat="1" ht="30" customHeight="1">
      <c r="A7" s="253">
        <f t="shared" ref="A7:A22" si="10">1+A6</f>
        <v>2</v>
      </c>
      <c r="B7" s="253">
        <v>649</v>
      </c>
      <c r="C7" s="253" t="s">
        <v>1381</v>
      </c>
      <c r="D7" s="228">
        <v>70000</v>
      </c>
      <c r="E7" s="228">
        <v>70000</v>
      </c>
      <c r="F7" s="228">
        <f t="shared" si="2"/>
        <v>0</v>
      </c>
      <c r="G7" s="228">
        <v>70000</v>
      </c>
      <c r="H7" s="228">
        <v>43111.48</v>
      </c>
      <c r="I7" s="228"/>
      <c r="J7" s="228"/>
      <c r="K7" s="228">
        <f t="shared" si="3"/>
        <v>0</v>
      </c>
      <c r="L7" s="228">
        <f t="shared" si="4"/>
        <v>43111.48</v>
      </c>
      <c r="M7" s="228">
        <f t="shared" si="5"/>
        <v>26888.519999999997</v>
      </c>
      <c r="N7" s="228"/>
      <c r="O7" s="228">
        <f t="shared" si="0"/>
        <v>0</v>
      </c>
      <c r="P7" s="228">
        <f t="shared" si="6"/>
        <v>26888.519999999997</v>
      </c>
      <c r="Q7" s="228"/>
      <c r="R7" s="228"/>
      <c r="S7" s="228">
        <f t="shared" si="7"/>
        <v>0</v>
      </c>
      <c r="T7" s="228">
        <f t="shared" si="8"/>
        <v>0</v>
      </c>
      <c r="U7" s="228">
        <f t="shared" si="1"/>
        <v>0</v>
      </c>
      <c r="V7" s="228">
        <f t="shared" si="9"/>
        <v>0</v>
      </c>
      <c r="W7" s="228"/>
      <c r="X7" s="228"/>
      <c r="Y7" s="228"/>
      <c r="Z7" s="253"/>
      <c r="AA7" s="253" t="s">
        <v>1153</v>
      </c>
      <c r="AB7" s="253">
        <v>930000</v>
      </c>
      <c r="AC7" s="245"/>
      <c r="AD7" s="245"/>
      <c r="AE7" s="493"/>
    </row>
    <row r="8" spans="1:31" s="252" customFormat="1" ht="30" customHeight="1">
      <c r="A8" s="253">
        <f t="shared" si="10"/>
        <v>3</v>
      </c>
      <c r="B8" s="253">
        <v>1066</v>
      </c>
      <c r="C8" s="253" t="s">
        <v>112</v>
      </c>
      <c r="D8" s="228">
        <v>75000</v>
      </c>
      <c r="E8" s="228">
        <v>75000</v>
      </c>
      <c r="F8" s="228">
        <f t="shared" si="2"/>
        <v>0</v>
      </c>
      <c r="G8" s="228">
        <v>75000</v>
      </c>
      <c r="H8" s="228">
        <v>40172</v>
      </c>
      <c r="I8" s="228"/>
      <c r="J8" s="228"/>
      <c r="K8" s="228">
        <f t="shared" si="3"/>
        <v>0</v>
      </c>
      <c r="L8" s="228">
        <f t="shared" si="4"/>
        <v>40172</v>
      </c>
      <c r="M8" s="228">
        <f t="shared" si="5"/>
        <v>34828</v>
      </c>
      <c r="N8" s="228"/>
      <c r="O8" s="228">
        <f t="shared" si="0"/>
        <v>0</v>
      </c>
      <c r="P8" s="228">
        <f t="shared" si="6"/>
        <v>34828</v>
      </c>
      <c r="Q8" s="228"/>
      <c r="R8" s="228"/>
      <c r="S8" s="228">
        <f t="shared" si="7"/>
        <v>0</v>
      </c>
      <c r="T8" s="228">
        <f t="shared" si="8"/>
        <v>0</v>
      </c>
      <c r="U8" s="228">
        <f t="shared" si="1"/>
        <v>0</v>
      </c>
      <c r="V8" s="228">
        <f t="shared" si="9"/>
        <v>0</v>
      </c>
      <c r="W8" s="228"/>
      <c r="X8" s="228"/>
      <c r="Y8" s="228"/>
      <c r="Z8" s="253"/>
      <c r="AA8" s="253" t="s">
        <v>1154</v>
      </c>
      <c r="AB8" s="253">
        <v>935000</v>
      </c>
      <c r="AC8" s="245"/>
      <c r="AD8" s="245"/>
      <c r="AE8" s="493"/>
    </row>
    <row r="9" spans="1:31" s="252" customFormat="1" ht="30" customHeight="1">
      <c r="A9" s="253">
        <f t="shared" si="10"/>
        <v>4</v>
      </c>
      <c r="B9" s="253">
        <v>1177</v>
      </c>
      <c r="C9" s="253" t="s">
        <v>113</v>
      </c>
      <c r="D9" s="228">
        <v>41850000</v>
      </c>
      <c r="E9" s="228">
        <v>41850000</v>
      </c>
      <c r="F9" s="228">
        <f t="shared" si="2"/>
        <v>0</v>
      </c>
      <c r="G9" s="228">
        <v>28957000</v>
      </c>
      <c r="H9" s="228">
        <v>26727455.199999999</v>
      </c>
      <c r="I9" s="228"/>
      <c r="J9" s="228"/>
      <c r="K9" s="228">
        <f t="shared" si="3"/>
        <v>0</v>
      </c>
      <c r="L9" s="228">
        <f t="shared" si="4"/>
        <v>26727455.199999999</v>
      </c>
      <c r="M9" s="228">
        <f t="shared" si="5"/>
        <v>2229544.8000000007</v>
      </c>
      <c r="N9" s="228"/>
      <c r="O9" s="228">
        <f t="shared" si="0"/>
        <v>12893000</v>
      </c>
      <c r="P9" s="228">
        <f t="shared" si="6"/>
        <v>2229544.8000000007</v>
      </c>
      <c r="Q9" s="228"/>
      <c r="R9" s="228"/>
      <c r="S9" s="228">
        <f t="shared" si="7"/>
        <v>0</v>
      </c>
      <c r="T9" s="228">
        <f t="shared" si="8"/>
        <v>0</v>
      </c>
      <c r="U9" s="228">
        <f t="shared" si="1"/>
        <v>0</v>
      </c>
      <c r="V9" s="228">
        <f t="shared" si="9"/>
        <v>0</v>
      </c>
      <c r="W9" s="228"/>
      <c r="X9" s="228"/>
      <c r="Y9" s="228"/>
      <c r="Z9" s="253"/>
      <c r="AA9" s="253" t="s">
        <v>1155</v>
      </c>
      <c r="AB9" s="253">
        <v>930000</v>
      </c>
      <c r="AC9" s="245"/>
      <c r="AD9" s="245"/>
      <c r="AE9" s="493"/>
    </row>
    <row r="10" spans="1:31" s="252" customFormat="1" ht="30" customHeight="1">
      <c r="A10" s="253">
        <f t="shared" si="10"/>
        <v>5</v>
      </c>
      <c r="B10" s="253">
        <v>1258</v>
      </c>
      <c r="C10" s="253" t="s">
        <v>114</v>
      </c>
      <c r="D10" s="228">
        <v>1400000</v>
      </c>
      <c r="E10" s="228">
        <v>1400000</v>
      </c>
      <c r="F10" s="228">
        <f t="shared" si="2"/>
        <v>0</v>
      </c>
      <c r="G10" s="228">
        <v>900000</v>
      </c>
      <c r="H10" s="228">
        <v>862669.34</v>
      </c>
      <c r="I10" s="228"/>
      <c r="J10" s="228"/>
      <c r="K10" s="228">
        <f t="shared" si="3"/>
        <v>0</v>
      </c>
      <c r="L10" s="228">
        <f t="shared" si="4"/>
        <v>862669.34</v>
      </c>
      <c r="M10" s="228">
        <f t="shared" si="5"/>
        <v>37330.660000000033</v>
      </c>
      <c r="N10" s="228">
        <v>50000</v>
      </c>
      <c r="O10" s="228">
        <f t="shared" si="0"/>
        <v>450000</v>
      </c>
      <c r="P10" s="228">
        <f t="shared" si="6"/>
        <v>37330.660000000033</v>
      </c>
      <c r="Q10" s="228"/>
      <c r="R10" s="228"/>
      <c r="S10" s="228">
        <f t="shared" si="7"/>
        <v>0</v>
      </c>
      <c r="T10" s="228">
        <f t="shared" si="8"/>
        <v>0</v>
      </c>
      <c r="U10" s="228">
        <f t="shared" si="1"/>
        <v>50000</v>
      </c>
      <c r="V10" s="228">
        <f t="shared" si="9"/>
        <v>50000</v>
      </c>
      <c r="W10" s="228"/>
      <c r="X10" s="228"/>
      <c r="Y10" s="228"/>
      <c r="Z10" s="253"/>
      <c r="AA10" s="403" t="s">
        <v>610</v>
      </c>
      <c r="AB10" s="253">
        <v>930000</v>
      </c>
      <c r="AC10" s="245"/>
      <c r="AD10" s="245"/>
      <c r="AE10" s="493"/>
    </row>
    <row r="11" spans="1:31" s="252" customFormat="1" ht="30" customHeight="1">
      <c r="A11" s="253">
        <f t="shared" si="10"/>
        <v>6</v>
      </c>
      <c r="B11" s="253">
        <v>1330</v>
      </c>
      <c r="C11" s="253" t="s">
        <v>115</v>
      </c>
      <c r="D11" s="228">
        <v>60700000</v>
      </c>
      <c r="E11" s="228">
        <v>60700000</v>
      </c>
      <c r="F11" s="228">
        <f t="shared" si="2"/>
        <v>0</v>
      </c>
      <c r="G11" s="228">
        <v>17249825</v>
      </c>
      <c r="H11" s="228">
        <v>6279465.6299999999</v>
      </c>
      <c r="I11" s="228"/>
      <c r="J11" s="228">
        <v>6107</v>
      </c>
      <c r="K11" s="228">
        <f t="shared" si="3"/>
        <v>6107</v>
      </c>
      <c r="L11" s="228">
        <f t="shared" si="4"/>
        <v>6285572.6299999999</v>
      </c>
      <c r="M11" s="228">
        <f t="shared" si="5"/>
        <v>10964252.370000001</v>
      </c>
      <c r="N11" s="228"/>
      <c r="O11" s="228">
        <f t="shared" si="0"/>
        <v>43450175</v>
      </c>
      <c r="P11" s="228">
        <f t="shared" si="6"/>
        <v>10964252.370000001</v>
      </c>
      <c r="Q11" s="228"/>
      <c r="R11" s="228"/>
      <c r="S11" s="228">
        <f t="shared" si="7"/>
        <v>0</v>
      </c>
      <c r="T11" s="228">
        <f t="shared" si="8"/>
        <v>0</v>
      </c>
      <c r="U11" s="228">
        <f t="shared" si="1"/>
        <v>0</v>
      </c>
      <c r="V11" s="228">
        <f t="shared" si="9"/>
        <v>0</v>
      </c>
      <c r="W11" s="228"/>
      <c r="X11" s="228"/>
      <c r="Y11" s="228"/>
      <c r="Z11" s="253"/>
      <c r="AA11" s="253" t="s">
        <v>1156</v>
      </c>
      <c r="AB11" s="253">
        <v>930000</v>
      </c>
      <c r="AC11" s="245"/>
      <c r="AD11" s="245"/>
      <c r="AE11" s="493"/>
    </row>
    <row r="12" spans="1:31" s="252" customFormat="1" ht="62">
      <c r="A12" s="253">
        <f t="shared" si="10"/>
        <v>7</v>
      </c>
      <c r="B12" s="253">
        <v>1369</v>
      </c>
      <c r="C12" s="253" t="s">
        <v>116</v>
      </c>
      <c r="D12" s="228">
        <f>1100700+2899300</f>
        <v>4000000</v>
      </c>
      <c r="E12" s="228">
        <v>1100700</v>
      </c>
      <c r="F12" s="228">
        <f t="shared" si="2"/>
        <v>2899300</v>
      </c>
      <c r="G12" s="228">
        <v>570700</v>
      </c>
      <c r="H12" s="228">
        <v>552097</v>
      </c>
      <c r="I12" s="228"/>
      <c r="J12" s="228"/>
      <c r="K12" s="228">
        <f t="shared" si="3"/>
        <v>0</v>
      </c>
      <c r="L12" s="228">
        <f t="shared" si="4"/>
        <v>552097</v>
      </c>
      <c r="M12" s="228">
        <f t="shared" si="5"/>
        <v>18603</v>
      </c>
      <c r="N12" s="228">
        <v>3429300</v>
      </c>
      <c r="O12" s="228">
        <f t="shared" si="0"/>
        <v>0</v>
      </c>
      <c r="P12" s="228">
        <f t="shared" si="6"/>
        <v>18603</v>
      </c>
      <c r="Q12" s="228"/>
      <c r="R12" s="228"/>
      <c r="S12" s="228">
        <f t="shared" si="7"/>
        <v>0</v>
      </c>
      <c r="T12" s="228">
        <f t="shared" si="8"/>
        <v>0</v>
      </c>
      <c r="U12" s="228">
        <f t="shared" si="1"/>
        <v>3429300</v>
      </c>
      <c r="V12" s="228">
        <f t="shared" si="9"/>
        <v>3429300</v>
      </c>
      <c r="W12" s="228"/>
      <c r="X12" s="228"/>
      <c r="Y12" s="228"/>
      <c r="Z12" s="253"/>
      <c r="AA12" s="563" t="s">
        <v>996</v>
      </c>
      <c r="AB12" s="253">
        <v>930000</v>
      </c>
      <c r="AC12" s="245"/>
      <c r="AD12" s="245"/>
      <c r="AE12" s="493"/>
    </row>
    <row r="13" spans="1:31" s="252" customFormat="1" ht="42">
      <c r="A13" s="253">
        <f t="shared" si="10"/>
        <v>8</v>
      </c>
      <c r="B13" s="253">
        <v>1704</v>
      </c>
      <c r="C13" s="253" t="s">
        <v>117</v>
      </c>
      <c r="D13" s="228">
        <v>5784000</v>
      </c>
      <c r="E13" s="228">
        <v>5784000</v>
      </c>
      <c r="F13" s="228">
        <f t="shared" si="2"/>
        <v>0</v>
      </c>
      <c r="G13" s="228">
        <v>40000</v>
      </c>
      <c r="H13" s="228">
        <v>29996.73</v>
      </c>
      <c r="I13" s="228"/>
      <c r="J13" s="228"/>
      <c r="K13" s="228">
        <f t="shared" si="3"/>
        <v>0</v>
      </c>
      <c r="L13" s="228">
        <f t="shared" si="4"/>
        <v>29996.73</v>
      </c>
      <c r="M13" s="228">
        <f t="shared" si="5"/>
        <v>10003.27</v>
      </c>
      <c r="N13" s="228">
        <v>1540000</v>
      </c>
      <c r="O13" s="228">
        <f t="shared" si="0"/>
        <v>4204000</v>
      </c>
      <c r="P13" s="228">
        <f t="shared" si="6"/>
        <v>10003.27</v>
      </c>
      <c r="Q13" s="228"/>
      <c r="R13" s="228"/>
      <c r="S13" s="228">
        <f t="shared" si="7"/>
        <v>0</v>
      </c>
      <c r="T13" s="228">
        <f t="shared" si="8"/>
        <v>0</v>
      </c>
      <c r="U13" s="228">
        <f t="shared" si="1"/>
        <v>1540000</v>
      </c>
      <c r="V13" s="228">
        <f t="shared" si="9"/>
        <v>1540000</v>
      </c>
      <c r="W13" s="228"/>
      <c r="X13" s="228"/>
      <c r="Y13" s="228"/>
      <c r="Z13" s="253"/>
      <c r="AA13" s="403" t="s">
        <v>997</v>
      </c>
      <c r="AB13" s="253">
        <v>930000</v>
      </c>
      <c r="AC13" s="245"/>
      <c r="AD13" s="245"/>
      <c r="AE13" s="493"/>
    </row>
    <row r="14" spans="1:31" s="252" customFormat="1" ht="30" customHeight="1">
      <c r="A14" s="253">
        <f t="shared" si="10"/>
        <v>9</v>
      </c>
      <c r="B14" s="253">
        <v>1791</v>
      </c>
      <c r="C14" s="253" t="s">
        <v>118</v>
      </c>
      <c r="D14" s="228">
        <v>570000</v>
      </c>
      <c r="E14" s="228">
        <v>570000</v>
      </c>
      <c r="F14" s="228">
        <f t="shared" si="2"/>
        <v>0</v>
      </c>
      <c r="G14" s="228">
        <v>500000</v>
      </c>
      <c r="H14" s="228">
        <v>404150</v>
      </c>
      <c r="I14" s="228"/>
      <c r="J14" s="228"/>
      <c r="K14" s="228">
        <f t="shared" si="3"/>
        <v>0</v>
      </c>
      <c r="L14" s="228">
        <f t="shared" si="4"/>
        <v>404150</v>
      </c>
      <c r="M14" s="228">
        <f t="shared" si="5"/>
        <v>95850</v>
      </c>
      <c r="N14" s="228"/>
      <c r="O14" s="228">
        <f t="shared" si="0"/>
        <v>70000</v>
      </c>
      <c r="P14" s="228">
        <f t="shared" si="6"/>
        <v>95850</v>
      </c>
      <c r="Q14" s="228"/>
      <c r="R14" s="228"/>
      <c r="S14" s="228">
        <f t="shared" si="7"/>
        <v>0</v>
      </c>
      <c r="T14" s="228">
        <f t="shared" si="8"/>
        <v>0</v>
      </c>
      <c r="U14" s="228">
        <f t="shared" si="1"/>
        <v>0</v>
      </c>
      <c r="V14" s="228">
        <f t="shared" si="9"/>
        <v>0</v>
      </c>
      <c r="W14" s="228"/>
      <c r="X14" s="228"/>
      <c r="Y14" s="228"/>
      <c r="Z14" s="253"/>
      <c r="AA14" s="253" t="s">
        <v>1157</v>
      </c>
      <c r="AB14" s="253">
        <v>930000</v>
      </c>
      <c r="AC14" s="245"/>
      <c r="AD14" s="245"/>
      <c r="AE14" s="493"/>
    </row>
    <row r="15" spans="1:31" s="252" customFormat="1" ht="30" customHeight="1">
      <c r="A15" s="253">
        <f t="shared" si="10"/>
        <v>10</v>
      </c>
      <c r="B15" s="253">
        <v>1801</v>
      </c>
      <c r="C15" s="253" t="s">
        <v>190</v>
      </c>
      <c r="D15" s="228">
        <v>36000000</v>
      </c>
      <c r="E15" s="228">
        <v>36000000</v>
      </c>
      <c r="F15" s="228">
        <f t="shared" si="2"/>
        <v>0</v>
      </c>
      <c r="G15" s="228">
        <v>36000000</v>
      </c>
      <c r="H15" s="228">
        <v>30403082.890000001</v>
      </c>
      <c r="I15" s="228"/>
      <c r="J15" s="228"/>
      <c r="K15" s="228">
        <f t="shared" si="3"/>
        <v>0</v>
      </c>
      <c r="L15" s="228">
        <f t="shared" si="4"/>
        <v>30403082.890000001</v>
      </c>
      <c r="M15" s="228">
        <f t="shared" si="5"/>
        <v>5596917.1099999994</v>
      </c>
      <c r="N15" s="228"/>
      <c r="O15" s="228">
        <f t="shared" si="0"/>
        <v>0</v>
      </c>
      <c r="P15" s="228">
        <f t="shared" si="6"/>
        <v>5596917.1099999994</v>
      </c>
      <c r="Q15" s="228"/>
      <c r="R15" s="228"/>
      <c r="S15" s="228">
        <f t="shared" si="7"/>
        <v>0</v>
      </c>
      <c r="T15" s="228">
        <f t="shared" si="8"/>
        <v>0</v>
      </c>
      <c r="U15" s="228">
        <f t="shared" si="1"/>
        <v>0</v>
      </c>
      <c r="V15" s="228">
        <f t="shared" si="9"/>
        <v>0</v>
      </c>
      <c r="W15" s="228"/>
      <c r="X15" s="228"/>
      <c r="Y15" s="228"/>
      <c r="Z15" s="253"/>
      <c r="AA15" s="253" t="s">
        <v>1158</v>
      </c>
      <c r="AB15" s="253">
        <v>930000</v>
      </c>
      <c r="AC15" s="245"/>
      <c r="AD15" s="245"/>
      <c r="AE15" s="493"/>
    </row>
    <row r="16" spans="1:31" s="252" customFormat="1" ht="30" customHeight="1">
      <c r="A16" s="253">
        <f t="shared" si="10"/>
        <v>11</v>
      </c>
      <c r="B16" s="253">
        <v>1983</v>
      </c>
      <c r="C16" s="253" t="s">
        <v>279</v>
      </c>
      <c r="D16" s="228">
        <v>800000</v>
      </c>
      <c r="E16" s="228">
        <v>800000</v>
      </c>
      <c r="F16" s="228">
        <f t="shared" si="2"/>
        <v>0</v>
      </c>
      <c r="G16" s="228">
        <f>10000-10000</f>
        <v>0</v>
      </c>
      <c r="H16" s="228">
        <v>0</v>
      </c>
      <c r="I16" s="228"/>
      <c r="J16" s="228">
        <v>6149</v>
      </c>
      <c r="K16" s="228">
        <f t="shared" si="3"/>
        <v>6149</v>
      </c>
      <c r="L16" s="228">
        <f t="shared" si="4"/>
        <v>6149</v>
      </c>
      <c r="M16" s="228">
        <f t="shared" si="5"/>
        <v>3851</v>
      </c>
      <c r="N16" s="228">
        <v>90000</v>
      </c>
      <c r="O16" s="228">
        <f t="shared" si="0"/>
        <v>700000</v>
      </c>
      <c r="P16" s="228">
        <f t="shared" si="6"/>
        <v>-6149</v>
      </c>
      <c r="Q16" s="228">
        <v>10000</v>
      </c>
      <c r="R16" s="228"/>
      <c r="S16" s="228">
        <f t="shared" si="7"/>
        <v>10000</v>
      </c>
      <c r="T16" s="228">
        <f t="shared" si="8"/>
        <v>0</v>
      </c>
      <c r="U16" s="228">
        <f t="shared" si="1"/>
        <v>90000</v>
      </c>
      <c r="V16" s="228">
        <f t="shared" si="9"/>
        <v>90000</v>
      </c>
      <c r="W16" s="228"/>
      <c r="X16" s="228"/>
      <c r="Y16" s="228"/>
      <c r="Z16" s="253"/>
      <c r="AA16" s="403" t="s">
        <v>611</v>
      </c>
      <c r="AB16" s="253">
        <v>930000</v>
      </c>
      <c r="AC16" s="245"/>
      <c r="AD16" s="245"/>
      <c r="AE16" s="493"/>
    </row>
    <row r="17" spans="1:31" s="252" customFormat="1" ht="30" customHeight="1">
      <c r="A17" s="253">
        <f t="shared" si="10"/>
        <v>12</v>
      </c>
      <c r="B17" s="253">
        <v>1984</v>
      </c>
      <c r="C17" s="253" t="s">
        <v>280</v>
      </c>
      <c r="D17" s="228">
        <v>450000</v>
      </c>
      <c r="E17" s="228">
        <v>450000</v>
      </c>
      <c r="F17" s="228">
        <f t="shared" si="2"/>
        <v>0</v>
      </c>
      <c r="G17" s="228">
        <v>10000</v>
      </c>
      <c r="H17" s="228">
        <v>1869</v>
      </c>
      <c r="I17" s="228"/>
      <c r="J17" s="228"/>
      <c r="K17" s="228">
        <f t="shared" si="3"/>
        <v>0</v>
      </c>
      <c r="L17" s="228">
        <f t="shared" si="4"/>
        <v>1869</v>
      </c>
      <c r="M17" s="228">
        <f t="shared" si="5"/>
        <v>8131</v>
      </c>
      <c r="N17" s="228">
        <f>100000+280000</f>
        <v>380000</v>
      </c>
      <c r="O17" s="228">
        <f t="shared" si="0"/>
        <v>60000</v>
      </c>
      <c r="P17" s="228">
        <f t="shared" si="6"/>
        <v>8131</v>
      </c>
      <c r="Q17" s="228"/>
      <c r="R17" s="228"/>
      <c r="S17" s="228">
        <f t="shared" si="7"/>
        <v>0</v>
      </c>
      <c r="T17" s="228">
        <f t="shared" si="8"/>
        <v>0</v>
      </c>
      <c r="U17" s="228">
        <f t="shared" si="1"/>
        <v>380000</v>
      </c>
      <c r="V17" s="228">
        <f t="shared" si="9"/>
        <v>380000</v>
      </c>
      <c r="W17" s="228"/>
      <c r="X17" s="228"/>
      <c r="Y17" s="228"/>
      <c r="Z17" s="253"/>
      <c r="AA17" s="403" t="s">
        <v>612</v>
      </c>
      <c r="AB17" s="253">
        <v>930000</v>
      </c>
      <c r="AC17" s="245"/>
      <c r="AD17" s="245"/>
      <c r="AE17" s="493"/>
    </row>
    <row r="18" spans="1:31" s="252" customFormat="1" ht="30" customHeight="1">
      <c r="A18" s="253">
        <f t="shared" si="10"/>
        <v>13</v>
      </c>
      <c r="B18" s="253">
        <v>1985</v>
      </c>
      <c r="C18" s="253" t="s">
        <v>281</v>
      </c>
      <c r="D18" s="228">
        <v>600000</v>
      </c>
      <c r="E18" s="228">
        <v>600000</v>
      </c>
      <c r="F18" s="228">
        <f t="shared" si="2"/>
        <v>0</v>
      </c>
      <c r="G18" s="228">
        <v>0</v>
      </c>
      <c r="H18" s="228">
        <v>0</v>
      </c>
      <c r="I18" s="228"/>
      <c r="J18" s="228"/>
      <c r="K18" s="228">
        <f t="shared" si="3"/>
        <v>0</v>
      </c>
      <c r="L18" s="228">
        <f t="shared" si="4"/>
        <v>0</v>
      </c>
      <c r="M18" s="228">
        <f t="shared" si="5"/>
        <v>0</v>
      </c>
      <c r="N18" s="228">
        <v>100000</v>
      </c>
      <c r="O18" s="228">
        <f t="shared" si="0"/>
        <v>500000</v>
      </c>
      <c r="P18" s="228">
        <f t="shared" si="6"/>
        <v>0</v>
      </c>
      <c r="Q18" s="228"/>
      <c r="R18" s="228"/>
      <c r="S18" s="228">
        <f t="shared" si="7"/>
        <v>0</v>
      </c>
      <c r="T18" s="228">
        <f t="shared" si="8"/>
        <v>0</v>
      </c>
      <c r="U18" s="228">
        <f t="shared" si="1"/>
        <v>100000</v>
      </c>
      <c r="V18" s="228">
        <f t="shared" si="9"/>
        <v>100000</v>
      </c>
      <c r="W18" s="228"/>
      <c r="X18" s="228"/>
      <c r="Y18" s="228"/>
      <c r="Z18" s="253"/>
      <c r="AA18" s="403" t="s">
        <v>613</v>
      </c>
      <c r="AB18" s="253">
        <v>930000</v>
      </c>
      <c r="AC18" s="245"/>
      <c r="AD18" s="245"/>
      <c r="AE18" s="493"/>
    </row>
    <row r="19" spans="1:31" s="252" customFormat="1" ht="30" customHeight="1">
      <c r="A19" s="253">
        <f t="shared" si="10"/>
        <v>14</v>
      </c>
      <c r="B19" s="253">
        <v>1993</v>
      </c>
      <c r="C19" s="253" t="s">
        <v>342</v>
      </c>
      <c r="D19" s="228">
        <v>6000000</v>
      </c>
      <c r="E19" s="228">
        <v>6000000</v>
      </c>
      <c r="F19" s="228">
        <f t="shared" si="2"/>
        <v>0</v>
      </c>
      <c r="G19" s="228">
        <v>50000</v>
      </c>
      <c r="H19" s="228">
        <v>46467</v>
      </c>
      <c r="I19" s="228"/>
      <c r="J19" s="228"/>
      <c r="K19" s="228">
        <f t="shared" si="3"/>
        <v>0</v>
      </c>
      <c r="L19" s="228">
        <f t="shared" si="4"/>
        <v>46467</v>
      </c>
      <c r="M19" s="228">
        <f t="shared" si="5"/>
        <v>3533</v>
      </c>
      <c r="N19" s="228">
        <f>1950000+50000</f>
        <v>2000000</v>
      </c>
      <c r="O19" s="228">
        <f t="shared" si="0"/>
        <v>3950000</v>
      </c>
      <c r="P19" s="228">
        <f t="shared" si="6"/>
        <v>3533</v>
      </c>
      <c r="Q19" s="228"/>
      <c r="R19" s="228"/>
      <c r="S19" s="228">
        <f t="shared" si="7"/>
        <v>0</v>
      </c>
      <c r="T19" s="228">
        <f t="shared" si="8"/>
        <v>0</v>
      </c>
      <c r="U19" s="228">
        <f t="shared" si="1"/>
        <v>2000000</v>
      </c>
      <c r="V19" s="228">
        <f t="shared" si="9"/>
        <v>2000000</v>
      </c>
      <c r="W19" s="228"/>
      <c r="X19" s="228"/>
      <c r="Y19" s="228"/>
      <c r="Z19" s="253"/>
      <c r="AA19" s="253" t="s">
        <v>998</v>
      </c>
      <c r="AB19" s="253">
        <v>930000</v>
      </c>
      <c r="AC19" s="245"/>
      <c r="AD19" s="245"/>
      <c r="AE19" s="493"/>
    </row>
    <row r="20" spans="1:31" s="252" customFormat="1" ht="30" customHeight="1">
      <c r="A20" s="253">
        <f t="shared" si="10"/>
        <v>15</v>
      </c>
      <c r="B20" s="253">
        <v>2055</v>
      </c>
      <c r="C20" s="253" t="s">
        <v>831</v>
      </c>
      <c r="D20" s="228">
        <v>220000</v>
      </c>
      <c r="E20" s="228">
        <v>220000</v>
      </c>
      <c r="F20" s="228">
        <f t="shared" si="2"/>
        <v>0</v>
      </c>
      <c r="G20" s="228">
        <v>200000</v>
      </c>
      <c r="H20" s="228">
        <v>0</v>
      </c>
      <c r="I20" s="228"/>
      <c r="J20" s="228"/>
      <c r="K20" s="228">
        <f t="shared" si="3"/>
        <v>0</v>
      </c>
      <c r="L20" s="228">
        <f t="shared" si="4"/>
        <v>0</v>
      </c>
      <c r="M20" s="228">
        <f t="shared" si="5"/>
        <v>200000</v>
      </c>
      <c r="N20" s="228"/>
      <c r="O20" s="228">
        <f t="shared" si="0"/>
        <v>20000</v>
      </c>
      <c r="P20" s="228">
        <f t="shared" si="6"/>
        <v>200000</v>
      </c>
      <c r="Q20" s="228"/>
      <c r="R20" s="228"/>
      <c r="S20" s="228">
        <f t="shared" si="7"/>
        <v>0</v>
      </c>
      <c r="T20" s="228">
        <f t="shared" si="8"/>
        <v>0</v>
      </c>
      <c r="U20" s="228">
        <f t="shared" si="1"/>
        <v>0</v>
      </c>
      <c r="V20" s="228">
        <f t="shared" si="9"/>
        <v>0</v>
      </c>
      <c r="W20" s="228"/>
      <c r="X20" s="228"/>
      <c r="Y20" s="228"/>
      <c r="Z20" s="253"/>
      <c r="AA20" s="253" t="s">
        <v>1159</v>
      </c>
      <c r="AB20" s="253">
        <v>930000</v>
      </c>
      <c r="AC20" s="245"/>
      <c r="AD20" s="245"/>
      <c r="AE20" s="493"/>
    </row>
    <row r="21" spans="1:31" s="252" customFormat="1" ht="42">
      <c r="A21" s="253">
        <f t="shared" si="10"/>
        <v>16</v>
      </c>
      <c r="B21" s="253">
        <v>2056</v>
      </c>
      <c r="C21" s="253" t="s">
        <v>832</v>
      </c>
      <c r="D21" s="228">
        <v>1400000</v>
      </c>
      <c r="E21" s="228">
        <v>1400000</v>
      </c>
      <c r="F21" s="228">
        <f t="shared" si="2"/>
        <v>0</v>
      </c>
      <c r="G21" s="228">
        <v>100000</v>
      </c>
      <c r="H21" s="228">
        <v>97977</v>
      </c>
      <c r="I21" s="228"/>
      <c r="J21" s="228"/>
      <c r="K21" s="228">
        <f t="shared" si="3"/>
        <v>0</v>
      </c>
      <c r="L21" s="228">
        <f t="shared" si="4"/>
        <v>97977</v>
      </c>
      <c r="M21" s="228">
        <f t="shared" si="5"/>
        <v>2023</v>
      </c>
      <c r="N21" s="228">
        <f>150000+10000</f>
        <v>160000</v>
      </c>
      <c r="O21" s="228">
        <f t="shared" si="0"/>
        <v>1140000</v>
      </c>
      <c r="P21" s="228">
        <f t="shared" si="6"/>
        <v>2023</v>
      </c>
      <c r="Q21" s="228"/>
      <c r="R21" s="228"/>
      <c r="S21" s="228">
        <f t="shared" si="7"/>
        <v>0</v>
      </c>
      <c r="T21" s="228">
        <f t="shared" si="8"/>
        <v>0</v>
      </c>
      <c r="U21" s="228">
        <f t="shared" si="1"/>
        <v>160000</v>
      </c>
      <c r="V21" s="228">
        <f t="shared" si="9"/>
        <v>160000</v>
      </c>
      <c r="W21" s="228"/>
      <c r="X21" s="228"/>
      <c r="Y21" s="228"/>
      <c r="Z21" s="253"/>
      <c r="AA21" s="403" t="s">
        <v>614</v>
      </c>
      <c r="AB21" s="253">
        <v>930000</v>
      </c>
      <c r="AC21" s="245"/>
      <c r="AD21" s="245"/>
      <c r="AE21" s="493"/>
    </row>
    <row r="22" spans="1:31" s="252" customFormat="1" ht="30" customHeight="1">
      <c r="A22" s="253">
        <f t="shared" si="10"/>
        <v>17</v>
      </c>
      <c r="B22" s="253">
        <v>2072</v>
      </c>
      <c r="C22" s="253" t="s">
        <v>1382</v>
      </c>
      <c r="D22" s="228">
        <v>100000</v>
      </c>
      <c r="E22" s="228">
        <v>100000</v>
      </c>
      <c r="F22" s="228">
        <f t="shared" si="2"/>
        <v>0</v>
      </c>
      <c r="G22" s="228">
        <v>100000</v>
      </c>
      <c r="H22" s="228">
        <v>0</v>
      </c>
      <c r="I22" s="228"/>
      <c r="J22" s="228">
        <v>23985</v>
      </c>
      <c r="K22" s="228">
        <f t="shared" si="3"/>
        <v>23985</v>
      </c>
      <c r="L22" s="228">
        <f t="shared" si="4"/>
        <v>23985</v>
      </c>
      <c r="M22" s="228">
        <f t="shared" si="5"/>
        <v>76015</v>
      </c>
      <c r="N22" s="228"/>
      <c r="O22" s="228">
        <f t="shared" si="0"/>
        <v>0</v>
      </c>
      <c r="P22" s="228">
        <f t="shared" si="6"/>
        <v>76015</v>
      </c>
      <c r="Q22" s="228"/>
      <c r="R22" s="228"/>
      <c r="S22" s="228">
        <f t="shared" si="7"/>
        <v>0</v>
      </c>
      <c r="T22" s="228">
        <f t="shared" si="8"/>
        <v>0</v>
      </c>
      <c r="U22" s="228">
        <f t="shared" si="1"/>
        <v>0</v>
      </c>
      <c r="V22" s="228">
        <f t="shared" si="9"/>
        <v>0</v>
      </c>
      <c r="W22" s="228"/>
      <c r="X22" s="228"/>
      <c r="Y22" s="228"/>
      <c r="Z22" s="253"/>
      <c r="AA22" s="253" t="s">
        <v>1160</v>
      </c>
      <c r="AB22" s="253">
        <v>930000</v>
      </c>
      <c r="AC22" s="245"/>
      <c r="AD22" s="245"/>
      <c r="AE22" s="493"/>
    </row>
    <row r="23" spans="1:31" s="256" customFormat="1" ht="30" customHeight="1">
      <c r="A23" s="257">
        <f>A22</f>
        <v>17</v>
      </c>
      <c r="B23" s="257"/>
      <c r="C23" s="260" t="s">
        <v>1088</v>
      </c>
      <c r="D23" s="263">
        <f t="shared" ref="D23:Z23" si="11">SUM(D6:D22)</f>
        <v>161849000</v>
      </c>
      <c r="E23" s="263">
        <f t="shared" si="11"/>
        <v>158949700</v>
      </c>
      <c r="F23" s="263">
        <f t="shared" si="11"/>
        <v>2899300</v>
      </c>
      <c r="G23" s="263">
        <f t="shared" si="11"/>
        <v>86452525</v>
      </c>
      <c r="H23" s="263">
        <f t="shared" si="11"/>
        <v>67056335.199999996</v>
      </c>
      <c r="I23" s="263">
        <f t="shared" si="11"/>
        <v>0</v>
      </c>
      <c r="J23" s="263">
        <f t="shared" si="11"/>
        <v>36241</v>
      </c>
      <c r="K23" s="263">
        <f t="shared" si="11"/>
        <v>36241</v>
      </c>
      <c r="L23" s="263">
        <f t="shared" si="11"/>
        <v>67092576.199999996</v>
      </c>
      <c r="M23" s="263">
        <f t="shared" si="11"/>
        <v>19369948.800000001</v>
      </c>
      <c r="N23" s="263">
        <f t="shared" si="11"/>
        <v>7949300</v>
      </c>
      <c r="O23" s="263">
        <f t="shared" si="11"/>
        <v>67437175</v>
      </c>
      <c r="P23" s="263">
        <f t="shared" si="11"/>
        <v>19359948.800000001</v>
      </c>
      <c r="Q23" s="263">
        <f t="shared" si="11"/>
        <v>10000</v>
      </c>
      <c r="R23" s="263">
        <f t="shared" si="11"/>
        <v>0</v>
      </c>
      <c r="S23" s="263">
        <f t="shared" si="11"/>
        <v>10000</v>
      </c>
      <c r="T23" s="263">
        <f t="shared" si="11"/>
        <v>0</v>
      </c>
      <c r="U23" s="263">
        <f t="shared" si="11"/>
        <v>7949300</v>
      </c>
      <c r="V23" s="263">
        <f t="shared" si="11"/>
        <v>7949300</v>
      </c>
      <c r="W23" s="263">
        <f t="shared" si="11"/>
        <v>0</v>
      </c>
      <c r="X23" s="263">
        <f t="shared" si="11"/>
        <v>0</v>
      </c>
      <c r="Y23" s="263">
        <f t="shared" si="11"/>
        <v>0</v>
      </c>
      <c r="Z23" s="263">
        <f t="shared" si="11"/>
        <v>0</v>
      </c>
      <c r="AA23" s="257"/>
      <c r="AB23" s="257"/>
      <c r="AC23" s="245"/>
      <c r="AD23" s="245"/>
      <c r="AE23" s="252"/>
    </row>
    <row r="24" spans="1:31" ht="18.75" hidden="1" customHeight="1">
      <c r="L24" s="276">
        <f>H23+K23</f>
        <v>67092576.199999996</v>
      </c>
      <c r="M24" s="276">
        <f>P23+S23-T23</f>
        <v>19369948.800000001</v>
      </c>
      <c r="P24" s="276">
        <f>G23-L23</f>
        <v>19359948.800000004</v>
      </c>
      <c r="U24" s="276">
        <f>N23-T23</f>
        <v>7949300</v>
      </c>
    </row>
  </sheetData>
  <sheetProtection formatCells="0" formatColumns="0" formatRows="0" insertColumns="0" insertRows="0" insertHyperlinks="0" deleteColumns="0" deleteRows="0" sort="0" autoFilter="0" pivotTables="0"/>
  <conditionalFormatting sqref="AA4">
    <cfRule type="cellIs" dxfId="198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24"/>
  <sheetViews>
    <sheetView showZeros="0" rightToLeft="1" zoomScaleNormal="100" workbookViewId="0">
      <pane xSplit="3" ySplit="4" topLeftCell="D17" activePane="bottomRight" state="frozen"/>
      <selection activeCell="C42" sqref="C42"/>
      <selection pane="topRight" activeCell="C42" sqref="C42"/>
      <selection pane="bottomLeft" activeCell="C42" sqref="C42"/>
      <selection pane="bottomRight" activeCell="C42" sqref="C42"/>
    </sheetView>
  </sheetViews>
  <sheetFormatPr defaultColWidth="9.1796875" defaultRowHeight="14"/>
  <cols>
    <col min="1" max="1" width="5.26953125" style="246" customWidth="1"/>
    <col min="2" max="2" width="6.7265625" style="245" customWidth="1"/>
    <col min="3" max="3" width="36.81640625" style="245" customWidth="1"/>
    <col min="4" max="4" width="11.7265625" style="249" customWidth="1"/>
    <col min="5" max="5" width="11.453125" style="249" customWidth="1"/>
    <col min="6" max="6" width="9.81640625" style="249" customWidth="1"/>
    <col min="7" max="10" width="12.7265625" style="249" hidden="1" customWidth="1"/>
    <col min="11" max="11" width="11.26953125" style="249" hidden="1" customWidth="1"/>
    <col min="12" max="12" width="11" style="249" customWidth="1"/>
    <col min="13" max="13" width="10.453125" style="249" customWidth="1"/>
    <col min="14" max="14" width="9.54296875" style="249" customWidth="1"/>
    <col min="15" max="15" width="10.7265625" style="249" customWidth="1"/>
    <col min="16" max="17" width="11.1796875" style="249" hidden="1" customWidth="1"/>
    <col min="18" max="19" width="12" style="249" hidden="1" customWidth="1"/>
    <col min="20" max="20" width="10.26953125" style="249" hidden="1" customWidth="1"/>
    <col min="21" max="21" width="9.81640625" style="245" customWidth="1"/>
    <col min="22" max="22" width="10.26953125" style="245" customWidth="1"/>
    <col min="23" max="23" width="11.81640625" style="245" hidden="1" customWidth="1"/>
    <col min="24" max="25" width="10.1796875" style="245" hidden="1" customWidth="1"/>
    <col min="26" max="26" width="9.7265625" style="245" hidden="1" customWidth="1"/>
    <col min="27" max="27" width="30.7265625" style="601" hidden="1" customWidth="1"/>
    <col min="28" max="28" width="7.81640625" style="245" customWidth="1"/>
    <col min="29" max="29" width="19.453125" style="245" customWidth="1"/>
    <col min="30" max="30" width="13.1796875" style="245" customWidth="1"/>
    <col min="31" max="16384" width="9.1796875" style="245"/>
  </cols>
  <sheetData>
    <row r="1" spans="1:31" s="278" customFormat="1" ht="18">
      <c r="A1" s="323"/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  <c r="P1" s="323"/>
      <c r="Q1" s="323"/>
      <c r="R1" s="323"/>
      <c r="S1" s="323"/>
      <c r="T1" s="323"/>
      <c r="U1" s="323"/>
      <c r="V1" s="323"/>
      <c r="W1" s="323"/>
      <c r="X1" s="323"/>
      <c r="Y1" s="323"/>
      <c r="AA1" s="600"/>
      <c r="AC1" s="245"/>
      <c r="AD1" s="245"/>
    </row>
    <row r="2" spans="1:31" ht="18">
      <c r="A2" s="323" t="s">
        <v>1047</v>
      </c>
      <c r="B2" s="323"/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  <c r="N2" s="323"/>
      <c r="O2" s="323"/>
      <c r="P2" s="323"/>
      <c r="Q2" s="323"/>
      <c r="R2" s="323"/>
      <c r="S2" s="323"/>
      <c r="T2" s="323"/>
      <c r="U2" s="323"/>
      <c r="V2" s="323"/>
      <c r="W2" s="323"/>
      <c r="X2" s="323"/>
      <c r="Y2" s="323"/>
    </row>
    <row r="4" spans="1:31" s="279" customFormat="1" ht="86.25" customHeight="1">
      <c r="A4" s="243" t="s">
        <v>0</v>
      </c>
      <c r="B4" s="243" t="s">
        <v>1</v>
      </c>
      <c r="C4" s="243" t="s">
        <v>2</v>
      </c>
      <c r="D4" s="243" t="s">
        <v>3</v>
      </c>
      <c r="E4" s="243" t="s">
        <v>4</v>
      </c>
      <c r="F4" s="243" t="s">
        <v>5</v>
      </c>
      <c r="G4" s="243" t="s">
        <v>6</v>
      </c>
      <c r="H4" s="243" t="s">
        <v>7</v>
      </c>
      <c r="I4" s="243" t="s">
        <v>9</v>
      </c>
      <c r="J4" s="243" t="s">
        <v>318</v>
      </c>
      <c r="K4" s="243" t="s">
        <v>10</v>
      </c>
      <c r="L4" s="243" t="s">
        <v>11</v>
      </c>
      <c r="M4" s="2" t="s">
        <v>627</v>
      </c>
      <c r="N4" s="243" t="s">
        <v>628</v>
      </c>
      <c r="O4" s="243" t="s">
        <v>629</v>
      </c>
      <c r="P4" s="243" t="s">
        <v>12</v>
      </c>
      <c r="Q4" s="243" t="s">
        <v>630</v>
      </c>
      <c r="R4" s="243" t="s">
        <v>631</v>
      </c>
      <c r="S4" s="243" t="s">
        <v>632</v>
      </c>
      <c r="T4" s="243" t="s">
        <v>633</v>
      </c>
      <c r="U4" s="243" t="s">
        <v>634</v>
      </c>
      <c r="V4" s="243" t="s">
        <v>13</v>
      </c>
      <c r="W4" s="243" t="s">
        <v>14</v>
      </c>
      <c r="X4" s="243" t="s">
        <v>15</v>
      </c>
      <c r="Y4" s="243" t="s">
        <v>523</v>
      </c>
      <c r="Z4" s="243" t="s">
        <v>140</v>
      </c>
      <c r="AA4" s="477" t="s">
        <v>635</v>
      </c>
      <c r="AB4" s="243" t="s">
        <v>16</v>
      </c>
      <c r="AC4" s="245"/>
      <c r="AD4" s="245"/>
    </row>
    <row r="5" spans="1:31" s="252" customFormat="1" ht="18.75" customHeight="1">
      <c r="A5" s="253"/>
      <c r="B5" s="253"/>
      <c r="C5" s="253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28">
        <f>D5-L5-M5-N5</f>
        <v>0</v>
      </c>
      <c r="P5" s="228"/>
      <c r="Q5" s="228"/>
      <c r="R5" s="228"/>
      <c r="S5" s="228"/>
      <c r="T5" s="228">
        <f>P5-M5+R5</f>
        <v>0</v>
      </c>
      <c r="U5" s="228">
        <f>N5-T5</f>
        <v>0</v>
      </c>
      <c r="V5" s="228"/>
      <c r="W5" s="228"/>
      <c r="X5" s="228"/>
      <c r="Y5" s="228"/>
      <c r="Z5" s="253"/>
      <c r="AA5" s="602"/>
      <c r="AB5" s="253"/>
      <c r="AC5" s="245"/>
      <c r="AD5" s="245"/>
    </row>
    <row r="6" spans="1:31" s="252" customFormat="1" ht="42">
      <c r="A6" s="253">
        <f>1+A5</f>
        <v>1</v>
      </c>
      <c r="B6" s="253">
        <v>470</v>
      </c>
      <c r="C6" s="253" t="s">
        <v>110</v>
      </c>
      <c r="D6" s="228">
        <f>'תקציב אגף נכסים וביטוח 2019'!D6</f>
        <v>1830000</v>
      </c>
      <c r="E6" s="228">
        <f>'תקציב אגף נכסים וביטוח 2019'!E6</f>
        <v>1830000</v>
      </c>
      <c r="F6" s="228">
        <f>'תקציב אגף נכסים וביטוח 2019'!F6</f>
        <v>0</v>
      </c>
      <c r="G6" s="228">
        <f>'תקציב אגף נכסים וביטוח 2019'!G6</f>
        <v>1630000</v>
      </c>
      <c r="H6" s="228">
        <f>'תקציב אגף נכסים וביטוח 2019'!H6</f>
        <v>1567821.93</v>
      </c>
      <c r="I6" s="228">
        <f>'תקציב אגף נכסים וביטוח 2019'!I6</f>
        <v>0</v>
      </c>
      <c r="J6" s="228">
        <f>'תקציב אגף נכסים וביטוח 2019'!J6</f>
        <v>0</v>
      </c>
      <c r="K6" s="228">
        <f>'תקציב אגף נכסים וביטוח 2019'!K6</f>
        <v>0</v>
      </c>
      <c r="L6" s="228">
        <f>'תקציב אגף נכסים וביטוח 2019'!L6</f>
        <v>1567821.93</v>
      </c>
      <c r="M6" s="228">
        <f>'תקציב אגף נכסים וביטוח 2019'!M6</f>
        <v>62178.070000000065</v>
      </c>
      <c r="N6" s="228">
        <f>'תקציב אגף נכסים וביטוח 2019'!N6</f>
        <v>200000</v>
      </c>
      <c r="O6" s="228">
        <f>'תקציב אגף נכסים וביטוח 2019'!O6</f>
        <v>0</v>
      </c>
      <c r="P6" s="228">
        <f>'תקציב אגף נכסים וביטוח 2019'!P6</f>
        <v>62178.070000000065</v>
      </c>
      <c r="Q6" s="228">
        <f>'תקציב אגף נכסים וביטוח 2019'!Q6</f>
        <v>0</v>
      </c>
      <c r="R6" s="228">
        <f>'תקציב אגף נכסים וביטוח 2019'!R6</f>
        <v>0</v>
      </c>
      <c r="S6" s="228">
        <f>'תקציב אגף נכסים וביטוח 2019'!S6</f>
        <v>0</v>
      </c>
      <c r="T6" s="228">
        <f>'תקציב אגף נכסים וביטוח 2019'!T6</f>
        <v>0</v>
      </c>
      <c r="U6" s="228">
        <f>'תקציב אגף נכסים וביטוח 2019'!U6</f>
        <v>200000</v>
      </c>
      <c r="V6" s="228">
        <f>'תקציב אגף נכסים וביטוח 2019'!V6</f>
        <v>200000</v>
      </c>
      <c r="W6" s="228">
        <f>'תקציב אגף נכסים וביטוח 2019'!W6</f>
        <v>0</v>
      </c>
      <c r="X6" s="228">
        <f>'תקציב אגף נכסים וביטוח 2019'!X6</f>
        <v>0</v>
      </c>
      <c r="Y6" s="228">
        <f>'תקציב אגף נכסים וביטוח 2019'!Y6</f>
        <v>0</v>
      </c>
      <c r="Z6" s="228">
        <f>'תקציב אגף נכסים וביטוח 2019'!Z6</f>
        <v>0</v>
      </c>
      <c r="AA6" s="603" t="str">
        <f>'תקציב אגף נכסים וביטוח 2019'!AA6</f>
        <v>פיצויי הפקעה בגוש 6525/6 הר/ 1704. טרם שולמו הפיצויים ליתרת בעלי המקרקעין.</v>
      </c>
      <c r="AB6" s="253">
        <f>'תקציב אגף נכסים וביטוח 2019'!AB6</f>
        <v>935000</v>
      </c>
      <c r="AC6" s="245"/>
      <c r="AD6" s="245"/>
      <c r="AE6" s="493"/>
    </row>
    <row r="7" spans="1:31" s="252" customFormat="1" ht="28">
      <c r="A7" s="253">
        <f t="shared" ref="A7:A22" si="0">1+A6</f>
        <v>2</v>
      </c>
      <c r="B7" s="253">
        <v>649</v>
      </c>
      <c r="C7" s="253" t="s">
        <v>111</v>
      </c>
      <c r="D7" s="228">
        <f>'תקציב אגף נכסים וביטוח 2019'!D7</f>
        <v>70000</v>
      </c>
      <c r="E7" s="228">
        <f>'תקציב אגף נכסים וביטוח 2019'!E7</f>
        <v>70000</v>
      </c>
      <c r="F7" s="228">
        <f>'תקציב אגף נכסים וביטוח 2019'!F7</f>
        <v>0</v>
      </c>
      <c r="G7" s="228">
        <f>'תקציב אגף נכסים וביטוח 2019'!G7</f>
        <v>70000</v>
      </c>
      <c r="H7" s="228">
        <f>'תקציב אגף נכסים וביטוח 2019'!H7</f>
        <v>43111.48</v>
      </c>
      <c r="I7" s="228">
        <f>'תקציב אגף נכסים וביטוח 2019'!I7</f>
        <v>0</v>
      </c>
      <c r="J7" s="228">
        <f>'תקציב אגף נכסים וביטוח 2019'!J7</f>
        <v>0</v>
      </c>
      <c r="K7" s="228">
        <f>'תקציב אגף נכסים וביטוח 2019'!K7</f>
        <v>0</v>
      </c>
      <c r="L7" s="228">
        <f>'תקציב אגף נכסים וביטוח 2019'!L7</f>
        <v>43111.48</v>
      </c>
      <c r="M7" s="228">
        <f>'תקציב אגף נכסים וביטוח 2019'!M7</f>
        <v>26888.519999999997</v>
      </c>
      <c r="N7" s="228">
        <f>'תקציב אגף נכסים וביטוח 2019'!N7</f>
        <v>0</v>
      </c>
      <c r="O7" s="228">
        <f>'תקציב אגף נכסים וביטוח 2019'!O7</f>
        <v>0</v>
      </c>
      <c r="P7" s="228">
        <f>'תקציב אגף נכסים וביטוח 2019'!P7</f>
        <v>26888.519999999997</v>
      </c>
      <c r="Q7" s="228">
        <f>'תקציב אגף נכסים וביטוח 2019'!Q7</f>
        <v>0</v>
      </c>
      <c r="R7" s="228">
        <f>'תקציב אגף נכסים וביטוח 2019'!R7</f>
        <v>0</v>
      </c>
      <c r="S7" s="228">
        <f>'תקציב אגף נכסים וביטוח 2019'!S7</f>
        <v>0</v>
      </c>
      <c r="T7" s="228">
        <f>'תקציב אגף נכסים וביטוח 2019'!T7</f>
        <v>0</v>
      </c>
      <c r="U7" s="228">
        <f>'תקציב אגף נכסים וביטוח 2019'!U7</f>
        <v>0</v>
      </c>
      <c r="V7" s="228">
        <f>'תקציב אגף נכסים וביטוח 2019'!V7</f>
        <v>0</v>
      </c>
      <c r="W7" s="228">
        <f>'תקציב אגף נכסים וביטוח 2019'!W7</f>
        <v>0</v>
      </c>
      <c r="X7" s="228">
        <f>'תקציב אגף נכסים וביטוח 2019'!X7</f>
        <v>0</v>
      </c>
      <c r="Y7" s="228">
        <f>'תקציב אגף נכסים וביטוח 2019'!Y7</f>
        <v>0</v>
      </c>
      <c r="Z7" s="228">
        <f>'תקציב אגף נכסים וביטוח 2019'!Z7</f>
        <v>0</v>
      </c>
      <c r="AA7" s="603" t="str">
        <f>'תקציב אגף נכסים וביטוח 2019'!AA7</f>
        <v>טרם הסתיים הליך רישום החנויות ע"ש העיריה בפנקסי הרישום.</v>
      </c>
      <c r="AB7" s="253">
        <f>'תקציב אגף נכסים וביטוח 2019'!AB7</f>
        <v>930000</v>
      </c>
      <c r="AC7" s="245"/>
      <c r="AD7" s="245"/>
      <c r="AE7" s="493"/>
    </row>
    <row r="8" spans="1:31" s="252" customFormat="1" ht="28">
      <c r="A8" s="253">
        <f t="shared" si="0"/>
        <v>3</v>
      </c>
      <c r="B8" s="253">
        <v>1066</v>
      </c>
      <c r="C8" s="253" t="s">
        <v>112</v>
      </c>
      <c r="D8" s="228">
        <f>'תקציב אגף נכסים וביטוח 2019'!D8</f>
        <v>75000</v>
      </c>
      <c r="E8" s="228">
        <f>'תקציב אגף נכסים וביטוח 2019'!E8</f>
        <v>75000</v>
      </c>
      <c r="F8" s="228">
        <f>'תקציב אגף נכסים וביטוח 2019'!F8</f>
        <v>0</v>
      </c>
      <c r="G8" s="228">
        <f>'תקציב אגף נכסים וביטוח 2019'!G8</f>
        <v>75000</v>
      </c>
      <c r="H8" s="228">
        <f>'תקציב אגף נכסים וביטוח 2019'!H8</f>
        <v>40172</v>
      </c>
      <c r="I8" s="228">
        <f>'תקציב אגף נכסים וביטוח 2019'!I8</f>
        <v>0</v>
      </c>
      <c r="J8" s="228">
        <f>'תקציב אגף נכסים וביטוח 2019'!J8</f>
        <v>0</v>
      </c>
      <c r="K8" s="228">
        <f>'תקציב אגף נכסים וביטוח 2019'!K8</f>
        <v>0</v>
      </c>
      <c r="L8" s="228">
        <f>'תקציב אגף נכסים וביטוח 2019'!L8</f>
        <v>40172</v>
      </c>
      <c r="M8" s="228">
        <f>'תקציב אגף נכסים וביטוח 2019'!M8</f>
        <v>34828</v>
      </c>
      <c r="N8" s="228">
        <f>'תקציב אגף נכסים וביטוח 2019'!N8</f>
        <v>0</v>
      </c>
      <c r="O8" s="228">
        <f>'תקציב אגף נכסים וביטוח 2019'!O8</f>
        <v>0</v>
      </c>
      <c r="P8" s="228">
        <f>'תקציב אגף נכסים וביטוח 2019'!P8</f>
        <v>34828</v>
      </c>
      <c r="Q8" s="228">
        <f>'תקציב אגף נכסים וביטוח 2019'!Q8</f>
        <v>0</v>
      </c>
      <c r="R8" s="228">
        <f>'תקציב אגף נכסים וביטוח 2019'!R8</f>
        <v>0</v>
      </c>
      <c r="S8" s="228">
        <f>'תקציב אגף נכסים וביטוח 2019'!S8</f>
        <v>0</v>
      </c>
      <c r="T8" s="228">
        <f>'תקציב אגף נכסים וביטוח 2019'!T8</f>
        <v>0</v>
      </c>
      <c r="U8" s="228">
        <f>'תקציב אגף נכסים וביטוח 2019'!U8</f>
        <v>0</v>
      </c>
      <c r="V8" s="228">
        <f>'תקציב אגף נכסים וביטוח 2019'!V8</f>
        <v>0</v>
      </c>
      <c r="W8" s="228">
        <f>'תקציב אגף נכסים וביטוח 2019'!W8</f>
        <v>0</v>
      </c>
      <c r="X8" s="228">
        <f>'תקציב אגף נכסים וביטוח 2019'!X8</f>
        <v>0</v>
      </c>
      <c r="Y8" s="228">
        <f>'תקציב אגף נכסים וביטוח 2019'!Y8</f>
        <v>0</v>
      </c>
      <c r="Z8" s="228">
        <f>'תקציב אגף נכסים וביטוח 2019'!Z8</f>
        <v>0</v>
      </c>
      <c r="AA8" s="603" t="str">
        <f>'תקציב אגף נכסים וביטוח 2019'!AA8</f>
        <v>טרם הסתיים הליך רישום הנכס ע"ש העיריה בפנקסי הרישום.</v>
      </c>
      <c r="AB8" s="253">
        <f>'תקציב אגף נכסים וביטוח 2019'!AB8</f>
        <v>935000</v>
      </c>
      <c r="AC8" s="245"/>
      <c r="AD8" s="245"/>
      <c r="AE8" s="493"/>
    </row>
    <row r="9" spans="1:31" s="252" customFormat="1" ht="18.75" customHeight="1">
      <c r="A9" s="253">
        <f t="shared" si="0"/>
        <v>4</v>
      </c>
      <c r="B9" s="253">
        <v>1177</v>
      </c>
      <c r="C9" s="253" t="s">
        <v>113</v>
      </c>
      <c r="D9" s="228">
        <f>'תקציב אגף נכסים וביטוח 2019'!D9</f>
        <v>41850000</v>
      </c>
      <c r="E9" s="228">
        <f>'תקציב אגף נכסים וביטוח 2019'!E9</f>
        <v>41850000</v>
      </c>
      <c r="F9" s="228">
        <f>'תקציב אגף נכסים וביטוח 2019'!F9</f>
        <v>0</v>
      </c>
      <c r="G9" s="228">
        <f>'תקציב אגף נכסים וביטוח 2019'!G9</f>
        <v>28957000</v>
      </c>
      <c r="H9" s="228">
        <f>'תקציב אגף נכסים וביטוח 2019'!H9</f>
        <v>26727455.199999999</v>
      </c>
      <c r="I9" s="228">
        <f>'תקציב אגף נכסים וביטוח 2019'!I9</f>
        <v>0</v>
      </c>
      <c r="J9" s="228">
        <f>'תקציב אגף נכסים וביטוח 2019'!J9</f>
        <v>0</v>
      </c>
      <c r="K9" s="228">
        <f>'תקציב אגף נכסים וביטוח 2019'!K9</f>
        <v>0</v>
      </c>
      <c r="L9" s="228">
        <f>'תקציב אגף נכסים וביטוח 2019'!L9</f>
        <v>26727455.199999999</v>
      </c>
      <c r="M9" s="228">
        <f>'תקציב אגף נכסים וביטוח 2019'!M9</f>
        <v>2229544.8000000007</v>
      </c>
      <c r="N9" s="228">
        <f>'תקציב אגף נכסים וביטוח 2019'!N9</f>
        <v>0</v>
      </c>
      <c r="O9" s="228">
        <f>'תקציב אגף נכסים וביטוח 2019'!O9</f>
        <v>12893000</v>
      </c>
      <c r="P9" s="228">
        <f>'תקציב אגף נכסים וביטוח 2019'!P9</f>
        <v>2229544.8000000007</v>
      </c>
      <c r="Q9" s="228">
        <f>'תקציב אגף נכסים וביטוח 2019'!Q9</f>
        <v>0</v>
      </c>
      <c r="R9" s="228">
        <f>'תקציב אגף נכסים וביטוח 2019'!R9</f>
        <v>0</v>
      </c>
      <c r="S9" s="228">
        <f>'תקציב אגף נכסים וביטוח 2019'!S9</f>
        <v>0</v>
      </c>
      <c r="T9" s="228">
        <f>'תקציב אגף נכסים וביטוח 2019'!T9</f>
        <v>0</v>
      </c>
      <c r="U9" s="228">
        <f>'תקציב אגף נכסים וביטוח 2019'!U9</f>
        <v>0</v>
      </c>
      <c r="V9" s="228">
        <f>'תקציב אגף נכסים וביטוח 2019'!V9</f>
        <v>0</v>
      </c>
      <c r="W9" s="228">
        <f>'תקציב אגף נכסים וביטוח 2019'!W9</f>
        <v>0</v>
      </c>
      <c r="X9" s="228">
        <f>'תקציב אגף נכסים וביטוח 2019'!X9</f>
        <v>0</v>
      </c>
      <c r="Y9" s="228">
        <f>'תקציב אגף נכסים וביטוח 2019'!Y9</f>
        <v>0</v>
      </c>
      <c r="Z9" s="228">
        <f>'תקציב אגף נכסים וביטוח 2019'!Z9</f>
        <v>0</v>
      </c>
      <c r="AA9" s="603" t="str">
        <f>'תקציב אגף נכסים וביטוח 2019'!AA9</f>
        <v>פיצויי הפקעה בפארק.</v>
      </c>
      <c r="AB9" s="253">
        <f>'תקציב אגף נכסים וביטוח 2019'!AB9</f>
        <v>930000</v>
      </c>
      <c r="AC9" s="245"/>
      <c r="AD9" s="245"/>
      <c r="AE9" s="493"/>
    </row>
    <row r="10" spans="1:31" s="252" customFormat="1" ht="28">
      <c r="A10" s="253">
        <f t="shared" si="0"/>
        <v>5</v>
      </c>
      <c r="B10" s="253">
        <v>1258</v>
      </c>
      <c r="C10" s="253" t="s">
        <v>114</v>
      </c>
      <c r="D10" s="228">
        <f>'תקציב אגף נכסים וביטוח 2019'!D10</f>
        <v>1400000</v>
      </c>
      <c r="E10" s="228">
        <f>'תקציב אגף נכסים וביטוח 2019'!E10</f>
        <v>1400000</v>
      </c>
      <c r="F10" s="228">
        <f>'תקציב אגף נכסים וביטוח 2019'!F10</f>
        <v>0</v>
      </c>
      <c r="G10" s="228">
        <f>'תקציב אגף נכסים וביטוח 2019'!G10</f>
        <v>900000</v>
      </c>
      <c r="H10" s="228">
        <f>'תקציב אגף נכסים וביטוח 2019'!H10</f>
        <v>862669.34</v>
      </c>
      <c r="I10" s="228">
        <f>'תקציב אגף נכסים וביטוח 2019'!I10</f>
        <v>0</v>
      </c>
      <c r="J10" s="228">
        <f>'תקציב אגף נכסים וביטוח 2019'!J10</f>
        <v>0</v>
      </c>
      <c r="K10" s="228">
        <f>'תקציב אגף נכסים וביטוח 2019'!K10</f>
        <v>0</v>
      </c>
      <c r="L10" s="228">
        <f>'תקציב אגף נכסים וביטוח 2019'!L10</f>
        <v>862669.34</v>
      </c>
      <c r="M10" s="228">
        <f>'תקציב אגף נכסים וביטוח 2019'!M10</f>
        <v>37330.660000000033</v>
      </c>
      <c r="N10" s="228">
        <f>'תקציב אגף נכסים וביטוח 2019'!N10</f>
        <v>50000</v>
      </c>
      <c r="O10" s="228">
        <f>'תקציב אגף נכסים וביטוח 2019'!O10</f>
        <v>450000</v>
      </c>
      <c r="P10" s="228">
        <f>'תקציב אגף נכסים וביטוח 2019'!P10</f>
        <v>37330.660000000033</v>
      </c>
      <c r="Q10" s="228">
        <f>'תקציב אגף נכסים וביטוח 2019'!Q10</f>
        <v>0</v>
      </c>
      <c r="R10" s="228">
        <f>'תקציב אגף נכסים וביטוח 2019'!R10</f>
        <v>0</v>
      </c>
      <c r="S10" s="228">
        <f>'תקציב אגף נכסים וביטוח 2019'!S10</f>
        <v>0</v>
      </c>
      <c r="T10" s="228">
        <f>'תקציב אגף נכסים וביטוח 2019'!T10</f>
        <v>0</v>
      </c>
      <c r="U10" s="228">
        <f>'תקציב אגף נכסים וביטוח 2019'!U10</f>
        <v>50000</v>
      </c>
      <c r="V10" s="228">
        <f>'תקציב אגף נכסים וביטוח 2019'!V10</f>
        <v>50000</v>
      </c>
      <c r="W10" s="228">
        <f>'תקציב אגף נכסים וביטוח 2019'!W10</f>
        <v>0</v>
      </c>
      <c r="X10" s="228">
        <f>'תקציב אגף נכסים וביטוח 2019'!X10</f>
        <v>0</v>
      </c>
      <c r="Y10" s="228">
        <f>'תקציב אגף נכסים וביטוח 2019'!Y10</f>
        <v>0</v>
      </c>
      <c r="Z10" s="228">
        <f>'תקציב אגף נכסים וביטוח 2019'!Z10</f>
        <v>0</v>
      </c>
      <c r="AA10" s="603" t="str">
        <f>'תקציב אגף נכסים וביטוח 2019'!AA10</f>
        <v>עלויות כלליות בקשר עם רכישת מקרקעין.</v>
      </c>
      <c r="AB10" s="253">
        <f>'תקציב אגף נכסים וביטוח 2019'!AB10</f>
        <v>930000</v>
      </c>
      <c r="AC10" s="245"/>
      <c r="AD10" s="245"/>
      <c r="AE10" s="493"/>
    </row>
    <row r="11" spans="1:31" s="252" customFormat="1">
      <c r="A11" s="253">
        <f t="shared" si="0"/>
        <v>6</v>
      </c>
      <c r="B11" s="253">
        <v>1330</v>
      </c>
      <c r="C11" s="253" t="s">
        <v>115</v>
      </c>
      <c r="D11" s="228">
        <f>'תקציב אגף נכסים וביטוח 2019'!D11</f>
        <v>60700000</v>
      </c>
      <c r="E11" s="228">
        <f>'תקציב אגף נכסים וביטוח 2019'!E11</f>
        <v>60700000</v>
      </c>
      <c r="F11" s="228">
        <f>'תקציב אגף נכסים וביטוח 2019'!F11</f>
        <v>0</v>
      </c>
      <c r="G11" s="228">
        <f>'תקציב אגף נכסים וביטוח 2019'!G11</f>
        <v>17249825</v>
      </c>
      <c r="H11" s="228">
        <f>'תקציב אגף נכסים וביטוח 2019'!H11</f>
        <v>6279465.6299999999</v>
      </c>
      <c r="I11" s="228">
        <f>'תקציב אגף נכסים וביטוח 2019'!I11</f>
        <v>0</v>
      </c>
      <c r="J11" s="228">
        <f>'תקציב אגף נכסים וביטוח 2019'!J11</f>
        <v>6107</v>
      </c>
      <c r="K11" s="228">
        <f>'תקציב אגף נכסים וביטוח 2019'!K11</f>
        <v>6107</v>
      </c>
      <c r="L11" s="228">
        <f>'תקציב אגף נכסים וביטוח 2019'!L11</f>
        <v>6285572.6299999999</v>
      </c>
      <c r="M11" s="228">
        <f>'תקציב אגף נכסים וביטוח 2019'!M11</f>
        <v>10964252.370000001</v>
      </c>
      <c r="N11" s="228">
        <f>'תקציב אגף נכסים וביטוח 2019'!N11</f>
        <v>0</v>
      </c>
      <c r="O11" s="228">
        <f>'תקציב אגף נכסים וביטוח 2019'!O11</f>
        <v>43450175</v>
      </c>
      <c r="P11" s="228">
        <f>'תקציב אגף נכסים וביטוח 2019'!P11</f>
        <v>10964252.370000001</v>
      </c>
      <c r="Q11" s="228">
        <f>'תקציב אגף נכסים וביטוח 2019'!Q11</f>
        <v>0</v>
      </c>
      <c r="R11" s="228">
        <f>'תקציב אגף נכסים וביטוח 2019'!R11</f>
        <v>0</v>
      </c>
      <c r="S11" s="228">
        <f>'תקציב אגף נכסים וביטוח 2019'!S11</f>
        <v>0</v>
      </c>
      <c r="T11" s="228">
        <f>'תקציב אגף נכסים וביטוח 2019'!T11</f>
        <v>0</v>
      </c>
      <c r="U11" s="228">
        <f>'תקציב אגף נכסים וביטוח 2019'!U11</f>
        <v>0</v>
      </c>
      <c r="V11" s="228">
        <f>'תקציב אגף נכסים וביטוח 2019'!V11</f>
        <v>0</v>
      </c>
      <c r="W11" s="228">
        <f>'תקציב אגף נכסים וביטוח 2019'!W11</f>
        <v>0</v>
      </c>
      <c r="X11" s="228">
        <f>'תקציב אגף נכסים וביטוח 2019'!X11</f>
        <v>0</v>
      </c>
      <c r="Y11" s="228">
        <f>'תקציב אגף נכסים וביטוח 2019'!Y11</f>
        <v>0</v>
      </c>
      <c r="Z11" s="228">
        <f>'תקציב אגף נכסים וביטוח 2019'!Z11</f>
        <v>0</v>
      </c>
      <c r="AA11" s="603" t="str">
        <f>'תקציב אגף נכסים וביטוח 2019'!AA11</f>
        <v>פיצויי הפקעה בפארק תוכנית הר' 1941.</v>
      </c>
      <c r="AB11" s="253">
        <f>'תקציב אגף נכסים וביטוח 2019'!AB11</f>
        <v>930000</v>
      </c>
      <c r="AC11" s="245"/>
      <c r="AD11" s="245"/>
      <c r="AE11" s="493"/>
    </row>
    <row r="12" spans="1:31" s="252" customFormat="1" ht="56">
      <c r="A12" s="253">
        <f t="shared" si="0"/>
        <v>7</v>
      </c>
      <c r="B12" s="253">
        <v>1369</v>
      </c>
      <c r="C12" s="253" t="s">
        <v>116</v>
      </c>
      <c r="D12" s="228">
        <f>'תקציב אגף נכסים וביטוח 2019'!D12</f>
        <v>4000000</v>
      </c>
      <c r="E12" s="228">
        <f>'תקציב אגף נכסים וביטוח 2019'!E12</f>
        <v>1100700</v>
      </c>
      <c r="F12" s="228">
        <f>'תקציב אגף נכסים וביטוח 2019'!F12</f>
        <v>2899300</v>
      </c>
      <c r="G12" s="228">
        <f>'תקציב אגף נכסים וביטוח 2019'!G12</f>
        <v>570700</v>
      </c>
      <c r="H12" s="228">
        <f>'תקציב אגף נכסים וביטוח 2019'!H12</f>
        <v>552097</v>
      </c>
      <c r="I12" s="228">
        <f>'תקציב אגף נכסים וביטוח 2019'!I12</f>
        <v>0</v>
      </c>
      <c r="J12" s="228">
        <f>'תקציב אגף נכסים וביטוח 2019'!J12</f>
        <v>0</v>
      </c>
      <c r="K12" s="228">
        <f>'תקציב אגף נכסים וביטוח 2019'!K12</f>
        <v>0</v>
      </c>
      <c r="L12" s="228">
        <f>'תקציב אגף נכסים וביטוח 2019'!L12</f>
        <v>552097</v>
      </c>
      <c r="M12" s="228">
        <f>'תקציב אגף נכסים וביטוח 2019'!M12</f>
        <v>18603</v>
      </c>
      <c r="N12" s="228">
        <f>'תקציב אגף נכסים וביטוח 2019'!N12</f>
        <v>3429300</v>
      </c>
      <c r="O12" s="228">
        <f>'תקציב אגף נכסים וביטוח 2019'!O12</f>
        <v>0</v>
      </c>
      <c r="P12" s="228">
        <f>'תקציב אגף נכסים וביטוח 2019'!P12</f>
        <v>18603</v>
      </c>
      <c r="Q12" s="228">
        <f>'תקציב אגף נכסים וביטוח 2019'!Q12</f>
        <v>0</v>
      </c>
      <c r="R12" s="228">
        <f>'תקציב אגף נכסים וביטוח 2019'!R12</f>
        <v>0</v>
      </c>
      <c r="S12" s="228">
        <f>'תקציב אגף נכסים וביטוח 2019'!S12</f>
        <v>0</v>
      </c>
      <c r="T12" s="228">
        <f>'תקציב אגף נכסים וביטוח 2019'!T12</f>
        <v>0</v>
      </c>
      <c r="U12" s="228">
        <f>'תקציב אגף נכסים וביטוח 2019'!U12</f>
        <v>3429300</v>
      </c>
      <c r="V12" s="228">
        <f>'תקציב אגף נכסים וביטוח 2019'!V12</f>
        <v>3429300</v>
      </c>
      <c r="W12" s="228">
        <f>'תקציב אגף נכסים וביטוח 2019'!W12</f>
        <v>0</v>
      </c>
      <c r="X12" s="228">
        <f>'תקציב אגף נכסים וביטוח 2019'!X12</f>
        <v>0</v>
      </c>
      <c r="Y12" s="228">
        <f>'תקציב אגף נכסים וביטוח 2019'!Y12</f>
        <v>0</v>
      </c>
      <c r="Z12" s="228">
        <f>'תקציב אגף נכסים וביטוח 2019'!Z12</f>
        <v>0</v>
      </c>
      <c r="AA12" s="603" t="str">
        <f>'תקציב אגף נכסים וביטוח 2019'!AA12</f>
        <v>פיצויי הפקעה בגוש 6525 חלקות 130,131 הר/ 1704. טרם שולמו הפיצויים ליתרת בעלי המקרקעין. טרם הסתיים ההליך המשפטי.</v>
      </c>
      <c r="AB12" s="253">
        <f>'תקציב אגף נכסים וביטוח 2019'!AB12</f>
        <v>930000</v>
      </c>
      <c r="AC12" s="245"/>
      <c r="AD12" s="245"/>
      <c r="AE12" s="493"/>
    </row>
    <row r="13" spans="1:31" s="252" customFormat="1" ht="42">
      <c r="A13" s="253">
        <f t="shared" si="0"/>
        <v>8</v>
      </c>
      <c r="B13" s="253">
        <v>1704</v>
      </c>
      <c r="C13" s="253" t="s">
        <v>117</v>
      </c>
      <c r="D13" s="228">
        <f>'תקציב אגף נכסים וביטוח 2019'!D13</f>
        <v>5784000</v>
      </c>
      <c r="E13" s="228">
        <f>'תקציב אגף נכסים וביטוח 2019'!E13</f>
        <v>5784000</v>
      </c>
      <c r="F13" s="228">
        <f>'תקציב אגף נכסים וביטוח 2019'!F13</f>
        <v>0</v>
      </c>
      <c r="G13" s="228">
        <f>'תקציב אגף נכסים וביטוח 2019'!G13</f>
        <v>40000</v>
      </c>
      <c r="H13" s="228">
        <f>'תקציב אגף נכסים וביטוח 2019'!H13</f>
        <v>29996.73</v>
      </c>
      <c r="I13" s="228">
        <f>'תקציב אגף נכסים וביטוח 2019'!I13</f>
        <v>0</v>
      </c>
      <c r="J13" s="228">
        <f>'תקציב אגף נכסים וביטוח 2019'!J13</f>
        <v>0</v>
      </c>
      <c r="K13" s="228">
        <f>'תקציב אגף נכסים וביטוח 2019'!K13</f>
        <v>0</v>
      </c>
      <c r="L13" s="228">
        <f>'תקציב אגף נכסים וביטוח 2019'!L13</f>
        <v>29996.73</v>
      </c>
      <c r="M13" s="228">
        <f>'תקציב אגף נכסים וביטוח 2019'!M13</f>
        <v>10003.27</v>
      </c>
      <c r="N13" s="228">
        <f>'תקציב אגף נכסים וביטוח 2019'!N13</f>
        <v>1540000</v>
      </c>
      <c r="O13" s="228">
        <f>'תקציב אגף נכסים וביטוח 2019'!O13</f>
        <v>4204000</v>
      </c>
      <c r="P13" s="228">
        <f>'תקציב אגף נכסים וביטוח 2019'!P13</f>
        <v>10003.27</v>
      </c>
      <c r="Q13" s="228">
        <f>'תקציב אגף נכסים וביטוח 2019'!Q13</f>
        <v>0</v>
      </c>
      <c r="R13" s="228">
        <f>'תקציב אגף נכסים וביטוח 2019'!R13</f>
        <v>0</v>
      </c>
      <c r="S13" s="228">
        <f>'תקציב אגף נכסים וביטוח 2019'!S13</f>
        <v>0</v>
      </c>
      <c r="T13" s="228">
        <f>'תקציב אגף נכסים וביטוח 2019'!T13</f>
        <v>0</v>
      </c>
      <c r="U13" s="228">
        <f>'תקציב אגף נכסים וביטוח 2019'!U13</f>
        <v>1540000</v>
      </c>
      <c r="V13" s="228">
        <f>'תקציב אגף נכסים וביטוח 2019'!V13</f>
        <v>1540000</v>
      </c>
      <c r="W13" s="228">
        <f>'תקציב אגף נכסים וביטוח 2019'!W13</f>
        <v>0</v>
      </c>
      <c r="X13" s="228">
        <f>'תקציב אגף נכסים וביטוח 2019'!X13</f>
        <v>0</v>
      </c>
      <c r="Y13" s="228">
        <f>'תקציב אגף נכסים וביטוח 2019'!Y13</f>
        <v>0</v>
      </c>
      <c r="Z13" s="228">
        <f>'תקציב אגף נכסים וביטוח 2019'!Z13</f>
        <v>0</v>
      </c>
      <c r="AA13" s="603" t="str">
        <f>'תקציב אגף נכסים וביטוח 2019'!AA13</f>
        <v>עלויות בקשר עם תביעה של פינוי נכס גוש 6521 חלק' 21-23, 67-68. משפחת רחמים. טרם הסתיים ההליך המשפטי.</v>
      </c>
      <c r="AB13" s="253">
        <f>'תקציב אגף נכסים וביטוח 2019'!AB13</f>
        <v>930000</v>
      </c>
      <c r="AC13" s="245"/>
      <c r="AD13" s="245"/>
      <c r="AE13" s="493"/>
    </row>
    <row r="14" spans="1:31" s="252" customFormat="1" ht="28">
      <c r="A14" s="253">
        <f t="shared" si="0"/>
        <v>9</v>
      </c>
      <c r="B14" s="253">
        <v>1791</v>
      </c>
      <c r="C14" s="253" t="s">
        <v>118</v>
      </c>
      <c r="D14" s="228">
        <f>'תקציב אגף נכסים וביטוח 2019'!D14</f>
        <v>570000</v>
      </c>
      <c r="E14" s="228">
        <f>'תקציב אגף נכסים וביטוח 2019'!E14</f>
        <v>570000</v>
      </c>
      <c r="F14" s="228">
        <f>'תקציב אגף נכסים וביטוח 2019'!F14</f>
        <v>0</v>
      </c>
      <c r="G14" s="228">
        <f>'תקציב אגף נכסים וביטוח 2019'!G14</f>
        <v>500000</v>
      </c>
      <c r="H14" s="228">
        <f>'תקציב אגף נכסים וביטוח 2019'!H14</f>
        <v>404150</v>
      </c>
      <c r="I14" s="228">
        <f>'תקציב אגף נכסים וביטוח 2019'!I14</f>
        <v>0</v>
      </c>
      <c r="J14" s="228">
        <f>'תקציב אגף נכסים וביטוח 2019'!J14</f>
        <v>0</v>
      </c>
      <c r="K14" s="228">
        <f>'תקציב אגף נכסים וביטוח 2019'!K14</f>
        <v>0</v>
      </c>
      <c r="L14" s="228">
        <f>'תקציב אגף נכסים וביטוח 2019'!L14</f>
        <v>404150</v>
      </c>
      <c r="M14" s="228">
        <f>'תקציב אגף נכסים וביטוח 2019'!M14</f>
        <v>95850</v>
      </c>
      <c r="N14" s="228">
        <f>'תקציב אגף נכסים וביטוח 2019'!N14</f>
        <v>0</v>
      </c>
      <c r="O14" s="228">
        <f>'תקציב אגף נכסים וביטוח 2019'!O14</f>
        <v>70000</v>
      </c>
      <c r="P14" s="228">
        <f>'תקציב אגף נכסים וביטוח 2019'!P14</f>
        <v>95850</v>
      </c>
      <c r="Q14" s="228">
        <f>'תקציב אגף נכסים וביטוח 2019'!Q14</f>
        <v>0</v>
      </c>
      <c r="R14" s="228">
        <f>'תקציב אגף נכסים וביטוח 2019'!R14</f>
        <v>0</v>
      </c>
      <c r="S14" s="228">
        <f>'תקציב אגף נכסים וביטוח 2019'!S14</f>
        <v>0</v>
      </c>
      <c r="T14" s="228">
        <f>'תקציב אגף נכסים וביטוח 2019'!T14</f>
        <v>0</v>
      </c>
      <c r="U14" s="228">
        <f>'תקציב אגף נכסים וביטוח 2019'!U14</f>
        <v>0</v>
      </c>
      <c r="V14" s="228">
        <f>'תקציב אגף נכסים וביטוח 2019'!V14</f>
        <v>0</v>
      </c>
      <c r="W14" s="228">
        <f>'תקציב אגף נכסים וביטוח 2019'!W14</f>
        <v>0</v>
      </c>
      <c r="X14" s="228">
        <f>'תקציב אגף נכסים וביטוח 2019'!X14</f>
        <v>0</v>
      </c>
      <c r="Y14" s="228">
        <f>'תקציב אגף נכסים וביטוח 2019'!Y14</f>
        <v>0</v>
      </c>
      <c r="Z14" s="228">
        <f>'תקציב אגף נכסים וביטוח 2019'!Z14</f>
        <v>0</v>
      </c>
      <c r="AA14" s="603" t="str">
        <f>'תקציב אגף נכסים וביטוח 2019'!AA14</f>
        <v>שיפוץ חלקי של בית משותף בו מצויים הספריה והחניון בבעלות העיריה.</v>
      </c>
      <c r="AB14" s="253">
        <f>'תקציב אגף נכסים וביטוח 2019'!AB14</f>
        <v>930000</v>
      </c>
      <c r="AC14" s="245"/>
      <c r="AD14" s="245"/>
      <c r="AE14" s="493"/>
    </row>
    <row r="15" spans="1:31" s="252" customFormat="1" ht="28">
      <c r="A15" s="253">
        <f t="shared" si="0"/>
        <v>10</v>
      </c>
      <c r="B15" s="253">
        <v>1801</v>
      </c>
      <c r="C15" s="253" t="s">
        <v>190</v>
      </c>
      <c r="D15" s="228">
        <f>'תקציב אגף נכסים וביטוח 2019'!D15</f>
        <v>36000000</v>
      </c>
      <c r="E15" s="228">
        <f>'תקציב אגף נכסים וביטוח 2019'!E15</f>
        <v>36000000</v>
      </c>
      <c r="F15" s="228">
        <f>'תקציב אגף נכסים וביטוח 2019'!F15</f>
        <v>0</v>
      </c>
      <c r="G15" s="228">
        <f>'תקציב אגף נכסים וביטוח 2019'!G15</f>
        <v>36000000</v>
      </c>
      <c r="H15" s="228">
        <f>'תקציב אגף נכסים וביטוח 2019'!H15</f>
        <v>30403082.890000001</v>
      </c>
      <c r="I15" s="228">
        <f>'תקציב אגף נכסים וביטוח 2019'!I15</f>
        <v>0</v>
      </c>
      <c r="J15" s="228">
        <f>'תקציב אגף נכסים וביטוח 2019'!J15</f>
        <v>0</v>
      </c>
      <c r="K15" s="228">
        <f>'תקציב אגף נכסים וביטוח 2019'!K15</f>
        <v>0</v>
      </c>
      <c r="L15" s="228">
        <f>'תקציב אגף נכסים וביטוח 2019'!L15</f>
        <v>30403082.890000001</v>
      </c>
      <c r="M15" s="228">
        <f>'תקציב אגף נכסים וביטוח 2019'!M15</f>
        <v>5596917.1099999994</v>
      </c>
      <c r="N15" s="228">
        <f>'תקציב אגף נכסים וביטוח 2019'!N15</f>
        <v>0</v>
      </c>
      <c r="O15" s="228">
        <f>'תקציב אגף נכסים וביטוח 2019'!O15</f>
        <v>0</v>
      </c>
      <c r="P15" s="228">
        <f>'תקציב אגף נכסים וביטוח 2019'!P15</f>
        <v>5596917.1099999994</v>
      </c>
      <c r="Q15" s="228">
        <f>'תקציב אגף נכסים וביטוח 2019'!Q15</f>
        <v>0</v>
      </c>
      <c r="R15" s="228">
        <f>'תקציב אגף נכסים וביטוח 2019'!R15</f>
        <v>0</v>
      </c>
      <c r="S15" s="228">
        <f>'תקציב אגף נכסים וביטוח 2019'!S15</f>
        <v>0</v>
      </c>
      <c r="T15" s="228">
        <f>'תקציב אגף נכסים וביטוח 2019'!T15</f>
        <v>0</v>
      </c>
      <c r="U15" s="228">
        <f>'תקציב אגף נכסים וביטוח 2019'!U15</f>
        <v>0</v>
      </c>
      <c r="V15" s="228">
        <f>'תקציב אגף נכסים וביטוח 2019'!V15</f>
        <v>0</v>
      </c>
      <c r="W15" s="228">
        <f>'תקציב אגף נכסים וביטוח 2019'!W15</f>
        <v>0</v>
      </c>
      <c r="X15" s="228">
        <f>'תקציב אגף נכסים וביטוח 2019'!X15</f>
        <v>0</v>
      </c>
      <c r="Y15" s="228">
        <f>'תקציב אגף נכסים וביטוח 2019'!Y15</f>
        <v>0</v>
      </c>
      <c r="Z15" s="228">
        <f>'תקציב אגף נכסים וביטוח 2019'!Z15</f>
        <v>0</v>
      </c>
      <c r="AA15" s="603" t="str">
        <f>'תקציב אגף נכסים וביטוח 2019'!AA15</f>
        <v>פיצויי הפקעה בעקבות פס"ד. טרם הושלם הדיון מול רשויות המס.</v>
      </c>
      <c r="AB15" s="253">
        <f>'תקציב אגף נכסים וביטוח 2019'!AB15</f>
        <v>930000</v>
      </c>
      <c r="AC15" s="245"/>
      <c r="AD15" s="245"/>
      <c r="AE15" s="493"/>
    </row>
    <row r="16" spans="1:31" s="252" customFormat="1" ht="28">
      <c r="A16" s="253">
        <f t="shared" si="0"/>
        <v>11</v>
      </c>
      <c r="B16" s="253">
        <v>1983</v>
      </c>
      <c r="C16" s="253" t="s">
        <v>279</v>
      </c>
      <c r="D16" s="228">
        <f>'תקציב אגף נכסים וביטוח 2019'!D16</f>
        <v>800000</v>
      </c>
      <c r="E16" s="228">
        <f>'תקציב אגף נכסים וביטוח 2019'!E16</f>
        <v>800000</v>
      </c>
      <c r="F16" s="228">
        <f>'תקציב אגף נכסים וביטוח 2019'!F16</f>
        <v>0</v>
      </c>
      <c r="G16" s="228">
        <f>'תקציב אגף נכסים וביטוח 2019'!G16</f>
        <v>0</v>
      </c>
      <c r="H16" s="228">
        <f>'תקציב אגף נכסים וביטוח 2019'!H16</f>
        <v>0</v>
      </c>
      <c r="I16" s="228">
        <f>'תקציב אגף נכסים וביטוח 2019'!I16</f>
        <v>0</v>
      </c>
      <c r="J16" s="228">
        <f>'תקציב אגף נכסים וביטוח 2019'!J16</f>
        <v>6149</v>
      </c>
      <c r="K16" s="228">
        <f>'תקציב אגף נכסים וביטוח 2019'!K16</f>
        <v>6149</v>
      </c>
      <c r="L16" s="228">
        <f>'תקציב אגף נכסים וביטוח 2019'!L16</f>
        <v>6149</v>
      </c>
      <c r="M16" s="228">
        <f>'תקציב אגף נכסים וביטוח 2019'!M16</f>
        <v>3851</v>
      </c>
      <c r="N16" s="228">
        <f>'תקציב אגף נכסים וביטוח 2019'!N16</f>
        <v>90000</v>
      </c>
      <c r="O16" s="228">
        <f>'תקציב אגף נכסים וביטוח 2019'!O16</f>
        <v>700000</v>
      </c>
      <c r="P16" s="228">
        <f>'תקציב אגף נכסים וביטוח 2019'!P16</f>
        <v>-6149</v>
      </c>
      <c r="Q16" s="228">
        <f>'תקציב אגף נכסים וביטוח 2019'!Q16</f>
        <v>10000</v>
      </c>
      <c r="R16" s="228">
        <f>'תקציב אגף נכסים וביטוח 2019'!R16</f>
        <v>0</v>
      </c>
      <c r="S16" s="228">
        <f>'תקציב אגף נכסים וביטוח 2019'!S16</f>
        <v>10000</v>
      </c>
      <c r="T16" s="228">
        <f>'תקציב אגף נכסים וביטוח 2019'!T16</f>
        <v>0</v>
      </c>
      <c r="U16" s="228">
        <f>'תקציב אגף נכסים וביטוח 2019'!U16</f>
        <v>90000</v>
      </c>
      <c r="V16" s="228">
        <f>'תקציב אגף נכסים וביטוח 2019'!V16</f>
        <v>90000</v>
      </c>
      <c r="W16" s="228">
        <f>'תקציב אגף נכסים וביטוח 2019'!W16</f>
        <v>0</v>
      </c>
      <c r="X16" s="228">
        <f>'תקציב אגף נכסים וביטוח 2019'!X16</f>
        <v>0</v>
      </c>
      <c r="Y16" s="228">
        <f>'תקציב אגף נכסים וביטוח 2019'!Y16</f>
        <v>0</v>
      </c>
      <c r="Z16" s="228">
        <f>'תקציב אגף נכסים וביטוח 2019'!Z16</f>
        <v>0</v>
      </c>
      <c r="AA16" s="603" t="str">
        <f>'תקציב אגף נכסים וביטוח 2019'!AA16</f>
        <v>פיצויי הפקעה נכס גוש 6524/21,22 פטריאלי.</v>
      </c>
      <c r="AB16" s="253">
        <f>'תקציב אגף נכסים וביטוח 2019'!AB16</f>
        <v>930000</v>
      </c>
      <c r="AC16" s="245"/>
      <c r="AD16" s="245"/>
      <c r="AE16" s="493"/>
    </row>
    <row r="17" spans="1:31" s="252" customFormat="1" ht="28">
      <c r="A17" s="253">
        <f t="shared" si="0"/>
        <v>12</v>
      </c>
      <c r="B17" s="253">
        <v>1984</v>
      </c>
      <c r="C17" s="253" t="s">
        <v>280</v>
      </c>
      <c r="D17" s="228">
        <f>'תקציב אגף נכסים וביטוח 2019'!D17</f>
        <v>450000</v>
      </c>
      <c r="E17" s="228">
        <f>'תקציב אגף נכסים וביטוח 2019'!E17</f>
        <v>450000</v>
      </c>
      <c r="F17" s="228">
        <f>'תקציב אגף נכסים וביטוח 2019'!F17</f>
        <v>0</v>
      </c>
      <c r="G17" s="228">
        <f>'תקציב אגף נכסים וביטוח 2019'!G17</f>
        <v>10000</v>
      </c>
      <c r="H17" s="228">
        <f>'תקציב אגף נכסים וביטוח 2019'!H17</f>
        <v>1869</v>
      </c>
      <c r="I17" s="228">
        <f>'תקציב אגף נכסים וביטוח 2019'!I17</f>
        <v>0</v>
      </c>
      <c r="J17" s="228">
        <f>'תקציב אגף נכסים וביטוח 2019'!J17</f>
        <v>0</v>
      </c>
      <c r="K17" s="228">
        <f>'תקציב אגף נכסים וביטוח 2019'!K17</f>
        <v>0</v>
      </c>
      <c r="L17" s="228">
        <f>'תקציב אגף נכסים וביטוח 2019'!L17</f>
        <v>1869</v>
      </c>
      <c r="M17" s="228">
        <f>'תקציב אגף נכסים וביטוח 2019'!M17</f>
        <v>8131</v>
      </c>
      <c r="N17" s="228">
        <f>'תקציב אגף נכסים וביטוח 2019'!N17</f>
        <v>380000</v>
      </c>
      <c r="O17" s="228">
        <f>'תקציב אגף נכסים וביטוח 2019'!O17</f>
        <v>60000</v>
      </c>
      <c r="P17" s="228">
        <f>'תקציב אגף נכסים וביטוח 2019'!P17</f>
        <v>8131</v>
      </c>
      <c r="Q17" s="228">
        <f>'תקציב אגף נכסים וביטוח 2019'!Q17</f>
        <v>0</v>
      </c>
      <c r="R17" s="228">
        <f>'תקציב אגף נכסים וביטוח 2019'!R17</f>
        <v>0</v>
      </c>
      <c r="S17" s="228">
        <f>'תקציב אגף נכסים וביטוח 2019'!S17</f>
        <v>0</v>
      </c>
      <c r="T17" s="228">
        <f>'תקציב אגף נכסים וביטוח 2019'!T17</f>
        <v>0</v>
      </c>
      <c r="U17" s="228">
        <f>'תקציב אגף נכסים וביטוח 2019'!U17</f>
        <v>380000</v>
      </c>
      <c r="V17" s="228">
        <f>'תקציב אגף נכסים וביטוח 2019'!V17</f>
        <v>380000</v>
      </c>
      <c r="W17" s="228">
        <f>'תקציב אגף נכסים וביטוח 2019'!W17</f>
        <v>0</v>
      </c>
      <c r="X17" s="228">
        <f>'תקציב אגף נכסים וביטוח 2019'!X17</f>
        <v>0</v>
      </c>
      <c r="Y17" s="228">
        <f>'תקציב אגף נכסים וביטוח 2019'!Y17</f>
        <v>0</v>
      </c>
      <c r="Z17" s="228">
        <f>'תקציב אגף נכסים וביטוח 2019'!Z17</f>
        <v>0</v>
      </c>
      <c r="AA17" s="603" t="str">
        <f>'תקציב אגף נכסים וביטוח 2019'!AA17</f>
        <v>פיצויי הפקעה נכס גוש 6524/52 ארז בן אהרון.</v>
      </c>
      <c r="AB17" s="253">
        <f>'תקציב אגף נכסים וביטוח 2019'!AB17</f>
        <v>930000</v>
      </c>
      <c r="AC17" s="245"/>
      <c r="AD17" s="245"/>
      <c r="AE17" s="493"/>
    </row>
    <row r="18" spans="1:31" s="252" customFormat="1" ht="28">
      <c r="A18" s="253">
        <f t="shared" si="0"/>
        <v>13</v>
      </c>
      <c r="B18" s="253">
        <v>1985</v>
      </c>
      <c r="C18" s="253" t="s">
        <v>281</v>
      </c>
      <c r="D18" s="228">
        <f>'תקציב אגף נכסים וביטוח 2019'!D18</f>
        <v>600000</v>
      </c>
      <c r="E18" s="228">
        <f>'תקציב אגף נכסים וביטוח 2019'!E18</f>
        <v>600000</v>
      </c>
      <c r="F18" s="228">
        <f>'תקציב אגף נכסים וביטוח 2019'!F18</f>
        <v>0</v>
      </c>
      <c r="G18" s="228">
        <f>'תקציב אגף נכסים וביטוח 2019'!G18</f>
        <v>0</v>
      </c>
      <c r="H18" s="228">
        <f>'תקציב אגף נכסים וביטוח 2019'!H18</f>
        <v>0</v>
      </c>
      <c r="I18" s="228">
        <f>'תקציב אגף נכסים וביטוח 2019'!I18</f>
        <v>0</v>
      </c>
      <c r="J18" s="228">
        <f>'תקציב אגף נכסים וביטוח 2019'!J18</f>
        <v>0</v>
      </c>
      <c r="K18" s="228">
        <f>'תקציב אגף נכסים וביטוח 2019'!K18</f>
        <v>0</v>
      </c>
      <c r="L18" s="228">
        <f>'תקציב אגף נכסים וביטוח 2019'!L18</f>
        <v>0</v>
      </c>
      <c r="M18" s="228">
        <f>'תקציב אגף נכסים וביטוח 2019'!M18</f>
        <v>0</v>
      </c>
      <c r="N18" s="228">
        <f>'תקציב אגף נכסים וביטוח 2019'!N18</f>
        <v>100000</v>
      </c>
      <c r="O18" s="228">
        <f>'תקציב אגף נכסים וביטוח 2019'!O18</f>
        <v>500000</v>
      </c>
      <c r="P18" s="228">
        <f>'תקציב אגף נכסים וביטוח 2019'!P18</f>
        <v>0</v>
      </c>
      <c r="Q18" s="228">
        <f>'תקציב אגף נכסים וביטוח 2019'!Q18</f>
        <v>0</v>
      </c>
      <c r="R18" s="228">
        <f>'תקציב אגף נכסים וביטוח 2019'!R18</f>
        <v>0</v>
      </c>
      <c r="S18" s="228">
        <f>'תקציב אגף נכסים וביטוח 2019'!S18</f>
        <v>0</v>
      </c>
      <c r="T18" s="228">
        <f>'תקציב אגף נכסים וביטוח 2019'!T18</f>
        <v>0</v>
      </c>
      <c r="U18" s="228">
        <f>'תקציב אגף נכסים וביטוח 2019'!U18</f>
        <v>100000</v>
      </c>
      <c r="V18" s="228">
        <f>'תקציב אגף נכסים וביטוח 2019'!V18</f>
        <v>100000</v>
      </c>
      <c r="W18" s="228">
        <f>'תקציב אגף נכסים וביטוח 2019'!W18</f>
        <v>0</v>
      </c>
      <c r="X18" s="228">
        <f>'תקציב אגף נכסים וביטוח 2019'!X18</f>
        <v>0</v>
      </c>
      <c r="Y18" s="228">
        <f>'תקציב אגף נכסים וביטוח 2019'!Y18</f>
        <v>0</v>
      </c>
      <c r="Z18" s="228">
        <f>'תקציב אגף נכסים וביטוח 2019'!Z18</f>
        <v>0</v>
      </c>
      <c r="AA18" s="603" t="str">
        <f>'תקציב אגף נכסים וביטוח 2019'!AA18</f>
        <v>פיצויי הפקעה נכס גוש 6524/58,68 הרשקוביץ שושנה.</v>
      </c>
      <c r="AB18" s="253">
        <f>'תקציב אגף נכסים וביטוח 2019'!AB18</f>
        <v>930000</v>
      </c>
      <c r="AC18" s="245"/>
      <c r="AD18" s="245"/>
      <c r="AE18" s="493"/>
    </row>
    <row r="19" spans="1:31" s="252" customFormat="1" ht="28">
      <c r="A19" s="253">
        <f t="shared" si="0"/>
        <v>14</v>
      </c>
      <c r="B19" s="253">
        <v>1993</v>
      </c>
      <c r="C19" s="253" t="s">
        <v>342</v>
      </c>
      <c r="D19" s="228">
        <f>'תקציב אגף נכסים וביטוח 2019'!D19</f>
        <v>6000000</v>
      </c>
      <c r="E19" s="228">
        <f>'תקציב אגף נכסים וביטוח 2019'!E19</f>
        <v>6000000</v>
      </c>
      <c r="F19" s="228">
        <f>'תקציב אגף נכסים וביטוח 2019'!F19</f>
        <v>0</v>
      </c>
      <c r="G19" s="228">
        <f>'תקציב אגף נכסים וביטוח 2019'!G19</f>
        <v>50000</v>
      </c>
      <c r="H19" s="228">
        <f>'תקציב אגף נכסים וביטוח 2019'!H19</f>
        <v>46467</v>
      </c>
      <c r="I19" s="228">
        <f>'תקציב אגף נכסים וביטוח 2019'!I19</f>
        <v>0</v>
      </c>
      <c r="J19" s="228">
        <f>'תקציב אגף נכסים וביטוח 2019'!J19</f>
        <v>0</v>
      </c>
      <c r="K19" s="228">
        <f>'תקציב אגף נכסים וביטוח 2019'!K19</f>
        <v>0</v>
      </c>
      <c r="L19" s="228">
        <f>'תקציב אגף נכסים וביטוח 2019'!L19</f>
        <v>46467</v>
      </c>
      <c r="M19" s="228">
        <f>'תקציב אגף נכסים וביטוח 2019'!M19</f>
        <v>3533</v>
      </c>
      <c r="N19" s="228">
        <f>'תקציב אגף נכסים וביטוח 2019'!N19</f>
        <v>2000000</v>
      </c>
      <c r="O19" s="228">
        <f>'תקציב אגף נכסים וביטוח 2019'!O19</f>
        <v>3950000</v>
      </c>
      <c r="P19" s="228">
        <f>'תקציב אגף נכסים וביטוח 2019'!P19</f>
        <v>3533</v>
      </c>
      <c r="Q19" s="228">
        <f>'תקציב אגף נכסים וביטוח 2019'!Q19</f>
        <v>0</v>
      </c>
      <c r="R19" s="228">
        <f>'תקציב אגף נכסים וביטוח 2019'!R19</f>
        <v>0</v>
      </c>
      <c r="S19" s="228">
        <f>'תקציב אגף נכסים וביטוח 2019'!S19</f>
        <v>0</v>
      </c>
      <c r="T19" s="228">
        <f>'תקציב אגף נכסים וביטוח 2019'!T19</f>
        <v>0</v>
      </c>
      <c r="U19" s="228">
        <f>'תקציב אגף נכסים וביטוח 2019'!U19</f>
        <v>2000000</v>
      </c>
      <c r="V19" s="228">
        <f>'תקציב אגף נכסים וביטוח 2019'!V19</f>
        <v>2000000</v>
      </c>
      <c r="W19" s="228">
        <f>'תקציב אגף נכסים וביטוח 2019'!W19</f>
        <v>0</v>
      </c>
      <c r="X19" s="228">
        <f>'תקציב אגף נכסים וביטוח 2019'!X19</f>
        <v>0</v>
      </c>
      <c r="Y19" s="228">
        <f>'תקציב אגף נכסים וביטוח 2019'!Y19</f>
        <v>0</v>
      </c>
      <c r="Z19" s="228">
        <f>'תקציב אגף נכסים וביטוח 2019'!Z19</f>
        <v>0</v>
      </c>
      <c r="AA19" s="603" t="str">
        <f>'תקציב אגף נכסים וביטוח 2019'!AA19</f>
        <v>פרויקט בניה עצמית בו לעיריה 3 יח"ד בבית מגורים משותף.</v>
      </c>
      <c r="AB19" s="253">
        <f>'תקציב אגף נכסים וביטוח 2019'!AB19</f>
        <v>930000</v>
      </c>
      <c r="AC19" s="245"/>
      <c r="AD19" s="245"/>
      <c r="AE19" s="493"/>
    </row>
    <row r="20" spans="1:31" s="252" customFormat="1" ht="28">
      <c r="A20" s="253">
        <f t="shared" si="0"/>
        <v>15</v>
      </c>
      <c r="B20" s="253">
        <v>2055</v>
      </c>
      <c r="C20" s="253" t="s">
        <v>831</v>
      </c>
      <c r="D20" s="228">
        <f>'תקציב אגף נכסים וביטוח 2019'!D20</f>
        <v>220000</v>
      </c>
      <c r="E20" s="228">
        <f>'תקציב אגף נכסים וביטוח 2019'!E20</f>
        <v>220000</v>
      </c>
      <c r="F20" s="228">
        <f>'תקציב אגף נכסים וביטוח 2019'!F20</f>
        <v>0</v>
      </c>
      <c r="G20" s="228">
        <f>'תקציב אגף נכסים וביטוח 2019'!G20</f>
        <v>200000</v>
      </c>
      <c r="H20" s="228">
        <f>'תקציב אגף נכסים וביטוח 2019'!H20</f>
        <v>0</v>
      </c>
      <c r="I20" s="228">
        <f>'תקציב אגף נכסים וביטוח 2019'!I20</f>
        <v>0</v>
      </c>
      <c r="J20" s="228">
        <f>'תקציב אגף נכסים וביטוח 2019'!J20</f>
        <v>0</v>
      </c>
      <c r="K20" s="228">
        <f>'תקציב אגף נכסים וביטוח 2019'!K20</f>
        <v>0</v>
      </c>
      <c r="L20" s="228">
        <f>'תקציב אגף נכסים וביטוח 2019'!L20</f>
        <v>0</v>
      </c>
      <c r="M20" s="228">
        <f>'תקציב אגף נכסים וביטוח 2019'!M20</f>
        <v>200000</v>
      </c>
      <c r="N20" s="228">
        <f>'תקציב אגף נכסים וביטוח 2019'!N20</f>
        <v>0</v>
      </c>
      <c r="O20" s="228">
        <f>'תקציב אגף נכסים וביטוח 2019'!O20</f>
        <v>20000</v>
      </c>
      <c r="P20" s="228">
        <f>'תקציב אגף נכסים וביטוח 2019'!P20</f>
        <v>200000</v>
      </c>
      <c r="Q20" s="228">
        <f>'תקציב אגף נכסים וביטוח 2019'!Q20</f>
        <v>0</v>
      </c>
      <c r="R20" s="228">
        <f>'תקציב אגף נכסים וביטוח 2019'!R20</f>
        <v>0</v>
      </c>
      <c r="S20" s="228">
        <f>'תקציב אגף נכסים וביטוח 2019'!S20</f>
        <v>0</v>
      </c>
      <c r="T20" s="228">
        <f>'תקציב אגף נכסים וביטוח 2019'!T20</f>
        <v>0</v>
      </c>
      <c r="U20" s="228">
        <f>'תקציב אגף נכסים וביטוח 2019'!U20</f>
        <v>0</v>
      </c>
      <c r="V20" s="228">
        <f>'תקציב אגף נכסים וביטוח 2019'!V20</f>
        <v>0</v>
      </c>
      <c r="W20" s="228">
        <f>'תקציב אגף נכסים וביטוח 2019'!W20</f>
        <v>0</v>
      </c>
      <c r="X20" s="228">
        <f>'תקציב אגף נכסים וביטוח 2019'!X20</f>
        <v>0</v>
      </c>
      <c r="Y20" s="228">
        <f>'תקציב אגף נכסים וביטוח 2019'!Y20</f>
        <v>0</v>
      </c>
      <c r="Z20" s="228">
        <f>'תקציב אגף נכסים וביטוח 2019'!Z20</f>
        <v>0</v>
      </c>
      <c r="AA20" s="603" t="str">
        <f>'תקציב אגף נכסים וביטוח 2019'!AA20</f>
        <v>תשלום פיצויי הפקעה בקשר עם תוכנית  הר' 1940 6664/105.</v>
      </c>
      <c r="AB20" s="253">
        <f>'תקציב אגף נכסים וביטוח 2019'!AB20</f>
        <v>930000</v>
      </c>
      <c r="AC20" s="245"/>
      <c r="AD20" s="245"/>
      <c r="AE20" s="493"/>
    </row>
    <row r="21" spans="1:31" s="252" customFormat="1" ht="42">
      <c r="A21" s="253">
        <f t="shared" si="0"/>
        <v>16</v>
      </c>
      <c r="B21" s="253">
        <v>2056</v>
      </c>
      <c r="C21" s="253" t="s">
        <v>832</v>
      </c>
      <c r="D21" s="228">
        <f>'תקציב אגף נכסים וביטוח 2019'!D21</f>
        <v>1400000</v>
      </c>
      <c r="E21" s="228">
        <f>'תקציב אגף נכסים וביטוח 2019'!E21</f>
        <v>1400000</v>
      </c>
      <c r="F21" s="228">
        <f>'תקציב אגף נכסים וביטוח 2019'!F21</f>
        <v>0</v>
      </c>
      <c r="G21" s="228">
        <f>'תקציב אגף נכסים וביטוח 2019'!G21</f>
        <v>100000</v>
      </c>
      <c r="H21" s="228">
        <f>'תקציב אגף נכסים וביטוח 2019'!H21</f>
        <v>97977</v>
      </c>
      <c r="I21" s="228">
        <f>'תקציב אגף נכסים וביטוח 2019'!I21</f>
        <v>0</v>
      </c>
      <c r="J21" s="228">
        <f>'תקציב אגף נכסים וביטוח 2019'!J21</f>
        <v>0</v>
      </c>
      <c r="K21" s="228">
        <f>'תקציב אגף נכסים וביטוח 2019'!K21</f>
        <v>0</v>
      </c>
      <c r="L21" s="228">
        <f>'תקציב אגף נכסים וביטוח 2019'!L21</f>
        <v>97977</v>
      </c>
      <c r="M21" s="228">
        <f>'תקציב אגף נכסים וביטוח 2019'!M21</f>
        <v>2023</v>
      </c>
      <c r="N21" s="228">
        <f>'תקציב אגף נכסים וביטוח 2019'!N21</f>
        <v>160000</v>
      </c>
      <c r="O21" s="228">
        <f>'תקציב אגף נכסים וביטוח 2019'!O21</f>
        <v>1140000</v>
      </c>
      <c r="P21" s="228">
        <f>'תקציב אגף נכסים וביטוח 2019'!P21</f>
        <v>2023</v>
      </c>
      <c r="Q21" s="228">
        <f>'תקציב אגף נכסים וביטוח 2019'!Q21</f>
        <v>0</v>
      </c>
      <c r="R21" s="228">
        <f>'תקציב אגף נכסים וביטוח 2019'!R21</f>
        <v>0</v>
      </c>
      <c r="S21" s="228">
        <f>'תקציב אגף נכסים וביטוח 2019'!S21</f>
        <v>0</v>
      </c>
      <c r="T21" s="228">
        <f>'תקציב אגף נכסים וביטוח 2019'!T21</f>
        <v>0</v>
      </c>
      <c r="U21" s="228">
        <f>'תקציב אגף נכסים וביטוח 2019'!U21</f>
        <v>160000</v>
      </c>
      <c r="V21" s="228">
        <f>'תקציב אגף נכסים וביטוח 2019'!V21</f>
        <v>160000</v>
      </c>
      <c r="W21" s="228">
        <f>'תקציב אגף נכסים וביטוח 2019'!W21</f>
        <v>0</v>
      </c>
      <c r="X21" s="228">
        <f>'תקציב אגף נכסים וביטוח 2019'!X21</f>
        <v>0</v>
      </c>
      <c r="Y21" s="228">
        <f>'תקציב אגף נכסים וביטוח 2019'!Y21</f>
        <v>0</v>
      </c>
      <c r="Z21" s="228">
        <f>'תקציב אגף נכסים וביטוח 2019'!Z21</f>
        <v>0</v>
      </c>
      <c r="AA21" s="603" t="str">
        <f>'תקציב אגף נכסים וביטוח 2019'!AA21</f>
        <v>פיצויי הפקעה נכס הר' 1982,1929 גוש 6524/52. הרחבת ז'בוטינסקי ושטח הפארק.</v>
      </c>
      <c r="AB21" s="253">
        <f>'תקציב אגף נכסים וביטוח 2019'!AB21</f>
        <v>930000</v>
      </c>
      <c r="AC21" s="245"/>
      <c r="AD21" s="245"/>
      <c r="AE21" s="493"/>
    </row>
    <row r="22" spans="1:31" s="252" customFormat="1" ht="28">
      <c r="A22" s="253">
        <f t="shared" si="0"/>
        <v>17</v>
      </c>
      <c r="B22" s="253">
        <v>2072</v>
      </c>
      <c r="C22" s="253" t="s">
        <v>833</v>
      </c>
      <c r="D22" s="228">
        <f>'תקציב אגף נכסים וביטוח 2019'!D22</f>
        <v>100000</v>
      </c>
      <c r="E22" s="228">
        <f>'תקציב אגף נכסים וביטוח 2019'!E22</f>
        <v>100000</v>
      </c>
      <c r="F22" s="228">
        <f>'תקציב אגף נכסים וביטוח 2019'!F22</f>
        <v>0</v>
      </c>
      <c r="G22" s="228">
        <f>'תקציב אגף נכסים וביטוח 2019'!G22</f>
        <v>100000</v>
      </c>
      <c r="H22" s="228">
        <f>'תקציב אגף נכסים וביטוח 2019'!H22</f>
        <v>0</v>
      </c>
      <c r="I22" s="228">
        <f>'תקציב אגף נכסים וביטוח 2019'!I22</f>
        <v>0</v>
      </c>
      <c r="J22" s="228">
        <f>'תקציב אגף נכסים וביטוח 2019'!J22</f>
        <v>23985</v>
      </c>
      <c r="K22" s="228">
        <f>'תקציב אגף נכסים וביטוח 2019'!K22</f>
        <v>23985</v>
      </c>
      <c r="L22" s="228">
        <f>'תקציב אגף נכסים וביטוח 2019'!L22</f>
        <v>23985</v>
      </c>
      <c r="M22" s="228">
        <f>'תקציב אגף נכסים וביטוח 2019'!M22</f>
        <v>76015</v>
      </c>
      <c r="N22" s="228">
        <f>'תקציב אגף נכסים וביטוח 2019'!N22</f>
        <v>0</v>
      </c>
      <c r="O22" s="228">
        <f>'תקציב אגף נכסים וביטוח 2019'!O22</f>
        <v>0</v>
      </c>
      <c r="P22" s="228">
        <f>'תקציב אגף נכסים וביטוח 2019'!P22</f>
        <v>76015</v>
      </c>
      <c r="Q22" s="228">
        <f>'תקציב אגף נכסים וביטוח 2019'!Q22</f>
        <v>0</v>
      </c>
      <c r="R22" s="228">
        <f>'תקציב אגף נכסים וביטוח 2019'!R22</f>
        <v>0</v>
      </c>
      <c r="S22" s="228">
        <f>'תקציב אגף נכסים וביטוח 2019'!S22</f>
        <v>0</v>
      </c>
      <c r="T22" s="228">
        <f>'תקציב אגף נכסים וביטוח 2019'!T22</f>
        <v>0</v>
      </c>
      <c r="U22" s="228">
        <f>'תקציב אגף נכסים וביטוח 2019'!U22</f>
        <v>0</v>
      </c>
      <c r="V22" s="228">
        <f>'תקציב אגף נכסים וביטוח 2019'!V22</f>
        <v>0</v>
      </c>
      <c r="W22" s="228">
        <f>'תקציב אגף נכסים וביטוח 2019'!W22</f>
        <v>0</v>
      </c>
      <c r="X22" s="228">
        <f>'תקציב אגף נכסים וביטוח 2019'!X22</f>
        <v>0</v>
      </c>
      <c r="Y22" s="228">
        <f>'תקציב אגף נכסים וביטוח 2019'!Y22</f>
        <v>0</v>
      </c>
      <c r="Z22" s="228">
        <f>'תקציב אגף נכסים וביטוח 2019'!Z22</f>
        <v>0</v>
      </c>
      <c r="AA22" s="603" t="str">
        <f>'תקציב אגף נכסים וביטוח 2019'!AA22</f>
        <v>הכנת תוכנית לצרכי רישום מתחם מלון דניאל.</v>
      </c>
      <c r="AB22" s="253">
        <f>'תקציב אגף נכסים וביטוח 2019'!AB22</f>
        <v>930000</v>
      </c>
      <c r="AC22" s="245"/>
      <c r="AD22" s="245"/>
      <c r="AE22" s="493"/>
    </row>
    <row r="23" spans="1:31" s="256" customFormat="1" ht="18.75" customHeight="1">
      <c r="A23" s="257">
        <f>A22</f>
        <v>17</v>
      </c>
      <c r="B23" s="257"/>
      <c r="C23" s="260" t="s">
        <v>1210</v>
      </c>
      <c r="D23" s="263">
        <f t="shared" ref="D23:Z23" si="1">SUM(D6:D22)</f>
        <v>161849000</v>
      </c>
      <c r="E23" s="263">
        <f t="shared" si="1"/>
        <v>158949700</v>
      </c>
      <c r="F23" s="263">
        <f t="shared" si="1"/>
        <v>2899300</v>
      </c>
      <c r="G23" s="263">
        <f t="shared" si="1"/>
        <v>86452525</v>
      </c>
      <c r="H23" s="263">
        <f t="shared" si="1"/>
        <v>67056335.199999996</v>
      </c>
      <c r="I23" s="263">
        <f t="shared" si="1"/>
        <v>0</v>
      </c>
      <c r="J23" s="263">
        <f t="shared" si="1"/>
        <v>36241</v>
      </c>
      <c r="K23" s="263">
        <f t="shared" si="1"/>
        <v>36241</v>
      </c>
      <c r="L23" s="263">
        <f t="shared" si="1"/>
        <v>67092576.199999996</v>
      </c>
      <c r="M23" s="263">
        <f t="shared" si="1"/>
        <v>19369948.800000001</v>
      </c>
      <c r="N23" s="263">
        <f t="shared" si="1"/>
        <v>7949300</v>
      </c>
      <c r="O23" s="263">
        <f t="shared" si="1"/>
        <v>67437175</v>
      </c>
      <c r="P23" s="263">
        <f t="shared" si="1"/>
        <v>19359948.800000001</v>
      </c>
      <c r="Q23" s="263">
        <f t="shared" si="1"/>
        <v>10000</v>
      </c>
      <c r="R23" s="263">
        <f t="shared" si="1"/>
        <v>0</v>
      </c>
      <c r="S23" s="263">
        <f t="shared" si="1"/>
        <v>10000</v>
      </c>
      <c r="T23" s="263">
        <f t="shared" si="1"/>
        <v>0</v>
      </c>
      <c r="U23" s="263">
        <f t="shared" si="1"/>
        <v>7949300</v>
      </c>
      <c r="V23" s="263">
        <f t="shared" si="1"/>
        <v>7949300</v>
      </c>
      <c r="W23" s="263">
        <f t="shared" si="1"/>
        <v>0</v>
      </c>
      <c r="X23" s="263">
        <f t="shared" si="1"/>
        <v>0</v>
      </c>
      <c r="Y23" s="263">
        <f t="shared" si="1"/>
        <v>0</v>
      </c>
      <c r="Z23" s="263">
        <f t="shared" si="1"/>
        <v>0</v>
      </c>
      <c r="AA23" s="243"/>
      <c r="AB23" s="257"/>
      <c r="AC23" s="245"/>
      <c r="AD23" s="245"/>
      <c r="AE23" s="252"/>
    </row>
    <row r="24" spans="1:31" ht="18.75" customHeight="1">
      <c r="L24" s="276">
        <f>H23+K23</f>
        <v>67092576.199999996</v>
      </c>
      <c r="M24" s="276">
        <f>P23+S23-T23</f>
        <v>19369948.800000001</v>
      </c>
      <c r="P24" s="276">
        <f>G23-L23</f>
        <v>19359948.800000004</v>
      </c>
      <c r="U24" s="276">
        <f>N23-T23</f>
        <v>7949300</v>
      </c>
    </row>
  </sheetData>
  <sheetProtection formatCells="0" formatColumns="0" formatRows="0" insertColumns="0" insertRows="0" insertHyperlinks="0" deleteColumns="0" deleteRows="0" sort="0" autoFilter="0" pivotTables="0"/>
  <conditionalFormatting sqref="AA4">
    <cfRule type="cellIs" dxfId="197" priority="1" operator="equal">
      <formula>0</formula>
    </cfRule>
  </conditionalFormatting>
  <printOptions horizontalCentered="1"/>
  <pageMargins left="0" right="0" top="0.94488188976377963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5"/>
  <sheetViews>
    <sheetView rightToLeft="1" topLeftCell="A10" workbookViewId="0">
      <selection activeCell="T20" sqref="T20"/>
    </sheetView>
  </sheetViews>
  <sheetFormatPr defaultColWidth="9.1796875" defaultRowHeight="14"/>
  <cols>
    <col min="1" max="3" width="4.1796875" style="353" customWidth="1"/>
    <col min="4" max="4" width="34.81640625" style="353" customWidth="1"/>
    <col min="5" max="5" width="30.453125" style="353" customWidth="1"/>
    <col min="6" max="6" width="10.81640625" style="353" customWidth="1"/>
    <col min="7" max="7" width="5.54296875" style="353" customWidth="1"/>
    <col min="8" max="9" width="12.1796875" style="353" customWidth="1"/>
    <col min="10" max="10" width="7.81640625" style="353" customWidth="1"/>
    <col min="11" max="16384" width="9.1796875" style="353"/>
  </cols>
  <sheetData>
    <row r="3" spans="1:17" ht="20.5">
      <c r="A3" s="352"/>
      <c r="C3" s="354" t="s">
        <v>506</v>
      </c>
      <c r="D3" s="352"/>
      <c r="E3" s="352"/>
      <c r="F3" s="352"/>
      <c r="G3" s="352"/>
      <c r="H3" s="352"/>
      <c r="I3" s="352"/>
      <c r="J3" s="352"/>
      <c r="K3" s="352"/>
      <c r="L3" s="352"/>
    </row>
    <row r="4" spans="1:17" ht="21" thickBot="1">
      <c r="A4" s="352"/>
      <c r="C4" s="354"/>
      <c r="D4" s="352"/>
      <c r="E4" s="352"/>
      <c r="F4" s="352"/>
      <c r="G4" s="352"/>
      <c r="H4" s="352"/>
      <c r="I4" s="352"/>
      <c r="J4" s="352"/>
      <c r="K4" s="352"/>
      <c r="L4" s="352"/>
    </row>
    <row r="5" spans="1:17" ht="16" thickBot="1">
      <c r="A5" s="352"/>
      <c r="B5" s="355" t="s">
        <v>344</v>
      </c>
      <c r="C5" s="352" t="s">
        <v>1199</v>
      </c>
      <c r="D5" s="352"/>
      <c r="E5" s="352"/>
      <c r="F5" s="356">
        <f>'תקציב מינהל כללי 2019'!U16</f>
        <v>8019727</v>
      </c>
      <c r="I5" s="352"/>
      <c r="J5" s="352"/>
      <c r="K5" s="352"/>
      <c r="L5" s="352"/>
    </row>
    <row r="6" spans="1:17" ht="15.5">
      <c r="B6" s="355"/>
      <c r="C6" s="352"/>
      <c r="D6" s="352"/>
      <c r="E6" s="352"/>
      <c r="F6" s="352"/>
      <c r="H6" s="352"/>
      <c r="I6" s="352"/>
      <c r="J6" s="352"/>
      <c r="K6" s="352"/>
      <c r="L6" s="352"/>
      <c r="M6" s="352"/>
      <c r="N6" s="352"/>
      <c r="O6" s="352"/>
      <c r="P6" s="352"/>
      <c r="Q6" s="352"/>
    </row>
    <row r="7" spans="1:17" ht="15.5">
      <c r="B7" s="355" t="s">
        <v>344</v>
      </c>
      <c r="C7" s="352" t="s">
        <v>547</v>
      </c>
      <c r="D7" s="352"/>
      <c r="E7" s="352"/>
      <c r="F7" s="352"/>
      <c r="G7" s="352"/>
      <c r="H7" s="352"/>
      <c r="I7" s="352"/>
      <c r="J7" s="352"/>
      <c r="K7" s="352"/>
      <c r="L7" s="352"/>
    </row>
    <row r="8" spans="1:17" ht="16" thickBot="1">
      <c r="B8" s="352"/>
      <c r="C8" s="352"/>
      <c r="D8" s="352"/>
      <c r="E8" s="352"/>
      <c r="F8" s="352"/>
      <c r="G8" s="352"/>
      <c r="H8" s="352"/>
      <c r="I8" s="352"/>
      <c r="J8" s="352"/>
      <c r="K8" s="352"/>
      <c r="L8" s="352"/>
      <c r="M8" s="352"/>
      <c r="N8" s="352"/>
      <c r="O8" s="352"/>
      <c r="P8" s="352"/>
      <c r="Q8" s="352"/>
    </row>
    <row r="9" spans="1:17" ht="15.5">
      <c r="D9" s="365" t="s">
        <v>548</v>
      </c>
      <c r="E9" s="366" t="s">
        <v>549</v>
      </c>
      <c r="F9" s="367" t="s">
        <v>551</v>
      </c>
      <c r="G9" s="352"/>
      <c r="H9" s="352"/>
      <c r="I9" s="352"/>
      <c r="J9" s="352"/>
      <c r="K9" s="352"/>
      <c r="L9" s="352"/>
      <c r="M9" s="352"/>
      <c r="N9" s="352"/>
      <c r="O9" s="352"/>
      <c r="P9" s="352"/>
      <c r="Q9" s="352"/>
    </row>
    <row r="10" spans="1:17" ht="15.5">
      <c r="C10" s="355"/>
      <c r="D10" s="359" t="s">
        <v>13</v>
      </c>
      <c r="E10" s="368">
        <f>'תקציב מינהל כללי 2019'!V16</f>
        <v>4528827</v>
      </c>
      <c r="F10" s="376">
        <f>E10/$E$12</f>
        <v>0.56471086858692321</v>
      </c>
      <c r="G10" s="352"/>
      <c r="H10" s="352"/>
      <c r="I10" s="352"/>
      <c r="J10" s="352"/>
      <c r="K10" s="352"/>
      <c r="L10" s="352"/>
      <c r="M10" s="352"/>
      <c r="N10" s="352"/>
      <c r="O10" s="352"/>
      <c r="P10" s="352"/>
      <c r="Q10" s="352"/>
    </row>
    <row r="11" spans="1:17" ht="15.5">
      <c r="C11" s="355"/>
      <c r="D11" s="359" t="s">
        <v>14</v>
      </c>
      <c r="E11" s="368">
        <f>'תקציב מינהל כללי 2019'!W16</f>
        <v>3490900</v>
      </c>
      <c r="F11" s="376">
        <f>E11/$E$12</f>
        <v>0.43528913141307679</v>
      </c>
      <c r="G11" s="352"/>
      <c r="H11" s="352"/>
      <c r="I11" s="352"/>
      <c r="J11" s="352"/>
      <c r="K11" s="352"/>
      <c r="L11" s="352"/>
      <c r="M11" s="352"/>
      <c r="N11" s="352"/>
      <c r="O11" s="352"/>
      <c r="P11" s="352"/>
      <c r="Q11" s="352"/>
    </row>
    <row r="12" spans="1:17" ht="16" thickBot="1">
      <c r="C12" s="355"/>
      <c r="D12" s="362" t="s">
        <v>160</v>
      </c>
      <c r="E12" s="370">
        <f>SUM(E10:E11)</f>
        <v>8019727</v>
      </c>
      <c r="F12" s="219">
        <f>SUM(F10:F11)</f>
        <v>1</v>
      </c>
      <c r="G12" s="352"/>
      <c r="H12" s="352"/>
      <c r="I12" s="352"/>
      <c r="J12" s="352"/>
      <c r="K12" s="352"/>
      <c r="L12" s="352"/>
      <c r="M12" s="352"/>
      <c r="N12" s="352"/>
      <c r="O12" s="352"/>
      <c r="P12" s="352"/>
      <c r="Q12" s="352"/>
    </row>
    <row r="13" spans="1:17" ht="15.5">
      <c r="C13" s="355"/>
      <c r="D13" s="358"/>
      <c r="E13" s="379"/>
      <c r="F13" s="383"/>
      <c r="G13" s="352"/>
      <c r="H13" s="352"/>
      <c r="I13" s="352"/>
      <c r="J13" s="352"/>
      <c r="K13" s="352"/>
      <c r="L13" s="352"/>
      <c r="M13" s="352"/>
      <c r="N13" s="352"/>
      <c r="O13" s="352"/>
      <c r="P13" s="352"/>
      <c r="Q13" s="352"/>
    </row>
    <row r="14" spans="1:17" ht="15.5">
      <c r="C14" s="355"/>
      <c r="D14" s="358"/>
      <c r="E14" s="379"/>
      <c r="F14" s="383"/>
      <c r="G14" s="352"/>
      <c r="H14" s="352"/>
      <c r="I14" s="352"/>
      <c r="J14" s="352"/>
      <c r="K14" s="352"/>
      <c r="L14" s="352"/>
      <c r="M14" s="352"/>
      <c r="N14" s="352"/>
      <c r="O14" s="352"/>
      <c r="P14" s="352"/>
      <c r="Q14" s="352"/>
    </row>
    <row r="15" spans="1:17" ht="15.5">
      <c r="B15" s="355"/>
      <c r="C15" s="352"/>
      <c r="D15" s="352"/>
      <c r="E15" s="352"/>
      <c r="F15" s="352"/>
      <c r="G15" s="352"/>
      <c r="H15" s="352"/>
      <c r="I15" s="352"/>
      <c r="J15" s="352"/>
      <c r="K15" s="352"/>
      <c r="L15" s="352"/>
    </row>
    <row r="16" spans="1:17" ht="15.5">
      <c r="B16" s="355" t="s">
        <v>344</v>
      </c>
      <c r="C16" s="352" t="s">
        <v>1200</v>
      </c>
      <c r="D16" s="352"/>
      <c r="F16" s="352"/>
      <c r="H16" s="361"/>
      <c r="I16" s="352"/>
      <c r="J16" s="352"/>
      <c r="K16" s="352"/>
      <c r="L16" s="352"/>
      <c r="M16" s="352"/>
      <c r="N16" s="352"/>
      <c r="O16" s="352"/>
      <c r="P16" s="352"/>
      <c r="Q16" s="352"/>
    </row>
    <row r="17" spans="2:17" ht="15.5">
      <c r="C17" s="352" t="s">
        <v>1526</v>
      </c>
      <c r="D17" s="352"/>
      <c r="E17" s="352"/>
      <c r="F17" s="352"/>
      <c r="H17" s="352"/>
      <c r="I17" s="352"/>
      <c r="J17" s="352"/>
      <c r="K17" s="352"/>
      <c r="L17" s="352"/>
    </row>
    <row r="18" spans="2:17" ht="15.5">
      <c r="B18" s="355"/>
      <c r="C18" s="352" t="s">
        <v>595</v>
      </c>
      <c r="D18" s="352"/>
      <c r="E18" s="352"/>
      <c r="F18" s="352"/>
      <c r="G18" s="352"/>
      <c r="H18" s="352"/>
      <c r="I18" s="352"/>
      <c r="J18" s="352"/>
      <c r="K18" s="352"/>
      <c r="L18" s="352"/>
      <c r="M18" s="352"/>
      <c r="N18" s="352"/>
      <c r="O18" s="352"/>
      <c r="P18" s="352"/>
      <c r="Q18" s="352"/>
    </row>
    <row r="19" spans="2:17" ht="15.5">
      <c r="B19" s="355"/>
      <c r="C19" s="352"/>
      <c r="D19" s="352"/>
      <c r="E19" s="352"/>
      <c r="F19" s="352"/>
      <c r="G19" s="352"/>
      <c r="H19" s="352"/>
      <c r="I19" s="352"/>
      <c r="J19" s="352"/>
      <c r="K19" s="352"/>
      <c r="L19" s="352"/>
      <c r="M19" s="352"/>
      <c r="N19" s="352"/>
      <c r="O19" s="352"/>
      <c r="P19" s="352"/>
      <c r="Q19" s="352"/>
    </row>
    <row r="20" spans="2:17">
      <c r="C20" s="674" t="s">
        <v>1263</v>
      </c>
      <c r="D20" s="674"/>
    </row>
    <row r="35" spans="3:3">
      <c r="C35" s="673" t="s">
        <v>1234</v>
      </c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17"/>
  <sheetViews>
    <sheetView showZeros="0" rightToLeft="1" zoomScaleNormal="100" workbookViewId="0">
      <pane xSplit="3" ySplit="4" topLeftCell="D5" activePane="bottomRight" state="frozen"/>
      <selection activeCell="T20" sqref="T20"/>
      <selection pane="topRight" activeCell="T20" sqref="T20"/>
      <selection pane="bottomLeft" activeCell="T20" sqref="T20"/>
      <selection pane="bottomRight" activeCell="T20" sqref="T20"/>
    </sheetView>
  </sheetViews>
  <sheetFormatPr defaultColWidth="9.1796875" defaultRowHeight="18"/>
  <cols>
    <col min="1" max="1" width="3.26953125" style="418" customWidth="1"/>
    <col min="2" max="2" width="5.26953125" style="247" customWidth="1"/>
    <col min="3" max="3" width="26.54296875" style="247" customWidth="1"/>
    <col min="4" max="4" width="11.26953125" style="248" customWidth="1"/>
    <col min="5" max="5" width="11.1796875" style="248" customWidth="1"/>
    <col min="6" max="6" width="10" style="248" customWidth="1"/>
    <col min="7" max="10" width="12.7265625" style="248" hidden="1" customWidth="1"/>
    <col min="11" max="11" width="11.26953125" style="248" hidden="1" customWidth="1"/>
    <col min="12" max="12" width="10.26953125" style="248" customWidth="1"/>
    <col min="13" max="13" width="10.1796875" style="248" customWidth="1"/>
    <col min="14" max="14" width="10.26953125" style="248" customWidth="1"/>
    <col min="15" max="15" width="10" style="248" customWidth="1"/>
    <col min="16" max="17" width="11.1796875" style="248" hidden="1" customWidth="1"/>
    <col min="18" max="19" width="12" style="248" hidden="1" customWidth="1"/>
    <col min="20" max="20" width="8.81640625" style="248" customWidth="1"/>
    <col min="21" max="21" width="10" style="247" customWidth="1"/>
    <col min="22" max="22" width="9.7265625" style="247" customWidth="1"/>
    <col min="23" max="23" width="9.54296875" style="247" customWidth="1"/>
    <col min="24" max="25" width="11.81640625" style="247" hidden="1" customWidth="1"/>
    <col min="26" max="26" width="12.7265625" style="247" hidden="1" customWidth="1"/>
    <col min="27" max="27" width="26.1796875" style="266" customWidth="1"/>
    <col min="28" max="28" width="7.81640625" style="247" hidden="1" customWidth="1"/>
    <col min="29" max="29" width="9.1796875" style="247" customWidth="1"/>
    <col min="30" max="30" width="25.1796875" style="266" customWidth="1"/>
    <col min="31" max="31" width="21.1796875" style="416" customWidth="1"/>
    <col min="32" max="32" width="15.1796875" style="416" customWidth="1"/>
    <col min="33" max="33" width="11.54296875" style="416" customWidth="1"/>
    <col min="34" max="34" width="9.1796875" style="247" customWidth="1"/>
    <col min="35" max="16384" width="9.1796875" style="247"/>
  </cols>
  <sheetData>
    <row r="1" spans="1:34" s="416" customFormat="1">
      <c r="A1" s="734"/>
      <c r="B1" s="734"/>
      <c r="C1" s="734"/>
      <c r="D1" s="734"/>
      <c r="E1" s="734"/>
      <c r="F1" s="734"/>
      <c r="G1" s="734"/>
      <c r="H1" s="734"/>
      <c r="I1" s="734"/>
      <c r="J1" s="734"/>
      <c r="K1" s="734"/>
      <c r="L1" s="734"/>
      <c r="M1" s="734"/>
      <c r="N1" s="734"/>
      <c r="O1" s="734"/>
      <c r="P1" s="734"/>
      <c r="Q1" s="734"/>
      <c r="R1" s="734"/>
      <c r="S1" s="734"/>
      <c r="T1" s="734"/>
      <c r="U1" s="734"/>
      <c r="V1" s="734"/>
      <c r="W1" s="734"/>
      <c r="X1" s="494"/>
      <c r="Y1" s="494"/>
      <c r="AA1" s="417"/>
      <c r="AD1" s="266"/>
    </row>
    <row r="2" spans="1:34">
      <c r="A2" s="414" t="s">
        <v>506</v>
      </c>
      <c r="B2" s="414"/>
      <c r="C2" s="414"/>
      <c r="D2" s="414"/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414"/>
      <c r="R2" s="414"/>
      <c r="S2" s="414"/>
      <c r="T2" s="414"/>
      <c r="U2" s="414"/>
      <c r="V2" s="414"/>
      <c r="W2" s="414"/>
    </row>
    <row r="4" spans="1:34" s="457" customFormat="1" ht="86.25" customHeight="1">
      <c r="A4" s="283" t="s">
        <v>0</v>
      </c>
      <c r="B4" s="283" t="s">
        <v>1</v>
      </c>
      <c r="C4" s="283" t="s">
        <v>2</v>
      </c>
      <c r="D4" s="283" t="s">
        <v>3</v>
      </c>
      <c r="E4" s="283" t="s">
        <v>4</v>
      </c>
      <c r="F4" s="283" t="s">
        <v>5</v>
      </c>
      <c r="G4" s="283" t="s">
        <v>6</v>
      </c>
      <c r="H4" s="283" t="s">
        <v>7</v>
      </c>
      <c r="I4" s="283" t="s">
        <v>9</v>
      </c>
      <c r="J4" s="283" t="s">
        <v>318</v>
      </c>
      <c r="K4" s="283" t="s">
        <v>10</v>
      </c>
      <c r="L4" s="283" t="s">
        <v>11</v>
      </c>
      <c r="M4" s="11" t="s">
        <v>627</v>
      </c>
      <c r="N4" s="283" t="s">
        <v>628</v>
      </c>
      <c r="O4" s="283" t="s">
        <v>629</v>
      </c>
      <c r="P4" s="283" t="s">
        <v>12</v>
      </c>
      <c r="Q4" s="283" t="s">
        <v>739</v>
      </c>
      <c r="R4" s="283" t="s">
        <v>740</v>
      </c>
      <c r="S4" s="283" t="s">
        <v>632</v>
      </c>
      <c r="T4" s="283" t="s">
        <v>633</v>
      </c>
      <c r="U4" s="283" t="s">
        <v>634</v>
      </c>
      <c r="V4" s="283" t="s">
        <v>13</v>
      </c>
      <c r="W4" s="283" t="s">
        <v>14</v>
      </c>
      <c r="X4" s="283" t="s">
        <v>15</v>
      </c>
      <c r="Y4" s="283" t="s">
        <v>523</v>
      </c>
      <c r="Z4" s="283" t="s">
        <v>140</v>
      </c>
      <c r="AA4" s="477" t="s">
        <v>635</v>
      </c>
      <c r="AB4" s="283" t="s">
        <v>16</v>
      </c>
      <c r="AD4" s="266"/>
      <c r="AE4" s="416"/>
      <c r="AF4" s="416"/>
      <c r="AG4" s="416"/>
    </row>
    <row r="5" spans="1:34" s="258" customFormat="1" ht="18.75" customHeight="1">
      <c r="A5" s="254"/>
      <c r="B5" s="254"/>
      <c r="C5" s="254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>
        <f t="shared" ref="O5:O13" si="0">D5-L5-M5-N5</f>
        <v>0</v>
      </c>
      <c r="P5" s="255"/>
      <c r="Q5" s="255"/>
      <c r="R5" s="255"/>
      <c r="S5" s="255"/>
      <c r="T5" s="255"/>
      <c r="U5" s="255">
        <f t="shared" ref="U5:U13" si="1">N5-T5</f>
        <v>0</v>
      </c>
      <c r="V5" s="255"/>
      <c r="W5" s="255"/>
      <c r="X5" s="255"/>
      <c r="Y5" s="255"/>
      <c r="Z5" s="254"/>
      <c r="AA5" s="254"/>
      <c r="AB5" s="254"/>
      <c r="AD5" s="266"/>
      <c r="AE5" s="416"/>
      <c r="AF5" s="416"/>
      <c r="AG5" s="416"/>
    </row>
    <row r="6" spans="1:34" s="5" customFormat="1" ht="70">
      <c r="A6" s="3">
        <v>1</v>
      </c>
      <c r="B6" s="3">
        <v>529</v>
      </c>
      <c r="C6" s="3" t="s">
        <v>107</v>
      </c>
      <c r="D6" s="4">
        <f>550000+100000</f>
        <v>650000</v>
      </c>
      <c r="E6" s="4">
        <f>550000+50000</f>
        <v>600000</v>
      </c>
      <c r="F6" s="4">
        <f t="shared" ref="F6:F13" si="2">D6-E6</f>
        <v>50000</v>
      </c>
      <c r="G6" s="4">
        <f>550000+50000</f>
        <v>600000</v>
      </c>
      <c r="H6" s="4">
        <v>416252.8</v>
      </c>
      <c r="I6" s="4"/>
      <c r="J6" s="4"/>
      <c r="K6" s="4">
        <f t="shared" ref="K6:K13" si="3">SUM(I6:J6)</f>
        <v>0</v>
      </c>
      <c r="L6" s="4">
        <f t="shared" ref="L6:L13" si="4">H6+K6</f>
        <v>416252.8</v>
      </c>
      <c r="M6" s="4">
        <f t="shared" ref="M6:M13" si="5">P6+S6</f>
        <v>183747.20000000001</v>
      </c>
      <c r="N6" s="4">
        <v>50000</v>
      </c>
      <c r="O6" s="4">
        <f t="shared" si="0"/>
        <v>0</v>
      </c>
      <c r="P6" s="4">
        <f t="shared" ref="P6:P13" si="6">G6-L6</f>
        <v>183747.20000000001</v>
      </c>
      <c r="Q6" s="4"/>
      <c r="R6" s="4"/>
      <c r="S6" s="4">
        <f t="shared" ref="S6:S13" si="7">SUM(Q6:R6)</f>
        <v>0</v>
      </c>
      <c r="T6" s="4">
        <f t="shared" ref="T6:T13" si="8">P6-M6+S6</f>
        <v>0</v>
      </c>
      <c r="U6" s="4">
        <f t="shared" si="1"/>
        <v>50000</v>
      </c>
      <c r="V6" s="4">
        <f>U6-W6-Y6-Z6</f>
        <v>50000</v>
      </c>
      <c r="W6" s="4"/>
      <c r="X6" s="4"/>
      <c r="Y6" s="4"/>
      <c r="Z6" s="4"/>
      <c r="AA6" s="254" t="s">
        <v>993</v>
      </c>
      <c r="AB6" s="3">
        <v>840000</v>
      </c>
      <c r="AD6" s="266"/>
      <c r="AE6" s="43"/>
      <c r="AF6" s="15"/>
      <c r="AG6" s="15"/>
      <c r="AH6" s="15"/>
    </row>
    <row r="7" spans="1:34" s="5" customFormat="1" ht="42">
      <c r="A7" s="254">
        <f>A6+1</f>
        <v>2</v>
      </c>
      <c r="B7" s="3">
        <v>1032</v>
      </c>
      <c r="C7" s="3" t="s">
        <v>253</v>
      </c>
      <c r="D7" s="4">
        <v>40500000</v>
      </c>
      <c r="E7" s="4">
        <v>40500000</v>
      </c>
      <c r="F7" s="4">
        <f t="shared" si="2"/>
        <v>0</v>
      </c>
      <c r="G7" s="4">
        <f>27210000+700000</f>
        <v>27910000</v>
      </c>
      <c r="H7" s="4">
        <v>22057861.140000001</v>
      </c>
      <c r="I7" s="4">
        <v>265883.82</v>
      </c>
      <c r="J7" s="4">
        <v>3310586.96</v>
      </c>
      <c r="K7" s="4">
        <f t="shared" si="3"/>
        <v>3576470.78</v>
      </c>
      <c r="L7" s="4">
        <f t="shared" si="4"/>
        <v>25634331.920000002</v>
      </c>
      <c r="M7" s="4">
        <f t="shared" si="5"/>
        <v>2275668.0799999982</v>
      </c>
      <c r="N7" s="4">
        <f>10900000-1500000-4400000</f>
        <v>5000000</v>
      </c>
      <c r="O7" s="4">
        <f t="shared" si="0"/>
        <v>7590000</v>
      </c>
      <c r="P7" s="4">
        <f t="shared" si="6"/>
        <v>2275668.0799999982</v>
      </c>
      <c r="Q7" s="4"/>
      <c r="R7" s="4"/>
      <c r="S7" s="4">
        <f t="shared" si="7"/>
        <v>0</v>
      </c>
      <c r="T7" s="4">
        <f t="shared" si="8"/>
        <v>0</v>
      </c>
      <c r="U7" s="4">
        <f t="shared" si="1"/>
        <v>5000000</v>
      </c>
      <c r="V7" s="4">
        <f t="shared" ref="V7:V13" si="9">U7-Z7-W7-Y7</f>
        <v>5000000</v>
      </c>
      <c r="W7" s="4"/>
      <c r="X7" s="4"/>
      <c r="Y7" s="4"/>
      <c r="Z7" s="3"/>
      <c r="AA7" s="254" t="s">
        <v>1147</v>
      </c>
      <c r="AB7" s="3">
        <v>742000</v>
      </c>
      <c r="AC7" s="35"/>
      <c r="AD7" s="266"/>
      <c r="AE7" s="43"/>
      <c r="AF7" s="416"/>
      <c r="AG7" s="416"/>
      <c r="AH7" s="70"/>
    </row>
    <row r="8" spans="1:34" s="258" customFormat="1" ht="42">
      <c r="A8" s="254">
        <f t="shared" ref="A8:A15" si="10">A7+1</f>
        <v>3</v>
      </c>
      <c r="B8" s="254">
        <v>1130</v>
      </c>
      <c r="C8" s="254" t="s">
        <v>39</v>
      </c>
      <c r="D8" s="255">
        <v>16000000</v>
      </c>
      <c r="E8" s="255">
        <v>16000000</v>
      </c>
      <c r="F8" s="255">
        <f t="shared" si="2"/>
        <v>0</v>
      </c>
      <c r="G8" s="255">
        <v>13481894</v>
      </c>
      <c r="H8" s="255">
        <v>11423753.060000001</v>
      </c>
      <c r="I8" s="255">
        <v>41032.550000000003</v>
      </c>
      <c r="J8" s="255">
        <v>813063.22</v>
      </c>
      <c r="K8" s="4">
        <f t="shared" si="3"/>
        <v>854095.77</v>
      </c>
      <c r="L8" s="4">
        <f t="shared" si="4"/>
        <v>12277848.83</v>
      </c>
      <c r="M8" s="4">
        <f>P8+S8-700000</f>
        <v>504045.16999999993</v>
      </c>
      <c r="N8" s="4">
        <v>700000</v>
      </c>
      <c r="O8" s="4">
        <f t="shared" si="0"/>
        <v>2518106</v>
      </c>
      <c r="P8" s="4">
        <f t="shared" si="6"/>
        <v>1204045.17</v>
      </c>
      <c r="Q8" s="4"/>
      <c r="R8" s="4"/>
      <c r="S8" s="4">
        <f t="shared" si="7"/>
        <v>0</v>
      </c>
      <c r="T8" s="4">
        <f t="shared" si="8"/>
        <v>700000</v>
      </c>
      <c r="U8" s="4">
        <f t="shared" si="1"/>
        <v>0</v>
      </c>
      <c r="V8" s="4">
        <f t="shared" si="9"/>
        <v>0</v>
      </c>
      <c r="W8" s="4"/>
      <c r="X8" s="4"/>
      <c r="Y8" s="4"/>
      <c r="Z8" s="3"/>
      <c r="AA8" s="254" t="s">
        <v>994</v>
      </c>
      <c r="AB8" s="254">
        <v>742000</v>
      </c>
      <c r="AD8" s="266"/>
      <c r="AE8" s="43"/>
      <c r="AF8" s="416"/>
      <c r="AG8" s="416"/>
      <c r="AH8" s="70"/>
    </row>
    <row r="9" spans="1:34" s="258" customFormat="1" ht="42">
      <c r="A9" s="254">
        <f t="shared" si="10"/>
        <v>4</v>
      </c>
      <c r="B9" s="254">
        <v>1259</v>
      </c>
      <c r="C9" s="254" t="s">
        <v>95</v>
      </c>
      <c r="D9" s="255">
        <v>5460000</v>
      </c>
      <c r="E9" s="255">
        <v>5460000</v>
      </c>
      <c r="F9" s="255">
        <f t="shared" si="2"/>
        <v>0</v>
      </c>
      <c r="G9" s="255">
        <v>3410000</v>
      </c>
      <c r="H9" s="255">
        <v>2998407.51</v>
      </c>
      <c r="I9" s="255"/>
      <c r="J9" s="255">
        <v>363683.17</v>
      </c>
      <c r="K9" s="4">
        <f t="shared" si="3"/>
        <v>363683.17</v>
      </c>
      <c r="L9" s="4">
        <f t="shared" si="4"/>
        <v>3362090.6799999997</v>
      </c>
      <c r="M9" s="4">
        <f t="shared" si="5"/>
        <v>47909.320000000298</v>
      </c>
      <c r="N9" s="4">
        <v>350000</v>
      </c>
      <c r="O9" s="4">
        <f t="shared" si="0"/>
        <v>1700000</v>
      </c>
      <c r="P9" s="4">
        <f t="shared" si="6"/>
        <v>47909.320000000298</v>
      </c>
      <c r="Q9" s="4"/>
      <c r="R9" s="4"/>
      <c r="S9" s="4">
        <f t="shared" si="7"/>
        <v>0</v>
      </c>
      <c r="T9" s="4">
        <f t="shared" si="8"/>
        <v>0</v>
      </c>
      <c r="U9" s="4">
        <f t="shared" si="1"/>
        <v>350000</v>
      </c>
      <c r="V9" s="4">
        <f t="shared" si="9"/>
        <v>350000</v>
      </c>
      <c r="W9" s="4"/>
      <c r="X9" s="4"/>
      <c r="Y9" s="4"/>
      <c r="Z9" s="3"/>
      <c r="AA9" s="254" t="s">
        <v>608</v>
      </c>
      <c r="AB9" s="254">
        <v>760000</v>
      </c>
      <c r="AD9" s="266"/>
      <c r="AE9" s="43"/>
      <c r="AF9" s="416"/>
      <c r="AG9" s="416"/>
      <c r="AH9" s="70"/>
    </row>
    <row r="10" spans="1:34" s="258" customFormat="1" ht="28">
      <c r="A10" s="254">
        <f t="shared" si="10"/>
        <v>5</v>
      </c>
      <c r="B10" s="254">
        <v>1260</v>
      </c>
      <c r="C10" s="254" t="s">
        <v>96</v>
      </c>
      <c r="D10" s="255">
        <v>8608000</v>
      </c>
      <c r="E10" s="255">
        <v>8608000</v>
      </c>
      <c r="F10" s="255">
        <f t="shared" si="2"/>
        <v>0</v>
      </c>
      <c r="G10" s="255">
        <v>7908000</v>
      </c>
      <c r="H10" s="255">
        <v>7428135</v>
      </c>
      <c r="I10" s="255"/>
      <c r="J10" s="255">
        <v>463361.54</v>
      </c>
      <c r="K10" s="4">
        <f t="shared" si="3"/>
        <v>463361.54</v>
      </c>
      <c r="L10" s="4">
        <f t="shared" si="4"/>
        <v>7891496.54</v>
      </c>
      <c r="M10" s="4">
        <f t="shared" si="5"/>
        <v>16503.459999999963</v>
      </c>
      <c r="N10" s="4">
        <v>500000</v>
      </c>
      <c r="O10" s="4">
        <f t="shared" si="0"/>
        <v>200000</v>
      </c>
      <c r="P10" s="4">
        <f t="shared" si="6"/>
        <v>16503.459999999963</v>
      </c>
      <c r="Q10" s="4"/>
      <c r="R10" s="4"/>
      <c r="S10" s="4">
        <f t="shared" si="7"/>
        <v>0</v>
      </c>
      <c r="T10" s="4">
        <f t="shared" si="8"/>
        <v>0</v>
      </c>
      <c r="U10" s="4">
        <f t="shared" si="1"/>
        <v>500000</v>
      </c>
      <c r="V10" s="4">
        <f t="shared" si="9"/>
        <v>250000</v>
      </c>
      <c r="W10" s="4">
        <v>250000</v>
      </c>
      <c r="X10" s="4"/>
      <c r="Y10" s="4"/>
      <c r="Z10" s="3"/>
      <c r="AA10" s="254" t="s">
        <v>609</v>
      </c>
      <c r="AB10" s="254">
        <v>760000</v>
      </c>
      <c r="AD10" s="266"/>
      <c r="AE10" s="43"/>
      <c r="AF10" s="416"/>
      <c r="AG10" s="416"/>
      <c r="AH10" s="70"/>
    </row>
    <row r="11" spans="1:34" s="258" customFormat="1" ht="42">
      <c r="A11" s="254">
        <f t="shared" si="10"/>
        <v>6</v>
      </c>
      <c r="B11" s="254">
        <v>1422</v>
      </c>
      <c r="C11" s="254" t="s">
        <v>97</v>
      </c>
      <c r="D11" s="255">
        <v>30257000</v>
      </c>
      <c r="E11" s="255">
        <v>30257000</v>
      </c>
      <c r="F11" s="255">
        <f t="shared" si="2"/>
        <v>0</v>
      </c>
      <c r="G11" s="255">
        <v>14182000</v>
      </c>
      <c r="H11" s="255">
        <v>7257000</v>
      </c>
      <c r="I11" s="255"/>
      <c r="J11" s="255"/>
      <c r="K11" s="4">
        <f t="shared" si="3"/>
        <v>0</v>
      </c>
      <c r="L11" s="4">
        <f t="shared" si="4"/>
        <v>7257000</v>
      </c>
      <c r="M11" s="4">
        <f t="shared" si="5"/>
        <v>6925000</v>
      </c>
      <c r="N11" s="4"/>
      <c r="O11" s="4">
        <f t="shared" si="0"/>
        <v>16075000</v>
      </c>
      <c r="P11" s="4">
        <f t="shared" si="6"/>
        <v>6925000</v>
      </c>
      <c r="Q11" s="4"/>
      <c r="R11" s="4"/>
      <c r="S11" s="4">
        <f t="shared" si="7"/>
        <v>0</v>
      </c>
      <c r="T11" s="4">
        <f t="shared" si="8"/>
        <v>0</v>
      </c>
      <c r="U11" s="4">
        <f t="shared" si="1"/>
        <v>0</v>
      </c>
      <c r="V11" s="4">
        <f t="shared" si="9"/>
        <v>0</v>
      </c>
      <c r="W11" s="4"/>
      <c r="X11" s="4"/>
      <c r="Y11" s="4"/>
      <c r="Z11" s="3"/>
      <c r="AA11" s="254" t="s">
        <v>1151</v>
      </c>
      <c r="AB11" s="254">
        <v>730000</v>
      </c>
      <c r="AD11" s="266"/>
      <c r="AE11" s="43"/>
      <c r="AF11" s="416"/>
      <c r="AG11" s="416"/>
      <c r="AH11" s="70"/>
    </row>
    <row r="12" spans="1:34" s="258" customFormat="1" ht="42">
      <c r="A12" s="254">
        <f t="shared" si="10"/>
        <v>7</v>
      </c>
      <c r="B12" s="254">
        <v>1688</v>
      </c>
      <c r="C12" s="254" t="s">
        <v>98</v>
      </c>
      <c r="D12" s="255">
        <v>15133000</v>
      </c>
      <c r="E12" s="255">
        <v>15133000</v>
      </c>
      <c r="F12" s="255">
        <f t="shared" si="2"/>
        <v>0</v>
      </c>
      <c r="G12" s="255">
        <v>15133000</v>
      </c>
      <c r="H12" s="255">
        <v>15133000</v>
      </c>
      <c r="I12" s="255"/>
      <c r="J12" s="255"/>
      <c r="K12" s="4">
        <f t="shared" si="3"/>
        <v>0</v>
      </c>
      <c r="L12" s="4">
        <f t="shared" si="4"/>
        <v>15133000</v>
      </c>
      <c r="M12" s="4">
        <f t="shared" si="5"/>
        <v>0</v>
      </c>
      <c r="N12" s="4"/>
      <c r="O12" s="4">
        <f t="shared" si="0"/>
        <v>0</v>
      </c>
      <c r="P12" s="4">
        <f t="shared" si="6"/>
        <v>0</v>
      </c>
      <c r="Q12" s="4"/>
      <c r="R12" s="4"/>
      <c r="S12" s="4">
        <f t="shared" si="7"/>
        <v>0</v>
      </c>
      <c r="T12" s="4">
        <f t="shared" si="8"/>
        <v>0</v>
      </c>
      <c r="U12" s="4">
        <f t="shared" si="1"/>
        <v>0</v>
      </c>
      <c r="V12" s="4">
        <f t="shared" si="9"/>
        <v>0</v>
      </c>
      <c r="W12" s="4"/>
      <c r="X12" s="4"/>
      <c r="Y12" s="4"/>
      <c r="Z12" s="3"/>
      <c r="AA12" s="254" t="s">
        <v>1152</v>
      </c>
      <c r="AB12" s="254">
        <v>990000</v>
      </c>
      <c r="AD12" s="266"/>
      <c r="AE12" s="43"/>
      <c r="AF12" s="416"/>
      <c r="AG12" s="416"/>
      <c r="AH12" s="70"/>
    </row>
    <row r="13" spans="1:34" s="258" customFormat="1" ht="35.15" customHeight="1">
      <c r="A13" s="254">
        <f t="shared" si="10"/>
        <v>8</v>
      </c>
      <c r="B13" s="254">
        <v>1793</v>
      </c>
      <c r="C13" s="254" t="s">
        <v>1148</v>
      </c>
      <c r="D13" s="255">
        <f>2883606+150000</f>
        <v>3033606</v>
      </c>
      <c r="E13" s="255">
        <f>2883606+150000</f>
        <v>3033606</v>
      </c>
      <c r="F13" s="255">
        <f t="shared" si="2"/>
        <v>0</v>
      </c>
      <c r="G13" s="255">
        <v>3033606</v>
      </c>
      <c r="H13" s="255">
        <v>2809988.1</v>
      </c>
      <c r="I13" s="255"/>
      <c r="J13" s="255">
        <v>130253.75999999999</v>
      </c>
      <c r="K13" s="4">
        <f t="shared" si="3"/>
        <v>130253.75999999999</v>
      </c>
      <c r="L13" s="4">
        <f t="shared" si="4"/>
        <v>2940241.86</v>
      </c>
      <c r="M13" s="4">
        <f t="shared" si="5"/>
        <v>93364.14000000013</v>
      </c>
      <c r="N13" s="4"/>
      <c r="O13" s="4">
        <f t="shared" si="0"/>
        <v>0</v>
      </c>
      <c r="P13" s="4">
        <f t="shared" si="6"/>
        <v>93364.14000000013</v>
      </c>
      <c r="Q13" s="4"/>
      <c r="R13" s="4"/>
      <c r="S13" s="4">
        <f t="shared" si="7"/>
        <v>0</v>
      </c>
      <c r="T13" s="4">
        <f t="shared" si="8"/>
        <v>0</v>
      </c>
      <c r="U13" s="4">
        <f t="shared" si="1"/>
        <v>0</v>
      </c>
      <c r="V13" s="4">
        <f t="shared" si="9"/>
        <v>0</v>
      </c>
      <c r="W13" s="4"/>
      <c r="X13" s="4"/>
      <c r="Y13" s="4"/>
      <c r="Z13" s="3"/>
      <c r="AA13" s="254"/>
      <c r="AB13" s="254">
        <v>742000</v>
      </c>
      <c r="AD13" s="266"/>
      <c r="AE13" s="43"/>
      <c r="AF13" s="416"/>
      <c r="AG13" s="416"/>
      <c r="AH13" s="70"/>
    </row>
    <row r="14" spans="1:34" s="258" customFormat="1" ht="35.15" customHeight="1">
      <c r="A14" s="254">
        <f t="shared" si="10"/>
        <v>9</v>
      </c>
      <c r="B14" s="254">
        <v>1986</v>
      </c>
      <c r="C14" s="254" t="s">
        <v>282</v>
      </c>
      <c r="D14" s="255">
        <v>6400000</v>
      </c>
      <c r="E14" s="255">
        <v>6400000</v>
      </c>
      <c r="F14" s="255">
        <f>D14-E14</f>
        <v>0</v>
      </c>
      <c r="G14" s="255">
        <v>6400000</v>
      </c>
      <c r="H14" s="255">
        <v>2276569.46</v>
      </c>
      <c r="I14" s="255">
        <v>155498</v>
      </c>
      <c r="J14" s="255">
        <f>891388.61-155498</f>
        <v>735890.61</v>
      </c>
      <c r="K14" s="4">
        <f>SUM(I14:J14)</f>
        <v>891388.61</v>
      </c>
      <c r="L14" s="4">
        <f>H14+K14</f>
        <v>3167958.07</v>
      </c>
      <c r="M14" s="4">
        <f>P14+S14-2442083+17810+44000</f>
        <v>851768.93000000017</v>
      </c>
      <c r="N14" s="4"/>
      <c r="O14" s="4">
        <f>D14-L14-M14-N14</f>
        <v>2380273</v>
      </c>
      <c r="P14" s="4">
        <f>G14-L14</f>
        <v>3232041.93</v>
      </c>
      <c r="Q14" s="4"/>
      <c r="R14" s="4"/>
      <c r="S14" s="4">
        <f>SUM(Q14:R14)</f>
        <v>0</v>
      </c>
      <c r="T14" s="4">
        <f>P14-M14+S14</f>
        <v>2380273</v>
      </c>
      <c r="U14" s="4">
        <f>N14-T14</f>
        <v>-2380273</v>
      </c>
      <c r="V14" s="4">
        <f>U14-Z14-W14-Y14</f>
        <v>-2121173</v>
      </c>
      <c r="W14" s="4">
        <f>-259100</f>
        <v>-259100</v>
      </c>
      <c r="X14" s="4"/>
      <c r="Y14" s="4"/>
      <c r="Z14" s="3"/>
      <c r="AA14" s="254"/>
      <c r="AB14" s="254">
        <v>742000</v>
      </c>
      <c r="AC14" s="259"/>
      <c r="AD14" s="266"/>
      <c r="AE14" s="43"/>
      <c r="AF14" s="416"/>
      <c r="AG14" s="416"/>
      <c r="AH14" s="70"/>
    </row>
    <row r="15" spans="1:34" s="258" customFormat="1" ht="56">
      <c r="A15" s="254">
        <f t="shared" si="10"/>
        <v>10</v>
      </c>
      <c r="B15" s="254">
        <v>2100</v>
      </c>
      <c r="C15" s="254" t="s">
        <v>1149</v>
      </c>
      <c r="D15" s="255">
        <v>10000000</v>
      </c>
      <c r="E15" s="255"/>
      <c r="F15" s="255">
        <f>D15-E15</f>
        <v>10000000</v>
      </c>
      <c r="G15" s="255"/>
      <c r="H15" s="255"/>
      <c r="I15" s="255"/>
      <c r="J15" s="255"/>
      <c r="K15" s="255">
        <f>SUM(I15:J15)</f>
        <v>0</v>
      </c>
      <c r="L15" s="255">
        <f>H15+K15</f>
        <v>0</v>
      </c>
      <c r="M15" s="255">
        <f>P15+S15</f>
        <v>0</v>
      </c>
      <c r="N15" s="255">
        <f>5000000-500000</f>
        <v>4500000</v>
      </c>
      <c r="O15" s="255">
        <f>D15-L15-M15-N15</f>
        <v>5500000</v>
      </c>
      <c r="P15" s="255">
        <f>G15-L15</f>
        <v>0</v>
      </c>
      <c r="Q15" s="255"/>
      <c r="R15" s="255"/>
      <c r="S15" s="255">
        <f>SUM(Q15:R15)</f>
        <v>0</v>
      </c>
      <c r="T15" s="255">
        <f>P15-M15+S15</f>
        <v>0</v>
      </c>
      <c r="U15" s="255">
        <f>N15-T15</f>
        <v>4500000</v>
      </c>
      <c r="V15" s="255">
        <f>U15-W15-Y15-Z15</f>
        <v>1000000</v>
      </c>
      <c r="W15" s="255">
        <f>2500000+500000+500000</f>
        <v>3500000</v>
      </c>
      <c r="X15" s="255"/>
      <c r="Y15" s="255"/>
      <c r="Z15" s="254"/>
      <c r="AA15" s="254" t="s">
        <v>1150</v>
      </c>
      <c r="AB15" s="254">
        <v>742000</v>
      </c>
      <c r="AD15" s="266"/>
      <c r="AE15" s="416"/>
      <c r="AF15" s="416"/>
      <c r="AG15" s="416"/>
    </row>
    <row r="16" spans="1:34" s="259" customFormat="1" ht="35.15" customHeight="1">
      <c r="A16" s="260">
        <f>A15</f>
        <v>10</v>
      </c>
      <c r="B16" s="260"/>
      <c r="C16" s="260" t="s">
        <v>1092</v>
      </c>
      <c r="D16" s="262">
        <f t="shared" ref="D16:Z16" si="11">SUM(D6:D15)</f>
        <v>136041606</v>
      </c>
      <c r="E16" s="262">
        <f t="shared" si="11"/>
        <v>125991606</v>
      </c>
      <c r="F16" s="262">
        <f t="shared" si="11"/>
        <v>10050000</v>
      </c>
      <c r="G16" s="262">
        <f t="shared" si="11"/>
        <v>92058500</v>
      </c>
      <c r="H16" s="262">
        <f t="shared" si="11"/>
        <v>71800967.069999993</v>
      </c>
      <c r="I16" s="262">
        <f t="shared" si="11"/>
        <v>462414.37</v>
      </c>
      <c r="J16" s="262">
        <f t="shared" si="11"/>
        <v>5816839.2599999998</v>
      </c>
      <c r="K16" s="262">
        <f t="shared" si="11"/>
        <v>6279253.6299999999</v>
      </c>
      <c r="L16" s="262">
        <f t="shared" si="11"/>
        <v>78080220.700000003</v>
      </c>
      <c r="M16" s="262">
        <f t="shared" si="11"/>
        <v>10898006.299999999</v>
      </c>
      <c r="N16" s="262">
        <f t="shared" si="11"/>
        <v>11100000</v>
      </c>
      <c r="O16" s="262">
        <f t="shared" si="11"/>
        <v>35963379</v>
      </c>
      <c r="P16" s="262">
        <f t="shared" si="11"/>
        <v>13978279.299999999</v>
      </c>
      <c r="Q16" s="262">
        <f t="shared" si="11"/>
        <v>0</v>
      </c>
      <c r="R16" s="262">
        <f t="shared" si="11"/>
        <v>0</v>
      </c>
      <c r="S16" s="262">
        <f t="shared" si="11"/>
        <v>0</v>
      </c>
      <c r="T16" s="262">
        <f t="shared" si="11"/>
        <v>3080273</v>
      </c>
      <c r="U16" s="262">
        <f t="shared" si="11"/>
        <v>8019727</v>
      </c>
      <c r="V16" s="262">
        <f t="shared" si="11"/>
        <v>4528827</v>
      </c>
      <c r="W16" s="262">
        <f t="shared" si="11"/>
        <v>3490900</v>
      </c>
      <c r="X16" s="262">
        <f t="shared" si="11"/>
        <v>0</v>
      </c>
      <c r="Y16" s="262">
        <f t="shared" si="11"/>
        <v>0</v>
      </c>
      <c r="Z16" s="262">
        <f t="shared" si="11"/>
        <v>0</v>
      </c>
      <c r="AA16" s="260"/>
      <c r="AB16" s="260"/>
      <c r="AD16" s="266"/>
      <c r="AE16" s="416"/>
      <c r="AF16" s="416"/>
      <c r="AG16" s="416"/>
      <c r="AH16" s="70"/>
    </row>
    <row r="17" spans="12:21" ht="18.75" hidden="1" customHeight="1">
      <c r="L17" s="275">
        <f>H16+K16</f>
        <v>78080220.699999988</v>
      </c>
      <c r="M17" s="275">
        <f>P16+S16-T16</f>
        <v>10898006.299999999</v>
      </c>
      <c r="N17" s="274"/>
      <c r="P17" s="275">
        <f>G16-L16</f>
        <v>13978279.299999997</v>
      </c>
      <c r="U17" s="276">
        <f>N16-T16</f>
        <v>8019727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W1"/>
  </mergeCells>
  <conditionalFormatting sqref="AA4">
    <cfRule type="cellIs" dxfId="196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22"/>
  <sheetViews>
    <sheetView showZeros="0" rightToLeft="1" zoomScaleNormal="100" workbookViewId="0">
      <pane xSplit="3" ySplit="4" topLeftCell="D15" activePane="bottomRight" state="frozen"/>
      <selection activeCell="C42" sqref="C42"/>
      <selection pane="topRight" activeCell="C42" sqref="C42"/>
      <selection pane="bottomLeft" activeCell="C42" sqref="C42"/>
      <selection pane="bottomRight" activeCell="C42" sqref="C42"/>
    </sheetView>
  </sheetViews>
  <sheetFormatPr defaultColWidth="9.1796875" defaultRowHeight="18"/>
  <cols>
    <col min="1" max="1" width="5.26953125" style="418" customWidth="1"/>
    <col min="2" max="2" width="6.7265625" style="247" customWidth="1"/>
    <col min="3" max="3" width="38.1796875" style="247" customWidth="1"/>
    <col min="4" max="4" width="11.26953125" style="248" customWidth="1"/>
    <col min="5" max="5" width="11.1796875" style="248" customWidth="1"/>
    <col min="6" max="6" width="10.54296875" style="248" customWidth="1"/>
    <col min="7" max="10" width="12.7265625" style="248" hidden="1" customWidth="1"/>
    <col min="11" max="11" width="11.26953125" style="248" hidden="1" customWidth="1"/>
    <col min="12" max="12" width="10.26953125" style="248" customWidth="1"/>
    <col min="13" max="13" width="10.54296875" style="248" customWidth="1"/>
    <col min="14" max="14" width="10.26953125" style="248" customWidth="1"/>
    <col min="15" max="15" width="10" style="248" customWidth="1"/>
    <col min="16" max="17" width="11.1796875" style="248" hidden="1" customWidth="1"/>
    <col min="18" max="19" width="12" style="248" hidden="1" customWidth="1"/>
    <col min="20" max="20" width="8.81640625" style="248" customWidth="1"/>
    <col min="21" max="21" width="10" style="247" customWidth="1"/>
    <col min="22" max="22" width="10.453125" style="247" customWidth="1"/>
    <col min="23" max="23" width="9.54296875" style="247" customWidth="1"/>
    <col min="24" max="25" width="11.81640625" style="247" hidden="1" customWidth="1"/>
    <col min="26" max="26" width="12.7265625" style="247" hidden="1" customWidth="1"/>
    <col min="27" max="27" width="26.1796875" style="588" hidden="1" customWidth="1"/>
    <col min="28" max="28" width="7.81640625" style="247" customWidth="1"/>
    <col min="29" max="29" width="9.1796875" style="247" customWidth="1"/>
    <col min="30" max="30" width="25.1796875" style="266" customWidth="1"/>
    <col min="31" max="31" width="21.1796875" style="416" customWidth="1"/>
    <col min="32" max="32" width="15.1796875" style="416" customWidth="1"/>
    <col min="33" max="33" width="11.54296875" style="416" customWidth="1"/>
    <col min="34" max="34" width="9.1796875" style="247" customWidth="1"/>
    <col min="35" max="16384" width="9.1796875" style="247"/>
  </cols>
  <sheetData>
    <row r="1" spans="1:34" s="416" customFormat="1">
      <c r="A1" s="734"/>
      <c r="B1" s="734"/>
      <c r="C1" s="734"/>
      <c r="D1" s="734"/>
      <c r="E1" s="734"/>
      <c r="F1" s="734"/>
      <c r="G1" s="734"/>
      <c r="H1" s="734"/>
      <c r="I1" s="734"/>
      <c r="J1" s="734"/>
      <c r="K1" s="734"/>
      <c r="L1" s="734"/>
      <c r="M1" s="734"/>
      <c r="N1" s="734"/>
      <c r="O1" s="734"/>
      <c r="P1" s="734"/>
      <c r="Q1" s="734"/>
      <c r="R1" s="734"/>
      <c r="S1" s="734"/>
      <c r="T1" s="734"/>
      <c r="U1" s="734"/>
      <c r="V1" s="734"/>
      <c r="W1" s="734"/>
      <c r="X1" s="494"/>
      <c r="Y1" s="494"/>
      <c r="AA1" s="599"/>
      <c r="AD1" s="266"/>
    </row>
    <row r="2" spans="1:34">
      <c r="A2" s="414" t="s">
        <v>506</v>
      </c>
      <c r="B2" s="414"/>
      <c r="C2" s="414"/>
      <c r="D2" s="414"/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414"/>
      <c r="R2" s="414"/>
      <c r="S2" s="414"/>
      <c r="T2" s="414"/>
      <c r="U2" s="414"/>
      <c r="V2" s="414"/>
      <c r="W2" s="414"/>
    </row>
    <row r="4" spans="1:34" s="457" customFormat="1" ht="86.25" customHeight="1">
      <c r="A4" s="283" t="s">
        <v>0</v>
      </c>
      <c r="B4" s="283" t="s">
        <v>1</v>
      </c>
      <c r="C4" s="283" t="s">
        <v>2</v>
      </c>
      <c r="D4" s="283" t="s">
        <v>3</v>
      </c>
      <c r="E4" s="283" t="s">
        <v>4</v>
      </c>
      <c r="F4" s="283" t="s">
        <v>5</v>
      </c>
      <c r="G4" s="283" t="s">
        <v>6</v>
      </c>
      <c r="H4" s="283" t="s">
        <v>7</v>
      </c>
      <c r="I4" s="283" t="s">
        <v>9</v>
      </c>
      <c r="J4" s="283" t="s">
        <v>318</v>
      </c>
      <c r="K4" s="283" t="s">
        <v>10</v>
      </c>
      <c r="L4" s="283" t="s">
        <v>11</v>
      </c>
      <c r="M4" s="11" t="s">
        <v>627</v>
      </c>
      <c r="N4" s="283" t="s">
        <v>628</v>
      </c>
      <c r="O4" s="283" t="s">
        <v>629</v>
      </c>
      <c r="P4" s="283" t="s">
        <v>12</v>
      </c>
      <c r="Q4" s="283" t="s">
        <v>739</v>
      </c>
      <c r="R4" s="283" t="s">
        <v>740</v>
      </c>
      <c r="S4" s="283" t="s">
        <v>632</v>
      </c>
      <c r="T4" s="283" t="s">
        <v>633</v>
      </c>
      <c r="U4" s="283" t="s">
        <v>634</v>
      </c>
      <c r="V4" s="283" t="s">
        <v>13</v>
      </c>
      <c r="W4" s="283" t="s">
        <v>14</v>
      </c>
      <c r="X4" s="283" t="s">
        <v>15</v>
      </c>
      <c r="Y4" s="283" t="s">
        <v>523</v>
      </c>
      <c r="Z4" s="283" t="s">
        <v>140</v>
      </c>
      <c r="AA4" s="477" t="s">
        <v>635</v>
      </c>
      <c r="AB4" s="283" t="s">
        <v>16</v>
      </c>
      <c r="AD4" s="266"/>
      <c r="AE4" s="416"/>
      <c r="AF4" s="416"/>
      <c r="AG4" s="416"/>
    </row>
    <row r="5" spans="1:34" s="258" customFormat="1" ht="18.75" customHeight="1">
      <c r="A5" s="254"/>
      <c r="B5" s="254"/>
      <c r="C5" s="254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>
        <f>D5-L5-M5-N5</f>
        <v>0</v>
      </c>
      <c r="P5" s="255"/>
      <c r="Q5" s="255"/>
      <c r="R5" s="255"/>
      <c r="S5" s="255"/>
      <c r="T5" s="255"/>
      <c r="U5" s="255">
        <f>N5-T5</f>
        <v>0</v>
      </c>
      <c r="V5" s="255"/>
      <c r="W5" s="255"/>
      <c r="X5" s="255"/>
      <c r="Y5" s="255"/>
      <c r="Z5" s="254"/>
      <c r="AA5" s="589"/>
      <c r="AB5" s="254"/>
      <c r="AD5" s="266"/>
      <c r="AE5" s="416"/>
      <c r="AF5" s="416"/>
      <c r="AG5" s="416"/>
    </row>
    <row r="6" spans="1:34" s="5" customFormat="1" ht="75" customHeight="1">
      <c r="A6" s="254">
        <f>A5+1</f>
        <v>1</v>
      </c>
      <c r="B6" s="254">
        <v>1422</v>
      </c>
      <c r="C6" s="254" t="s">
        <v>97</v>
      </c>
      <c r="D6" s="4">
        <f>'תקציב מינהל כללי 2019'!D11</f>
        <v>30257000</v>
      </c>
      <c r="E6" s="4">
        <f>'תקציב מינהל כללי 2019'!E11</f>
        <v>30257000</v>
      </c>
      <c r="F6" s="4">
        <f>'תקציב מינהל כללי 2019'!F11</f>
        <v>0</v>
      </c>
      <c r="G6" s="4">
        <f>'תקציב מינהל כללי 2019'!G11</f>
        <v>14182000</v>
      </c>
      <c r="H6" s="4">
        <f>'תקציב מינהל כללי 2019'!H11</f>
        <v>7257000</v>
      </c>
      <c r="I6" s="4">
        <f>'תקציב מינהל כללי 2019'!I11</f>
        <v>0</v>
      </c>
      <c r="J6" s="4">
        <f>'תקציב מינהל כללי 2019'!J11</f>
        <v>0</v>
      </c>
      <c r="K6" s="4">
        <f>'תקציב מינהל כללי 2019'!K11</f>
        <v>0</v>
      </c>
      <c r="L6" s="4">
        <f>'תקציב מינהל כללי 2019'!L11</f>
        <v>7257000</v>
      </c>
      <c r="M6" s="4">
        <f>'תקציב מינהל כללי 2019'!M11</f>
        <v>6925000</v>
      </c>
      <c r="N6" s="4">
        <f>'תקציב מינהל כללי 2019'!N11</f>
        <v>0</v>
      </c>
      <c r="O6" s="4">
        <f>'תקציב מינהל כללי 2019'!O11</f>
        <v>16075000</v>
      </c>
      <c r="P6" s="4">
        <f>'תקציב מינהל כללי 2019'!P11</f>
        <v>6925000</v>
      </c>
      <c r="Q6" s="4">
        <f>'תקציב מינהל כללי 2019'!Q11</f>
        <v>0</v>
      </c>
      <c r="R6" s="4">
        <f>'תקציב מינהל כללי 2019'!R11</f>
        <v>0</v>
      </c>
      <c r="S6" s="4">
        <f>'תקציב מינהל כללי 2019'!S11</f>
        <v>0</v>
      </c>
      <c r="T6" s="4">
        <f>'תקציב מינהל כללי 2019'!T11</f>
        <v>0</v>
      </c>
      <c r="U6" s="4">
        <f>'תקציב מינהל כללי 2019'!U11</f>
        <v>0</v>
      </c>
      <c r="V6" s="4">
        <f>'תקציב מינהל כללי 2019'!V11</f>
        <v>0</v>
      </c>
      <c r="W6" s="4">
        <f>'תקציב מינהל כללי 2019'!W11</f>
        <v>0</v>
      </c>
      <c r="X6" s="4">
        <f>'תקציב מינהל כללי 2019'!X11</f>
        <v>0</v>
      </c>
      <c r="Y6" s="4">
        <f>'תקציב מינהל כללי 2019'!Y11</f>
        <v>0</v>
      </c>
      <c r="Z6" s="4">
        <f>'תקציב מינהל כללי 2019'!Z11</f>
        <v>0</v>
      </c>
      <c r="AA6" s="124" t="str">
        <f>'תקציב מינהל כללי 2019'!AA11</f>
        <v>הפרשה לתביעות תלויות בעקבות הנחיית אגף הביקורת של משה"פ במסגרת הדוחות הכספיים.</v>
      </c>
      <c r="AB6" s="3">
        <f>'תקציב מינהל כללי 2019'!AB11</f>
        <v>730000</v>
      </c>
      <c r="AC6" s="258"/>
      <c r="AD6" s="266"/>
      <c r="AE6" s="43"/>
      <c r="AF6" s="416"/>
      <c r="AG6" s="416"/>
      <c r="AH6" s="70"/>
    </row>
    <row r="7" spans="1:34" s="101" customFormat="1">
      <c r="A7" s="426"/>
      <c r="B7" s="426"/>
      <c r="C7" s="426" t="s">
        <v>1201</v>
      </c>
      <c r="D7" s="125">
        <f>SUM(D6)</f>
        <v>30257000</v>
      </c>
      <c r="E7" s="125">
        <f t="shared" ref="E7:W7" si="0">SUM(E6)</f>
        <v>30257000</v>
      </c>
      <c r="F7" s="125">
        <f t="shared" si="0"/>
        <v>0</v>
      </c>
      <c r="G7" s="125">
        <f t="shared" si="0"/>
        <v>14182000</v>
      </c>
      <c r="H7" s="125">
        <f t="shared" si="0"/>
        <v>7257000</v>
      </c>
      <c r="I7" s="125">
        <f t="shared" si="0"/>
        <v>0</v>
      </c>
      <c r="J7" s="125">
        <f t="shared" si="0"/>
        <v>0</v>
      </c>
      <c r="K7" s="125">
        <f t="shared" si="0"/>
        <v>0</v>
      </c>
      <c r="L7" s="125">
        <f t="shared" si="0"/>
        <v>7257000</v>
      </c>
      <c r="M7" s="125">
        <f t="shared" si="0"/>
        <v>6925000</v>
      </c>
      <c r="N7" s="125">
        <f t="shared" si="0"/>
        <v>0</v>
      </c>
      <c r="O7" s="125">
        <f t="shared" si="0"/>
        <v>16075000</v>
      </c>
      <c r="P7" s="125">
        <f t="shared" si="0"/>
        <v>6925000</v>
      </c>
      <c r="Q7" s="125">
        <f t="shared" si="0"/>
        <v>0</v>
      </c>
      <c r="R7" s="125">
        <f t="shared" si="0"/>
        <v>0</v>
      </c>
      <c r="S7" s="125">
        <f t="shared" si="0"/>
        <v>0</v>
      </c>
      <c r="T7" s="125">
        <f t="shared" si="0"/>
        <v>0</v>
      </c>
      <c r="U7" s="125">
        <f t="shared" si="0"/>
        <v>0</v>
      </c>
      <c r="V7" s="125">
        <f t="shared" si="0"/>
        <v>0</v>
      </c>
      <c r="W7" s="125">
        <f t="shared" si="0"/>
        <v>0</v>
      </c>
      <c r="X7" s="125"/>
      <c r="Y7" s="125"/>
      <c r="Z7" s="125"/>
      <c r="AA7" s="620"/>
      <c r="AB7" s="44"/>
      <c r="AC7" s="621"/>
      <c r="AD7" s="622"/>
      <c r="AE7" s="623"/>
      <c r="AF7" s="624"/>
      <c r="AG7" s="624"/>
      <c r="AH7" s="625"/>
    </row>
    <row r="8" spans="1:34" s="5" customFormat="1" ht="42">
      <c r="A8" s="254">
        <f>A6+1</f>
        <v>2</v>
      </c>
      <c r="B8" s="3">
        <v>1032</v>
      </c>
      <c r="C8" s="3" t="s">
        <v>253</v>
      </c>
      <c r="D8" s="4">
        <f>'תקציב מינהל כללי 2019'!D7</f>
        <v>40500000</v>
      </c>
      <c r="E8" s="4">
        <f>'תקציב מינהל כללי 2019'!E7</f>
        <v>40500000</v>
      </c>
      <c r="F8" s="4">
        <f>'תקציב מינהל כללי 2019'!F7</f>
        <v>0</v>
      </c>
      <c r="G8" s="4">
        <f>'תקציב מינהל כללי 2019'!G7</f>
        <v>27910000</v>
      </c>
      <c r="H8" s="4">
        <f>'תקציב מינהל כללי 2019'!H7</f>
        <v>22057861.140000001</v>
      </c>
      <c r="I8" s="4">
        <f>'תקציב מינהל כללי 2019'!I7</f>
        <v>265883.82</v>
      </c>
      <c r="J8" s="4">
        <f>'תקציב מינהל כללי 2019'!J7</f>
        <v>3310586.96</v>
      </c>
      <c r="K8" s="4">
        <f>'תקציב מינהל כללי 2019'!K7</f>
        <v>3576470.78</v>
      </c>
      <c r="L8" s="4">
        <f>'תקציב מינהל כללי 2019'!L7</f>
        <v>25634331.920000002</v>
      </c>
      <c r="M8" s="4">
        <f>'תקציב מינהל כללי 2019'!M7</f>
        <v>2275668.0799999982</v>
      </c>
      <c r="N8" s="4">
        <f>'תקציב מינהל כללי 2019'!N7</f>
        <v>5000000</v>
      </c>
      <c r="O8" s="4">
        <f>'תקציב מינהל כללי 2019'!O7</f>
        <v>7590000</v>
      </c>
      <c r="P8" s="4">
        <f>'תקציב מינהל כללי 2019'!P7</f>
        <v>2275668.0799999982</v>
      </c>
      <c r="Q8" s="4">
        <f>'תקציב מינהל כללי 2019'!Q7</f>
        <v>0</v>
      </c>
      <c r="R8" s="4">
        <f>'תקציב מינהל כללי 2019'!R7</f>
        <v>0</v>
      </c>
      <c r="S8" s="4">
        <f>'תקציב מינהל כללי 2019'!S7</f>
        <v>0</v>
      </c>
      <c r="T8" s="4">
        <f>'תקציב מינהל כללי 2019'!T7</f>
        <v>0</v>
      </c>
      <c r="U8" s="4">
        <f>'תקציב מינהל כללי 2019'!U7</f>
        <v>5000000</v>
      </c>
      <c r="V8" s="4">
        <f>'תקציב מינהל כללי 2019'!V7</f>
        <v>5000000</v>
      </c>
      <c r="W8" s="4">
        <f>'תקציב מינהל כללי 2019'!W7</f>
        <v>0</v>
      </c>
      <c r="X8" s="4">
        <f>'תקציב מינהל כללי 2019'!X7</f>
        <v>0</v>
      </c>
      <c r="Y8" s="4">
        <f>'תקציב מינהל כללי 2019'!Y7</f>
        <v>0</v>
      </c>
      <c r="Z8" s="4">
        <f>'תקציב מינהל כללי 2019'!Z7</f>
        <v>0</v>
      </c>
      <c r="AA8" s="124" t="str">
        <f>'תקציב מינהל כללי 2019'!AA7</f>
        <v>עבודות הנגשה של מוס"ח ומבני ציבור כנדרש עפ"י החוק במסגרת תוכנית רב שנתית.</v>
      </c>
      <c r="AB8" s="3">
        <f>'תקציב מינהל כללי 2019'!AB7</f>
        <v>742000</v>
      </c>
      <c r="AC8" s="35"/>
      <c r="AD8" s="266"/>
      <c r="AE8" s="43"/>
      <c r="AF8" s="416"/>
      <c r="AG8" s="416"/>
      <c r="AH8" s="70"/>
    </row>
    <row r="9" spans="1:34" s="258" customFormat="1" ht="42">
      <c r="A9" s="254">
        <f>A8+1</f>
        <v>3</v>
      </c>
      <c r="B9" s="254">
        <v>1130</v>
      </c>
      <c r="C9" s="254" t="s">
        <v>39</v>
      </c>
      <c r="D9" s="4">
        <f>'תקציב מינהל כללי 2019'!D8</f>
        <v>16000000</v>
      </c>
      <c r="E9" s="4">
        <f>'תקציב מינהל כללי 2019'!E8</f>
        <v>16000000</v>
      </c>
      <c r="F9" s="4">
        <f>'תקציב מינהל כללי 2019'!F8</f>
        <v>0</v>
      </c>
      <c r="G9" s="4">
        <f>'תקציב מינהל כללי 2019'!G8</f>
        <v>13481894</v>
      </c>
      <c r="H9" s="4">
        <f>'תקציב מינהל כללי 2019'!H8</f>
        <v>11423753.060000001</v>
      </c>
      <c r="I9" s="4">
        <f>'תקציב מינהל כללי 2019'!I8</f>
        <v>41032.550000000003</v>
      </c>
      <c r="J9" s="4">
        <f>'תקציב מינהל כללי 2019'!J8</f>
        <v>813063.22</v>
      </c>
      <c r="K9" s="4">
        <f>'תקציב מינהל כללי 2019'!K8</f>
        <v>854095.77</v>
      </c>
      <c r="L9" s="4">
        <f>'תקציב מינהל כללי 2019'!L8</f>
        <v>12277848.83</v>
      </c>
      <c r="M9" s="4">
        <f>'תקציב מינהל כללי 2019'!M8</f>
        <v>504045.16999999993</v>
      </c>
      <c r="N9" s="4">
        <f>'תקציב מינהל כללי 2019'!N8</f>
        <v>700000</v>
      </c>
      <c r="O9" s="4">
        <f>'תקציב מינהל כללי 2019'!O8</f>
        <v>2518106</v>
      </c>
      <c r="P9" s="4">
        <f>'תקציב מינהל כללי 2019'!P8</f>
        <v>1204045.17</v>
      </c>
      <c r="Q9" s="4">
        <f>'תקציב מינהל כללי 2019'!Q8</f>
        <v>0</v>
      </c>
      <c r="R9" s="4">
        <f>'תקציב מינהל כללי 2019'!R8</f>
        <v>0</v>
      </c>
      <c r="S9" s="4">
        <f>'תקציב מינהל כללי 2019'!S8</f>
        <v>0</v>
      </c>
      <c r="T9" s="4">
        <f>'תקציב מינהל כללי 2019'!T8</f>
        <v>700000</v>
      </c>
      <c r="U9" s="4">
        <f>'תקציב מינהל כללי 2019'!U8</f>
        <v>0</v>
      </c>
      <c r="V9" s="4">
        <f>'תקציב מינהל כללי 2019'!V8</f>
        <v>0</v>
      </c>
      <c r="W9" s="4">
        <f>'תקציב מינהל כללי 2019'!W8</f>
        <v>0</v>
      </c>
      <c r="X9" s="4">
        <f>'תקציב מינהל כללי 2019'!X8</f>
        <v>0</v>
      </c>
      <c r="Y9" s="4">
        <f>'תקציב מינהל כללי 2019'!Y8</f>
        <v>0</v>
      </c>
      <c r="Z9" s="4">
        <f>'תקציב מינהל כללי 2019'!Z8</f>
        <v>0</v>
      </c>
      <c r="AA9" s="124" t="str">
        <f>'תקציב מינהל כללי 2019'!AA8</f>
        <v>מסגרת עבודות של  פרויקטים תחבורתיים עפ"י החלטות ועדת תנועה ופניות הציבור.</v>
      </c>
      <c r="AB9" s="3">
        <f>'תקציב מינהל כללי 2019'!AB8</f>
        <v>742000</v>
      </c>
      <c r="AD9" s="266"/>
      <c r="AE9" s="43"/>
      <c r="AF9" s="416"/>
      <c r="AG9" s="416"/>
      <c r="AH9" s="70"/>
    </row>
    <row r="10" spans="1:34" s="258" customFormat="1">
      <c r="A10" s="254">
        <f>A9+1</f>
        <v>4</v>
      </c>
      <c r="B10" s="254">
        <v>1793</v>
      </c>
      <c r="C10" s="254" t="s">
        <v>1148</v>
      </c>
      <c r="D10" s="4">
        <f>'תקציב מינהל כללי 2019'!D13</f>
        <v>3033606</v>
      </c>
      <c r="E10" s="4">
        <f>'תקציב מינהל כללי 2019'!E13</f>
        <v>3033606</v>
      </c>
      <c r="F10" s="4">
        <f>'תקציב מינהל כללי 2019'!F13</f>
        <v>0</v>
      </c>
      <c r="G10" s="4">
        <f>'תקציב מינהל כללי 2019'!G13</f>
        <v>3033606</v>
      </c>
      <c r="H10" s="4">
        <f>'תקציב מינהל כללי 2019'!H13</f>
        <v>2809988.1</v>
      </c>
      <c r="I10" s="4">
        <f>'תקציב מינהל כללי 2019'!I13</f>
        <v>0</v>
      </c>
      <c r="J10" s="4">
        <f>'תקציב מינהל כללי 2019'!J13</f>
        <v>130253.75999999999</v>
      </c>
      <c r="K10" s="4">
        <f>'תקציב מינהל כללי 2019'!K13</f>
        <v>130253.75999999999</v>
      </c>
      <c r="L10" s="4">
        <f>'תקציב מינהל כללי 2019'!L13</f>
        <v>2940241.86</v>
      </c>
      <c r="M10" s="4">
        <f>'תקציב מינהל כללי 2019'!M13</f>
        <v>93364.14000000013</v>
      </c>
      <c r="N10" s="4">
        <f>'תקציב מינהל כללי 2019'!N13</f>
        <v>0</v>
      </c>
      <c r="O10" s="4">
        <f>'תקציב מינהל כללי 2019'!O13</f>
        <v>0</v>
      </c>
      <c r="P10" s="4">
        <f>'תקציב מינהל כללי 2019'!P13</f>
        <v>93364.14000000013</v>
      </c>
      <c r="Q10" s="4">
        <f>'תקציב מינהל כללי 2019'!Q13</f>
        <v>0</v>
      </c>
      <c r="R10" s="4">
        <f>'תקציב מינהל כללי 2019'!R13</f>
        <v>0</v>
      </c>
      <c r="S10" s="4">
        <f>'תקציב מינהל כללי 2019'!S13</f>
        <v>0</v>
      </c>
      <c r="T10" s="4">
        <f>'תקציב מינהל כללי 2019'!T13</f>
        <v>0</v>
      </c>
      <c r="U10" s="4">
        <f>'תקציב מינהל כללי 2019'!U13</f>
        <v>0</v>
      </c>
      <c r="V10" s="4">
        <f>'תקציב מינהל כללי 2019'!V13</f>
        <v>0</v>
      </c>
      <c r="W10" s="4">
        <f>'תקציב מינהל כללי 2019'!W13</f>
        <v>0</v>
      </c>
      <c r="X10" s="4">
        <f>'תקציב מינהל כללי 2019'!X13</f>
        <v>0</v>
      </c>
      <c r="Y10" s="4">
        <f>'תקציב מינהל כללי 2019'!Y13</f>
        <v>0</v>
      </c>
      <c r="Z10" s="4">
        <f>'תקציב מינהל כללי 2019'!Z13</f>
        <v>0</v>
      </c>
      <c r="AA10" s="124">
        <f>'תקציב מינהל כללי 2019'!AA13</f>
        <v>0</v>
      </c>
      <c r="AB10" s="3">
        <f>'תקציב מינהל כללי 2019'!AB13</f>
        <v>742000</v>
      </c>
      <c r="AD10" s="266"/>
      <c r="AE10" s="43"/>
      <c r="AF10" s="416"/>
      <c r="AG10" s="416"/>
      <c r="AH10" s="70"/>
    </row>
    <row r="11" spans="1:34" s="258" customFormat="1" ht="45" customHeight="1">
      <c r="A11" s="254">
        <f>A10+1</f>
        <v>5</v>
      </c>
      <c r="B11" s="254">
        <v>1986</v>
      </c>
      <c r="C11" s="254" t="s">
        <v>282</v>
      </c>
      <c r="D11" s="4">
        <f>'תקציב מינהל כללי 2019'!D14</f>
        <v>6400000</v>
      </c>
      <c r="E11" s="4">
        <f>'תקציב מינהל כללי 2019'!E14</f>
        <v>6400000</v>
      </c>
      <c r="F11" s="4">
        <f>'תקציב מינהל כללי 2019'!F14</f>
        <v>0</v>
      </c>
      <c r="G11" s="4">
        <f>'תקציב מינהל כללי 2019'!G14</f>
        <v>6400000</v>
      </c>
      <c r="H11" s="4">
        <f>'תקציב מינהל כללי 2019'!H14</f>
        <v>2276569.46</v>
      </c>
      <c r="I11" s="4">
        <f>'תקציב מינהל כללי 2019'!I14</f>
        <v>155498</v>
      </c>
      <c r="J11" s="4">
        <f>'תקציב מינהל כללי 2019'!J14</f>
        <v>735890.61</v>
      </c>
      <c r="K11" s="4">
        <f>'תקציב מינהל כללי 2019'!K14</f>
        <v>891388.61</v>
      </c>
      <c r="L11" s="4">
        <f>'תקציב מינהל כללי 2019'!L14</f>
        <v>3167958.07</v>
      </c>
      <c r="M11" s="4">
        <f>'תקציב מינהל כללי 2019'!M14</f>
        <v>851768.93000000017</v>
      </c>
      <c r="N11" s="4">
        <f>'תקציב מינהל כללי 2019'!N14</f>
        <v>0</v>
      </c>
      <c r="O11" s="4">
        <f>'תקציב מינהל כללי 2019'!O14</f>
        <v>2380273</v>
      </c>
      <c r="P11" s="4">
        <f>'תקציב מינהל כללי 2019'!P14</f>
        <v>3232041.93</v>
      </c>
      <c r="Q11" s="4">
        <f>'תקציב מינהל כללי 2019'!Q14</f>
        <v>0</v>
      </c>
      <c r="R11" s="4">
        <f>'תקציב מינהל כללי 2019'!R14</f>
        <v>0</v>
      </c>
      <c r="S11" s="4">
        <f>'תקציב מינהל כללי 2019'!S14</f>
        <v>0</v>
      </c>
      <c r="T11" s="4">
        <f>'תקציב מינהל כללי 2019'!T14</f>
        <v>2380273</v>
      </c>
      <c r="U11" s="4">
        <f>'תקציב מינהל כללי 2019'!U14</f>
        <v>-2380273</v>
      </c>
      <c r="V11" s="4">
        <f>'תקציב מינהל כללי 2019'!V14</f>
        <v>-2121173</v>
      </c>
      <c r="W11" s="4">
        <f>'תקציב מינהל כללי 2019'!W14</f>
        <v>-259100</v>
      </c>
      <c r="X11" s="4">
        <f>'תקציב מינהל כללי 2019'!X14</f>
        <v>0</v>
      </c>
      <c r="Y11" s="4">
        <f>'תקציב מינהל כללי 2019'!Y14</f>
        <v>0</v>
      </c>
      <c r="Z11" s="4">
        <f>'תקציב מינהל כללי 2019'!Z14</f>
        <v>0</v>
      </c>
      <c r="AA11" s="124">
        <f>'תקציב מינהל כללי 2019'!AA14</f>
        <v>0</v>
      </c>
      <c r="AB11" s="3">
        <f>'תקציב מינהל כללי 2019'!AB14</f>
        <v>742000</v>
      </c>
      <c r="AC11" s="259"/>
      <c r="AD11" s="266"/>
      <c r="AE11" s="43"/>
      <c r="AF11" s="416"/>
      <c r="AG11" s="416"/>
      <c r="AH11" s="70"/>
    </row>
    <row r="12" spans="1:34" s="258" customFormat="1" ht="56">
      <c r="A12" s="254">
        <f>A11+1</f>
        <v>6</v>
      </c>
      <c r="B12" s="254">
        <v>2100</v>
      </c>
      <c r="C12" s="254" t="s">
        <v>1149</v>
      </c>
      <c r="D12" s="4">
        <f>'תקציב מינהל כללי 2019'!D15</f>
        <v>10000000</v>
      </c>
      <c r="E12" s="4">
        <f>'תקציב מינהל כללי 2019'!E15</f>
        <v>0</v>
      </c>
      <c r="F12" s="4">
        <f>'תקציב מינהל כללי 2019'!F15</f>
        <v>10000000</v>
      </c>
      <c r="G12" s="4">
        <f>'תקציב מינהל כללי 2019'!G15</f>
        <v>0</v>
      </c>
      <c r="H12" s="4">
        <f>'תקציב מינהל כללי 2019'!H15</f>
        <v>0</v>
      </c>
      <c r="I12" s="4">
        <f>'תקציב מינהל כללי 2019'!I15</f>
        <v>0</v>
      </c>
      <c r="J12" s="4">
        <f>'תקציב מינהל כללי 2019'!J15</f>
        <v>0</v>
      </c>
      <c r="K12" s="4">
        <f>'תקציב מינהל כללי 2019'!K15</f>
        <v>0</v>
      </c>
      <c r="L12" s="4">
        <f>'תקציב מינהל כללי 2019'!L15</f>
        <v>0</v>
      </c>
      <c r="M12" s="4">
        <f>'תקציב מינהל כללי 2019'!M15</f>
        <v>0</v>
      </c>
      <c r="N12" s="4">
        <f>'תקציב מינהל כללי 2019'!N15</f>
        <v>4500000</v>
      </c>
      <c r="O12" s="4">
        <f>'תקציב מינהל כללי 2019'!O15</f>
        <v>5500000</v>
      </c>
      <c r="P12" s="4">
        <f>'תקציב מינהל כללי 2019'!P15</f>
        <v>0</v>
      </c>
      <c r="Q12" s="4">
        <f>'תקציב מינהל כללי 2019'!Q15</f>
        <v>0</v>
      </c>
      <c r="R12" s="4">
        <f>'תקציב מינהל כללי 2019'!R15</f>
        <v>0</v>
      </c>
      <c r="S12" s="4">
        <f>'תקציב מינהל כללי 2019'!S15</f>
        <v>0</v>
      </c>
      <c r="T12" s="4">
        <f>'תקציב מינהל כללי 2019'!T15</f>
        <v>0</v>
      </c>
      <c r="U12" s="4">
        <f>'תקציב מינהל כללי 2019'!U15</f>
        <v>4500000</v>
      </c>
      <c r="V12" s="4">
        <f>'תקציב מינהל כללי 2019'!V15</f>
        <v>1000000</v>
      </c>
      <c r="W12" s="4">
        <f>'תקציב מינהל כללי 2019'!W15</f>
        <v>3500000</v>
      </c>
      <c r="X12" s="4">
        <f>'תקציב מינהל כללי 2019'!X15</f>
        <v>0</v>
      </c>
      <c r="Y12" s="4">
        <f>'תקציב מינהל כללי 2019'!Y15</f>
        <v>0</v>
      </c>
      <c r="Z12" s="4">
        <f>'תקציב מינהל כללי 2019'!Z15</f>
        <v>0</v>
      </c>
      <c r="AA12" s="124" t="str">
        <f>'תקציב מינהל כללי 2019'!AA15</f>
        <v>עב' פיתוח דחופות בלתי צפויות, מימוני ביניים, שיתעוררו במהלך השנה ויבוצעו עפ"י החלטות הנהלת העיר. שנים 2019/2020.</v>
      </c>
      <c r="AB12" s="3">
        <f>'תקציב מינהל כללי 2019'!AB15</f>
        <v>742000</v>
      </c>
      <c r="AD12" s="266"/>
      <c r="AE12" s="416"/>
      <c r="AF12" s="416"/>
      <c r="AG12" s="416"/>
    </row>
    <row r="13" spans="1:34" s="621" customFormat="1">
      <c r="A13" s="426"/>
      <c r="B13" s="426"/>
      <c r="C13" s="426" t="s">
        <v>1202</v>
      </c>
      <c r="D13" s="125">
        <f>SUM(D8:D12)</f>
        <v>75933606</v>
      </c>
      <c r="E13" s="125">
        <f t="shared" ref="E13:W13" si="1">SUM(E8:E12)</f>
        <v>65933606</v>
      </c>
      <c r="F13" s="125">
        <f t="shared" si="1"/>
        <v>10000000</v>
      </c>
      <c r="G13" s="125">
        <f t="shared" si="1"/>
        <v>50825500</v>
      </c>
      <c r="H13" s="125">
        <f t="shared" si="1"/>
        <v>38568171.760000005</v>
      </c>
      <c r="I13" s="125">
        <f t="shared" si="1"/>
        <v>462414.37</v>
      </c>
      <c r="J13" s="125">
        <f t="shared" si="1"/>
        <v>4989794.55</v>
      </c>
      <c r="K13" s="125">
        <f t="shared" si="1"/>
        <v>5452208.9199999999</v>
      </c>
      <c r="L13" s="125">
        <f t="shared" si="1"/>
        <v>44020380.68</v>
      </c>
      <c r="M13" s="125">
        <f t="shared" si="1"/>
        <v>3724846.3199999984</v>
      </c>
      <c r="N13" s="125">
        <f t="shared" si="1"/>
        <v>10200000</v>
      </c>
      <c r="O13" s="125">
        <f t="shared" si="1"/>
        <v>17988379</v>
      </c>
      <c r="P13" s="125">
        <f t="shared" si="1"/>
        <v>6805119.3199999984</v>
      </c>
      <c r="Q13" s="125">
        <f t="shared" si="1"/>
        <v>0</v>
      </c>
      <c r="R13" s="125">
        <f t="shared" si="1"/>
        <v>0</v>
      </c>
      <c r="S13" s="125">
        <f t="shared" si="1"/>
        <v>0</v>
      </c>
      <c r="T13" s="125">
        <f t="shared" si="1"/>
        <v>3080273</v>
      </c>
      <c r="U13" s="125">
        <f t="shared" si="1"/>
        <v>7119727</v>
      </c>
      <c r="V13" s="125">
        <f t="shared" si="1"/>
        <v>3878827</v>
      </c>
      <c r="W13" s="125">
        <f t="shared" si="1"/>
        <v>3240900</v>
      </c>
      <c r="X13" s="125"/>
      <c r="Y13" s="125"/>
      <c r="Z13" s="125"/>
      <c r="AA13" s="620"/>
      <c r="AB13" s="44"/>
      <c r="AD13" s="622"/>
      <c r="AE13" s="624"/>
      <c r="AF13" s="624"/>
      <c r="AG13" s="624"/>
    </row>
    <row r="14" spans="1:34" s="258" customFormat="1" ht="42">
      <c r="A14" s="254">
        <f>A12+1</f>
        <v>7</v>
      </c>
      <c r="B14" s="254">
        <v>1259</v>
      </c>
      <c r="C14" s="254" t="s">
        <v>95</v>
      </c>
      <c r="D14" s="4">
        <f>'תקציב מינהל כללי 2019'!D9</f>
        <v>5460000</v>
      </c>
      <c r="E14" s="4">
        <f>'תקציב מינהל כללי 2019'!E9</f>
        <v>5460000</v>
      </c>
      <c r="F14" s="4">
        <f>'תקציב מינהל כללי 2019'!F9</f>
        <v>0</v>
      </c>
      <c r="G14" s="4">
        <f>'תקציב מינהל כללי 2019'!G9</f>
        <v>3410000</v>
      </c>
      <c r="H14" s="4">
        <f>'תקציב מינהל כללי 2019'!H9</f>
        <v>2998407.51</v>
      </c>
      <c r="I14" s="4">
        <f>'תקציב מינהל כללי 2019'!I9</f>
        <v>0</v>
      </c>
      <c r="J14" s="4">
        <f>'תקציב מינהל כללי 2019'!J9</f>
        <v>363683.17</v>
      </c>
      <c r="K14" s="4">
        <f>'תקציב מינהל כללי 2019'!K9</f>
        <v>363683.17</v>
      </c>
      <c r="L14" s="4">
        <f>'תקציב מינהל כללי 2019'!L9</f>
        <v>3362090.6799999997</v>
      </c>
      <c r="M14" s="4">
        <f>'תקציב מינהל כללי 2019'!M9</f>
        <v>47909.320000000298</v>
      </c>
      <c r="N14" s="4">
        <f>'תקציב מינהל כללי 2019'!N9</f>
        <v>350000</v>
      </c>
      <c r="O14" s="4">
        <f>'תקציב מינהל כללי 2019'!O9</f>
        <v>1700000</v>
      </c>
      <c r="P14" s="4">
        <f>'תקציב מינהל כללי 2019'!P9</f>
        <v>47909.320000000298</v>
      </c>
      <c r="Q14" s="4">
        <f>'תקציב מינהל כללי 2019'!Q9</f>
        <v>0</v>
      </c>
      <c r="R14" s="4">
        <f>'תקציב מינהל כללי 2019'!R9</f>
        <v>0</v>
      </c>
      <c r="S14" s="4">
        <f>'תקציב מינהל כללי 2019'!S9</f>
        <v>0</v>
      </c>
      <c r="T14" s="4">
        <f>'תקציב מינהל כללי 2019'!T9</f>
        <v>0</v>
      </c>
      <c r="U14" s="4">
        <f>'תקציב מינהל כללי 2019'!U9</f>
        <v>350000</v>
      </c>
      <c r="V14" s="4">
        <f>'תקציב מינהל כללי 2019'!V9</f>
        <v>350000</v>
      </c>
      <c r="W14" s="4">
        <f>'תקציב מינהל כללי 2019'!W9</f>
        <v>0</v>
      </c>
      <c r="X14" s="4">
        <f>'תקציב מינהל כללי 2019'!X9</f>
        <v>0</v>
      </c>
      <c r="Y14" s="4">
        <f>'תקציב מינהל כללי 2019'!Y9</f>
        <v>0</v>
      </c>
      <c r="Z14" s="4">
        <f>'תקציב מינהל כללי 2019'!Z9</f>
        <v>0</v>
      </c>
      <c r="AA14" s="124" t="str">
        <f>'תקציב מינהל כללי 2019'!AA9</f>
        <v>מדידת נכסים בעת ביצוע עב' פיתוח לצורך חיוב הנכסים עפ"י שטחם בפועל.</v>
      </c>
      <c r="AB14" s="3">
        <f>'תקציב מינהל כללי 2019'!AB9</f>
        <v>760000</v>
      </c>
      <c r="AD14" s="266"/>
      <c r="AE14" s="43"/>
      <c r="AF14" s="416"/>
      <c r="AG14" s="416"/>
      <c r="AH14" s="70"/>
    </row>
    <row r="15" spans="1:34" s="258" customFormat="1" ht="28">
      <c r="A15" s="254">
        <f>A13+1</f>
        <v>1</v>
      </c>
      <c r="B15" s="254">
        <v>1260</v>
      </c>
      <c r="C15" s="254" t="s">
        <v>96</v>
      </c>
      <c r="D15" s="4">
        <f>'תקציב מינהל כללי 2019'!D10</f>
        <v>8608000</v>
      </c>
      <c r="E15" s="4">
        <f>'תקציב מינהל כללי 2019'!E10</f>
        <v>8608000</v>
      </c>
      <c r="F15" s="4">
        <f>'תקציב מינהל כללי 2019'!F10</f>
        <v>0</v>
      </c>
      <c r="G15" s="4">
        <f>'תקציב מינהל כללי 2019'!G10</f>
        <v>7908000</v>
      </c>
      <c r="H15" s="4">
        <f>'תקציב מינהל כללי 2019'!H10</f>
        <v>7428135</v>
      </c>
      <c r="I15" s="4">
        <f>'תקציב מינהל כללי 2019'!I10</f>
        <v>0</v>
      </c>
      <c r="J15" s="4">
        <f>'תקציב מינהל כללי 2019'!J10</f>
        <v>463361.54</v>
      </c>
      <c r="K15" s="4">
        <f>'תקציב מינהל כללי 2019'!K10</f>
        <v>463361.54</v>
      </c>
      <c r="L15" s="4">
        <f>'תקציב מינהל כללי 2019'!L10</f>
        <v>7891496.54</v>
      </c>
      <c r="M15" s="4">
        <f>'תקציב מינהל כללי 2019'!M10</f>
        <v>16503.459999999963</v>
      </c>
      <c r="N15" s="4">
        <f>'תקציב מינהל כללי 2019'!N10</f>
        <v>500000</v>
      </c>
      <c r="O15" s="4">
        <f>'תקציב מינהל כללי 2019'!O10</f>
        <v>200000</v>
      </c>
      <c r="P15" s="4">
        <f>'תקציב מינהל כללי 2019'!P10</f>
        <v>16503.459999999963</v>
      </c>
      <c r="Q15" s="4">
        <f>'תקציב מינהל כללי 2019'!Q10</f>
        <v>0</v>
      </c>
      <c r="R15" s="4">
        <f>'תקציב מינהל כללי 2019'!R10</f>
        <v>0</v>
      </c>
      <c r="S15" s="4">
        <f>'תקציב מינהל כללי 2019'!S10</f>
        <v>0</v>
      </c>
      <c r="T15" s="4">
        <f>'תקציב מינהל כללי 2019'!T10</f>
        <v>0</v>
      </c>
      <c r="U15" s="4">
        <f>'תקציב מינהל כללי 2019'!U10</f>
        <v>500000</v>
      </c>
      <c r="V15" s="4">
        <f>'תקציב מינהל כללי 2019'!V10</f>
        <v>250000</v>
      </c>
      <c r="W15" s="4">
        <f>'תקציב מינהל כללי 2019'!W10</f>
        <v>250000</v>
      </c>
      <c r="X15" s="4">
        <f>'תקציב מינהל כללי 2019'!X10</f>
        <v>0</v>
      </c>
      <c r="Y15" s="4">
        <f>'תקציב מינהל כללי 2019'!Y10</f>
        <v>0</v>
      </c>
      <c r="Z15" s="4">
        <f>'תקציב מינהל כללי 2019'!Z10</f>
        <v>0</v>
      </c>
      <c r="AA15" s="124" t="str">
        <f>'תקציב מינהל כללי 2019'!AA10</f>
        <v>בדיקת תשלומי היטלי פיתוח בגין נכסים בעת ביצוע עב' פיתוח.</v>
      </c>
      <c r="AB15" s="3">
        <f>'תקציב מינהל כללי 2019'!AB10</f>
        <v>760000</v>
      </c>
      <c r="AD15" s="266"/>
      <c r="AE15" s="43"/>
      <c r="AF15" s="416"/>
      <c r="AG15" s="416"/>
      <c r="AH15" s="70"/>
    </row>
    <row r="16" spans="1:34" s="621" customFormat="1">
      <c r="A16" s="426"/>
      <c r="B16" s="426"/>
      <c r="C16" s="426" t="s">
        <v>1203</v>
      </c>
      <c r="D16" s="125">
        <f>SUM(D14:D15)</f>
        <v>14068000</v>
      </c>
      <c r="E16" s="125">
        <f t="shared" ref="E16:W16" si="2">SUM(E14:E15)</f>
        <v>14068000</v>
      </c>
      <c r="F16" s="125">
        <f t="shared" si="2"/>
        <v>0</v>
      </c>
      <c r="G16" s="125">
        <f t="shared" si="2"/>
        <v>11318000</v>
      </c>
      <c r="H16" s="125">
        <f t="shared" si="2"/>
        <v>10426542.51</v>
      </c>
      <c r="I16" s="125">
        <f t="shared" si="2"/>
        <v>0</v>
      </c>
      <c r="J16" s="125">
        <f t="shared" si="2"/>
        <v>827044.71</v>
      </c>
      <c r="K16" s="125">
        <f t="shared" si="2"/>
        <v>827044.71</v>
      </c>
      <c r="L16" s="125">
        <f t="shared" si="2"/>
        <v>11253587.219999999</v>
      </c>
      <c r="M16" s="125">
        <f t="shared" si="2"/>
        <v>64412.780000000261</v>
      </c>
      <c r="N16" s="125">
        <f t="shared" si="2"/>
        <v>850000</v>
      </c>
      <c r="O16" s="125">
        <f t="shared" si="2"/>
        <v>1900000</v>
      </c>
      <c r="P16" s="125">
        <f t="shared" si="2"/>
        <v>64412.780000000261</v>
      </c>
      <c r="Q16" s="125">
        <f t="shared" si="2"/>
        <v>0</v>
      </c>
      <c r="R16" s="125">
        <f t="shared" si="2"/>
        <v>0</v>
      </c>
      <c r="S16" s="125">
        <f t="shared" si="2"/>
        <v>0</v>
      </c>
      <c r="T16" s="125">
        <f t="shared" si="2"/>
        <v>0</v>
      </c>
      <c r="U16" s="125">
        <f t="shared" si="2"/>
        <v>850000</v>
      </c>
      <c r="V16" s="125">
        <f t="shared" si="2"/>
        <v>600000</v>
      </c>
      <c r="W16" s="125">
        <f t="shared" si="2"/>
        <v>250000</v>
      </c>
      <c r="X16" s="125"/>
      <c r="Y16" s="125"/>
      <c r="Z16" s="125"/>
      <c r="AA16" s="620"/>
      <c r="AB16" s="44"/>
      <c r="AD16" s="622"/>
      <c r="AE16" s="623"/>
      <c r="AF16" s="624"/>
      <c r="AG16" s="624"/>
      <c r="AH16" s="625"/>
    </row>
    <row r="17" spans="1:34" s="258" customFormat="1" ht="75" customHeight="1">
      <c r="A17" s="254">
        <f>A14+1</f>
        <v>8</v>
      </c>
      <c r="B17" s="3">
        <v>529</v>
      </c>
      <c r="C17" s="3" t="s">
        <v>107</v>
      </c>
      <c r="D17" s="4">
        <f>'תקציב מינהל כללי 2019'!D6</f>
        <v>650000</v>
      </c>
      <c r="E17" s="4">
        <f>'תקציב מינהל כללי 2019'!E6</f>
        <v>600000</v>
      </c>
      <c r="F17" s="4">
        <f>'תקציב מינהל כללי 2019'!F6</f>
        <v>50000</v>
      </c>
      <c r="G17" s="4">
        <f>'תקציב מינהל כללי 2019'!G6</f>
        <v>600000</v>
      </c>
      <c r="H17" s="4">
        <f>'תקציב מינהל כללי 2019'!H6</f>
        <v>416252.8</v>
      </c>
      <c r="I17" s="4">
        <f>'תקציב מינהל כללי 2019'!I6</f>
        <v>0</v>
      </c>
      <c r="J17" s="4">
        <f>'תקציב מינהל כללי 2019'!J6</f>
        <v>0</v>
      </c>
      <c r="K17" s="4">
        <f>'תקציב מינהל כללי 2019'!K6</f>
        <v>0</v>
      </c>
      <c r="L17" s="4">
        <f>'תקציב מינהל כללי 2019'!L6</f>
        <v>416252.8</v>
      </c>
      <c r="M17" s="4">
        <f>'תקציב מינהל כללי 2019'!M6</f>
        <v>183747.20000000001</v>
      </c>
      <c r="N17" s="4">
        <f>'תקציב מינהל כללי 2019'!N6</f>
        <v>50000</v>
      </c>
      <c r="O17" s="4">
        <f>'תקציב מינהל כללי 2019'!O6</f>
        <v>0</v>
      </c>
      <c r="P17" s="4">
        <f>'תקציב מינהל כללי 2019'!P6</f>
        <v>183747.20000000001</v>
      </c>
      <c r="Q17" s="4">
        <f>'תקציב מינהל כללי 2019'!Q6</f>
        <v>0</v>
      </c>
      <c r="R17" s="4">
        <f>'תקציב מינהל כללי 2019'!R6</f>
        <v>0</v>
      </c>
      <c r="S17" s="4">
        <f>'תקציב מינהל כללי 2019'!S6</f>
        <v>0</v>
      </c>
      <c r="T17" s="4">
        <f>'תקציב מינהל כללי 2019'!T6</f>
        <v>0</v>
      </c>
      <c r="U17" s="4">
        <f>'תקציב מינהל כללי 2019'!U6</f>
        <v>50000</v>
      </c>
      <c r="V17" s="4">
        <f>'תקציב מינהל כללי 2019'!V6</f>
        <v>50000</v>
      </c>
      <c r="W17" s="4">
        <f>'תקציב מינהל כללי 2019'!W6</f>
        <v>0</v>
      </c>
      <c r="X17" s="4">
        <f>'תקציב מינהל כללי 2019'!X6</f>
        <v>0</v>
      </c>
      <c r="Y17" s="4">
        <f>'תקציב מינהל כללי 2019'!Y6</f>
        <v>0</v>
      </c>
      <c r="Z17" s="4">
        <f>'תקציב מינהל כללי 2019'!Z6</f>
        <v>0</v>
      </c>
      <c r="AA17" s="124" t="str">
        <f>'תקציב מינהל כללי 2019'!AA6</f>
        <v>שיפוץ פנים הדירות של דיירי עמידר הנמצאים במצב סוציו אוקונומי קשה. העבודה מבוצעת ע"י חברת עמידר השתתפות העיריה 50%.</v>
      </c>
      <c r="AB17" s="3">
        <f>'תקציב מינהל כללי 2019'!AB6</f>
        <v>840000</v>
      </c>
      <c r="AC17" s="5"/>
      <c r="AD17" s="266"/>
      <c r="AE17" s="43"/>
      <c r="AF17" s="15"/>
      <c r="AG17" s="15"/>
      <c r="AH17" s="15"/>
    </row>
    <row r="18" spans="1:34" s="621" customFormat="1" ht="14">
      <c r="A18" s="44"/>
      <c r="B18" s="44"/>
      <c r="C18" s="44" t="s">
        <v>1218</v>
      </c>
      <c r="D18" s="125">
        <f>SUM(D17)</f>
        <v>650000</v>
      </c>
      <c r="E18" s="125">
        <f t="shared" ref="E18:W18" si="3">SUM(E17)</f>
        <v>600000</v>
      </c>
      <c r="F18" s="125">
        <f t="shared" si="3"/>
        <v>50000</v>
      </c>
      <c r="G18" s="125">
        <f t="shared" si="3"/>
        <v>600000</v>
      </c>
      <c r="H18" s="125">
        <f t="shared" si="3"/>
        <v>416252.8</v>
      </c>
      <c r="I18" s="125">
        <f t="shared" si="3"/>
        <v>0</v>
      </c>
      <c r="J18" s="125">
        <f t="shared" si="3"/>
        <v>0</v>
      </c>
      <c r="K18" s="125">
        <f t="shared" si="3"/>
        <v>0</v>
      </c>
      <c r="L18" s="125">
        <f t="shared" si="3"/>
        <v>416252.8</v>
      </c>
      <c r="M18" s="125">
        <f t="shared" si="3"/>
        <v>183747.20000000001</v>
      </c>
      <c r="N18" s="125">
        <f t="shared" si="3"/>
        <v>50000</v>
      </c>
      <c r="O18" s="125">
        <f t="shared" si="3"/>
        <v>0</v>
      </c>
      <c r="P18" s="125">
        <f t="shared" si="3"/>
        <v>183747.20000000001</v>
      </c>
      <c r="Q18" s="125">
        <f t="shared" si="3"/>
        <v>0</v>
      </c>
      <c r="R18" s="125">
        <f t="shared" si="3"/>
        <v>0</v>
      </c>
      <c r="S18" s="125">
        <f t="shared" si="3"/>
        <v>0</v>
      </c>
      <c r="T18" s="125">
        <f t="shared" si="3"/>
        <v>0</v>
      </c>
      <c r="U18" s="125">
        <f t="shared" si="3"/>
        <v>50000</v>
      </c>
      <c r="V18" s="125">
        <f t="shared" si="3"/>
        <v>50000</v>
      </c>
      <c r="W18" s="125">
        <f t="shared" si="3"/>
        <v>0</v>
      </c>
      <c r="X18" s="125"/>
      <c r="Y18" s="125"/>
      <c r="Z18" s="125"/>
      <c r="AA18" s="620"/>
      <c r="AB18" s="44"/>
      <c r="AC18" s="101"/>
      <c r="AD18" s="622"/>
      <c r="AE18" s="623"/>
      <c r="AF18" s="626"/>
      <c r="AG18" s="626"/>
      <c r="AH18" s="626"/>
    </row>
    <row r="19" spans="1:34" s="258" customFormat="1" ht="42">
      <c r="A19" s="254">
        <f>A17+1</f>
        <v>9</v>
      </c>
      <c r="B19" s="254">
        <v>1688</v>
      </c>
      <c r="C19" s="254" t="s">
        <v>98</v>
      </c>
      <c r="D19" s="4">
        <f>'תקציב מינהל כללי 2019'!D12</f>
        <v>15133000</v>
      </c>
      <c r="E19" s="4">
        <f>'תקציב מינהל כללי 2019'!E12</f>
        <v>15133000</v>
      </c>
      <c r="F19" s="4">
        <f>'תקציב מינהל כללי 2019'!F12</f>
        <v>0</v>
      </c>
      <c r="G19" s="4">
        <f>'תקציב מינהל כללי 2019'!G12</f>
        <v>15133000</v>
      </c>
      <c r="H19" s="4">
        <f>'תקציב מינהל כללי 2019'!H12</f>
        <v>15133000</v>
      </c>
      <c r="I19" s="4">
        <f>'תקציב מינהל כללי 2019'!I12</f>
        <v>0</v>
      </c>
      <c r="J19" s="4">
        <f>'תקציב מינהל כללי 2019'!J12</f>
        <v>0</v>
      </c>
      <c r="K19" s="4">
        <f>'תקציב מינהל כללי 2019'!K12</f>
        <v>0</v>
      </c>
      <c r="L19" s="4">
        <f>'תקציב מינהל כללי 2019'!L12</f>
        <v>15133000</v>
      </c>
      <c r="M19" s="4">
        <f>'תקציב מינהל כללי 2019'!M12</f>
        <v>0</v>
      </c>
      <c r="N19" s="4">
        <f>'תקציב מינהל כללי 2019'!N12</f>
        <v>0</v>
      </c>
      <c r="O19" s="4">
        <f>'תקציב מינהל כללי 2019'!O12</f>
        <v>0</v>
      </c>
      <c r="P19" s="4">
        <f>'תקציב מינהל כללי 2019'!P12</f>
        <v>0</v>
      </c>
      <c r="Q19" s="4">
        <f>'תקציב מינהל כללי 2019'!Q12</f>
        <v>0</v>
      </c>
      <c r="R19" s="4">
        <f>'תקציב מינהל כללי 2019'!R12</f>
        <v>0</v>
      </c>
      <c r="S19" s="4">
        <f>'תקציב מינהל כללי 2019'!S12</f>
        <v>0</v>
      </c>
      <c r="T19" s="4">
        <f>'תקציב מינהל כללי 2019'!T12</f>
        <v>0</v>
      </c>
      <c r="U19" s="4">
        <f>'תקציב מינהל כללי 2019'!U12</f>
        <v>0</v>
      </c>
      <c r="V19" s="4">
        <f>'תקציב מינהל כללי 2019'!V12</f>
        <v>0</v>
      </c>
      <c r="W19" s="4">
        <f>'תקציב מינהל כללי 2019'!W12</f>
        <v>0</v>
      </c>
      <c r="X19" s="4">
        <f>'תקציב מינהל כללי 2019'!X12</f>
        <v>0</v>
      </c>
      <c r="Y19" s="4">
        <f>'תקציב מינהל כללי 2019'!Y12</f>
        <v>0</v>
      </c>
      <c r="Z19" s="4">
        <f>'תקציב מינהל כללי 2019'!Z12</f>
        <v>0</v>
      </c>
      <c r="AA19" s="124" t="str">
        <f>'תקציב מינהל כללי 2019'!AA12</f>
        <v>במסגרת סיכום עקרונות בין משרד האוצר לשלטון המקומי  מ - 12.5.2013.</v>
      </c>
      <c r="AB19" s="3">
        <f>'תקציב מינהל כללי 2019'!AB12</f>
        <v>990000</v>
      </c>
      <c r="AD19" s="266"/>
      <c r="AE19" s="43"/>
      <c r="AF19" s="416"/>
      <c r="AG19" s="416"/>
      <c r="AH19" s="70"/>
    </row>
    <row r="20" spans="1:34" s="621" customFormat="1">
      <c r="A20" s="426"/>
      <c r="B20" s="426"/>
      <c r="C20" s="426" t="s">
        <v>1204</v>
      </c>
      <c r="D20" s="125">
        <f>SUM(D19)</f>
        <v>15133000</v>
      </c>
      <c r="E20" s="125">
        <f t="shared" ref="E20:W20" si="4">SUM(E19)</f>
        <v>15133000</v>
      </c>
      <c r="F20" s="125">
        <f t="shared" si="4"/>
        <v>0</v>
      </c>
      <c r="G20" s="125">
        <f t="shared" si="4"/>
        <v>15133000</v>
      </c>
      <c r="H20" s="125">
        <f t="shared" si="4"/>
        <v>15133000</v>
      </c>
      <c r="I20" s="125">
        <f t="shared" si="4"/>
        <v>0</v>
      </c>
      <c r="J20" s="125">
        <f t="shared" si="4"/>
        <v>0</v>
      </c>
      <c r="K20" s="125">
        <f t="shared" si="4"/>
        <v>0</v>
      </c>
      <c r="L20" s="125">
        <f t="shared" si="4"/>
        <v>15133000</v>
      </c>
      <c r="M20" s="125">
        <f t="shared" si="4"/>
        <v>0</v>
      </c>
      <c r="N20" s="125">
        <f t="shared" si="4"/>
        <v>0</v>
      </c>
      <c r="O20" s="125">
        <f t="shared" si="4"/>
        <v>0</v>
      </c>
      <c r="P20" s="125">
        <f t="shared" si="4"/>
        <v>0</v>
      </c>
      <c r="Q20" s="125">
        <f t="shared" si="4"/>
        <v>0</v>
      </c>
      <c r="R20" s="125">
        <f t="shared" si="4"/>
        <v>0</v>
      </c>
      <c r="S20" s="125">
        <f t="shared" si="4"/>
        <v>0</v>
      </c>
      <c r="T20" s="125">
        <f t="shared" si="4"/>
        <v>0</v>
      </c>
      <c r="U20" s="125">
        <f t="shared" si="4"/>
        <v>0</v>
      </c>
      <c r="V20" s="125">
        <f t="shared" si="4"/>
        <v>0</v>
      </c>
      <c r="W20" s="125">
        <f t="shared" si="4"/>
        <v>0</v>
      </c>
      <c r="X20" s="125"/>
      <c r="Y20" s="125"/>
      <c r="Z20" s="125"/>
      <c r="AA20" s="620"/>
      <c r="AB20" s="44"/>
      <c r="AD20" s="622"/>
      <c r="AE20" s="623"/>
      <c r="AF20" s="624"/>
      <c r="AG20" s="624"/>
      <c r="AH20" s="625"/>
    </row>
    <row r="21" spans="1:34" s="259" customFormat="1" ht="18.75" customHeight="1">
      <c r="A21" s="260">
        <f>A19</f>
        <v>9</v>
      </c>
      <c r="B21" s="260"/>
      <c r="C21" s="260" t="s">
        <v>1092</v>
      </c>
      <c r="D21" s="262">
        <f>D20+D18+D16+D13+D7</f>
        <v>136041606</v>
      </c>
      <c r="E21" s="262">
        <f t="shared" ref="E21:W21" si="5">E20+E18+E16+E13+E7</f>
        <v>125991606</v>
      </c>
      <c r="F21" s="262">
        <f t="shared" si="5"/>
        <v>10050000</v>
      </c>
      <c r="G21" s="262">
        <f t="shared" si="5"/>
        <v>92058500</v>
      </c>
      <c r="H21" s="262">
        <f t="shared" si="5"/>
        <v>71800967.070000008</v>
      </c>
      <c r="I21" s="262">
        <f t="shared" si="5"/>
        <v>462414.37</v>
      </c>
      <c r="J21" s="262">
        <f t="shared" si="5"/>
        <v>5816839.2599999998</v>
      </c>
      <c r="K21" s="262">
        <f t="shared" si="5"/>
        <v>6279253.6299999999</v>
      </c>
      <c r="L21" s="262">
        <f t="shared" si="5"/>
        <v>78080220.700000003</v>
      </c>
      <c r="M21" s="262">
        <f t="shared" si="5"/>
        <v>10898006.299999999</v>
      </c>
      <c r="N21" s="262">
        <f t="shared" si="5"/>
        <v>11100000</v>
      </c>
      <c r="O21" s="262">
        <f t="shared" si="5"/>
        <v>35963379</v>
      </c>
      <c r="P21" s="262">
        <f t="shared" si="5"/>
        <v>13978279.299999999</v>
      </c>
      <c r="Q21" s="262">
        <f t="shared" si="5"/>
        <v>0</v>
      </c>
      <c r="R21" s="262">
        <f t="shared" si="5"/>
        <v>0</v>
      </c>
      <c r="S21" s="262">
        <f t="shared" si="5"/>
        <v>0</v>
      </c>
      <c r="T21" s="262">
        <f t="shared" si="5"/>
        <v>3080273</v>
      </c>
      <c r="U21" s="262">
        <f t="shared" si="5"/>
        <v>8019727</v>
      </c>
      <c r="V21" s="262">
        <f t="shared" si="5"/>
        <v>4528827</v>
      </c>
      <c r="W21" s="262">
        <f t="shared" si="5"/>
        <v>3490900</v>
      </c>
      <c r="X21" s="262">
        <f>SUM(X6:X19)</f>
        <v>0</v>
      </c>
      <c r="Y21" s="262">
        <f>SUM(Y6:Y19)</f>
        <v>0</v>
      </c>
      <c r="Z21" s="262">
        <f>SUM(Z6:Z19)</f>
        <v>0</v>
      </c>
      <c r="AA21" s="283"/>
      <c r="AB21" s="260"/>
      <c r="AD21" s="266"/>
      <c r="AE21" s="416"/>
      <c r="AF21" s="416"/>
      <c r="AG21" s="416"/>
      <c r="AH21" s="70"/>
    </row>
    <row r="22" spans="1:34" ht="18.75" customHeight="1">
      <c r="L22" s="275">
        <f>H21+K21</f>
        <v>78080220.700000003</v>
      </c>
      <c r="M22" s="275">
        <f>P21+S21-T21</f>
        <v>10898006.299999999</v>
      </c>
      <c r="N22" s="274"/>
      <c r="P22" s="275">
        <f>G21-L21</f>
        <v>13978279.299999997</v>
      </c>
      <c r="U22" s="276">
        <f>N21-T21</f>
        <v>8019727</v>
      </c>
    </row>
  </sheetData>
  <sheetProtection formatCells="0" formatColumns="0" formatRows="0" insertColumns="0" insertRows="0" insertHyperlinks="0" deleteColumns="0" deleteRows="0" sort="0" autoFilter="0" pivotTables="0"/>
  <sortState ref="A6:AH15">
    <sortCondition ref="AB6:AB15"/>
  </sortState>
  <mergeCells count="1">
    <mergeCell ref="A1:W1"/>
  </mergeCells>
  <conditionalFormatting sqref="AA4">
    <cfRule type="cellIs" dxfId="195" priority="1" operator="equal">
      <formula>0</formula>
    </cfRule>
  </conditionalFormatting>
  <printOptions horizontalCentered="1"/>
  <pageMargins left="0" right="0" top="0.94488188976377963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7"/>
  <sheetViews>
    <sheetView rightToLeft="1" topLeftCell="A13" zoomScaleNormal="100" workbookViewId="0">
      <selection activeCell="T20" sqref="T20"/>
    </sheetView>
  </sheetViews>
  <sheetFormatPr defaultColWidth="9.1796875" defaultRowHeight="12.5"/>
  <cols>
    <col min="1" max="16384" width="9.1796875" style="330"/>
  </cols>
  <sheetData>
    <row r="4" spans="1:8" ht="18">
      <c r="A4" s="122" t="s">
        <v>1265</v>
      </c>
    </row>
    <row r="7" spans="1:8" ht="25" customHeight="1">
      <c r="A7" s="331" t="s">
        <v>485</v>
      </c>
      <c r="B7" s="332"/>
      <c r="C7" s="332"/>
      <c r="D7" s="332"/>
      <c r="E7" s="332"/>
      <c r="F7" s="332"/>
      <c r="G7" s="332"/>
      <c r="H7" s="331" t="s">
        <v>486</v>
      </c>
    </row>
    <row r="8" spans="1:8" ht="15" customHeight="1"/>
    <row r="9" spans="1:8" ht="25" customHeight="1">
      <c r="A9" s="332" t="s">
        <v>1266</v>
      </c>
    </row>
    <row r="10" spans="1:8" ht="25" customHeight="1">
      <c r="A10" s="332" t="s">
        <v>540</v>
      </c>
      <c r="H10" s="332">
        <v>107</v>
      </c>
    </row>
    <row r="11" spans="1:8" ht="25" customHeight="1">
      <c r="A11" s="332" t="s">
        <v>286</v>
      </c>
      <c r="H11" s="333" t="s">
        <v>1541</v>
      </c>
    </row>
    <row r="12" spans="1:8" ht="25" customHeight="1">
      <c r="A12" s="332" t="s">
        <v>444</v>
      </c>
      <c r="H12" s="333" t="s">
        <v>1542</v>
      </c>
    </row>
    <row r="13" spans="1:8" ht="25" customHeight="1">
      <c r="A13" s="332" t="s">
        <v>356</v>
      </c>
      <c r="H13" s="333" t="s">
        <v>1540</v>
      </c>
    </row>
    <row r="14" spans="1:8" ht="25" customHeight="1">
      <c r="A14" s="332" t="s">
        <v>247</v>
      </c>
      <c r="H14" s="333">
        <v>120</v>
      </c>
    </row>
    <row r="15" spans="1:8" ht="25" customHeight="1">
      <c r="A15" s="332" t="s">
        <v>560</v>
      </c>
      <c r="H15" s="333">
        <v>121</v>
      </c>
    </row>
    <row r="16" spans="1:8" ht="25" customHeight="1">
      <c r="A16" s="332" t="s">
        <v>1048</v>
      </c>
      <c r="H16" s="333">
        <v>122</v>
      </c>
    </row>
    <row r="17" spans="1:8" ht="25" customHeight="1">
      <c r="A17" s="332" t="s">
        <v>362</v>
      </c>
      <c r="H17" s="333" t="s">
        <v>1543</v>
      </c>
    </row>
    <row r="18" spans="1:8" ht="25" customHeight="1">
      <c r="A18" s="332" t="s">
        <v>371</v>
      </c>
      <c r="H18" s="333" t="s">
        <v>1544</v>
      </c>
    </row>
    <row r="19" spans="1:8" ht="25" customHeight="1">
      <c r="A19" s="332" t="s">
        <v>143</v>
      </c>
      <c r="H19" s="333">
        <v>127</v>
      </c>
    </row>
    <row r="20" spans="1:8" ht="25" customHeight="1">
      <c r="A20" s="332" t="s">
        <v>156</v>
      </c>
      <c r="H20" s="333">
        <v>128</v>
      </c>
    </row>
    <row r="21" spans="1:8" ht="25" customHeight="1">
      <c r="A21" s="332" t="s">
        <v>1094</v>
      </c>
      <c r="H21" s="333">
        <v>129</v>
      </c>
    </row>
    <row r="22" spans="1:8" ht="25" customHeight="1">
      <c r="A22" s="332" t="s">
        <v>176</v>
      </c>
      <c r="H22" s="333">
        <v>130</v>
      </c>
    </row>
    <row r="23" spans="1:8" ht="25" customHeight="1">
      <c r="A23" s="332" t="s">
        <v>541</v>
      </c>
      <c r="H23" s="333">
        <v>131</v>
      </c>
    </row>
    <row r="24" spans="1:8" ht="25" customHeight="1">
      <c r="A24" s="332" t="s">
        <v>177</v>
      </c>
      <c r="H24" s="333">
        <v>132</v>
      </c>
    </row>
    <row r="25" spans="1:8" ht="25" customHeight="1">
      <c r="A25" s="332" t="s">
        <v>1267</v>
      </c>
      <c r="H25" s="333" t="s">
        <v>1545</v>
      </c>
    </row>
    <row r="26" spans="1:8" ht="25" customHeight="1">
      <c r="A26" s="332"/>
      <c r="H26" s="332"/>
    </row>
    <row r="27" spans="1:8" ht="15.5">
      <c r="A27" s="332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A30"/>
  <sheetViews>
    <sheetView showZeros="0" rightToLeft="1" zoomScaleNormal="100" workbookViewId="0">
      <pane xSplit="1" ySplit="5" topLeftCell="R9" activePane="bottomRight" state="frozen"/>
      <selection activeCell="T20" sqref="T20"/>
      <selection pane="topRight" activeCell="T20" sqref="T20"/>
      <selection pane="bottomLeft" activeCell="T20" sqref="T20"/>
      <selection pane="bottomRight" activeCell="T20" sqref="T20"/>
    </sheetView>
  </sheetViews>
  <sheetFormatPr defaultColWidth="9.1796875" defaultRowHeight="15.5"/>
  <cols>
    <col min="1" max="1" width="15.81640625" style="86" customWidth="1"/>
    <col min="2" max="3" width="12.7265625" style="87" hidden="1" customWidth="1"/>
    <col min="4" max="4" width="11.1796875" style="87" hidden="1" customWidth="1"/>
    <col min="5" max="8" width="12.7265625" style="87" hidden="1" customWidth="1"/>
    <col min="9" max="9" width="11.1796875" style="87" hidden="1" customWidth="1"/>
    <col min="10" max="10" width="12.7265625" style="82" hidden="1" customWidth="1"/>
    <col min="11" max="11" width="10.81640625" style="87" hidden="1" customWidth="1"/>
    <col min="12" max="12" width="11.1796875" style="87" hidden="1" customWidth="1"/>
    <col min="13" max="13" width="12.54296875" style="87" hidden="1" customWidth="1"/>
    <col min="14" max="14" width="12.7265625" style="82" hidden="1" customWidth="1"/>
    <col min="15" max="17" width="12.1796875" style="87" hidden="1" customWidth="1"/>
    <col min="18" max="24" width="11.26953125" style="87" customWidth="1"/>
    <col min="25" max="35" width="11.7265625" style="84" hidden="1" customWidth="1"/>
    <col min="36" max="39" width="11.26953125" style="84" customWidth="1"/>
    <col min="40" max="40" width="8.7265625" style="84" customWidth="1"/>
    <col min="41" max="42" width="11.26953125" style="84" customWidth="1"/>
    <col min="43" max="43" width="11.54296875" style="84" hidden="1" customWidth="1"/>
    <col min="44" max="44" width="9.1796875" style="84" hidden="1" customWidth="1"/>
    <col min="45" max="45" width="10.453125" style="84" hidden="1" customWidth="1"/>
    <col min="46" max="46" width="10.1796875" style="84" hidden="1" customWidth="1"/>
    <col min="47" max="47" width="10.54296875" style="84" hidden="1" customWidth="1"/>
    <col min="48" max="48" width="15" style="84" hidden="1" customWidth="1"/>
    <col min="49" max="49" width="9.1796875" style="84" hidden="1" customWidth="1"/>
    <col min="50" max="51" width="10.453125" style="84" hidden="1" customWidth="1"/>
    <col min="52" max="52" width="11.7265625" style="84" hidden="1" customWidth="1"/>
    <col min="53" max="16384" width="9.1796875" style="84"/>
  </cols>
  <sheetData>
    <row r="2" spans="1:52" s="71" customFormat="1" ht="23">
      <c r="A2" s="122" t="s">
        <v>1012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</row>
    <row r="3" spans="1:52" s="71" customFormat="1" ht="11.25" customHeight="1">
      <c r="B3" s="73"/>
      <c r="C3" s="73"/>
      <c r="D3" s="73"/>
      <c r="E3" s="73"/>
      <c r="F3" s="73"/>
      <c r="G3" s="73"/>
      <c r="H3" s="73"/>
      <c r="I3" s="73"/>
      <c r="J3" s="74"/>
      <c r="K3" s="73"/>
      <c r="L3" s="73"/>
      <c r="M3" s="73"/>
      <c r="N3" s="74"/>
      <c r="O3" s="73"/>
      <c r="P3" s="73"/>
      <c r="Q3" s="73"/>
      <c r="R3" s="73"/>
      <c r="S3" s="73"/>
      <c r="T3" s="73"/>
      <c r="U3" s="73"/>
      <c r="V3" s="73"/>
      <c r="W3" s="73"/>
      <c r="X3" s="73"/>
    </row>
    <row r="4" spans="1:52" s="78" customFormat="1">
      <c r="A4" s="75"/>
      <c r="B4" s="717" t="s">
        <v>145</v>
      </c>
      <c r="C4" s="717"/>
      <c r="D4" s="717"/>
      <c r="E4" s="717"/>
      <c r="F4" s="717"/>
      <c r="G4" s="717"/>
      <c r="H4" s="717"/>
      <c r="I4" s="717"/>
      <c r="J4" s="717"/>
      <c r="K4" s="717"/>
      <c r="L4" s="717"/>
      <c r="M4" s="717"/>
      <c r="N4" s="717"/>
      <c r="O4" s="717"/>
      <c r="P4" s="404"/>
      <c r="Q4" s="404"/>
      <c r="R4" s="717" t="s">
        <v>146</v>
      </c>
      <c r="S4" s="717"/>
      <c r="T4" s="717"/>
      <c r="U4" s="718"/>
      <c r="V4" s="718"/>
      <c r="W4" s="717"/>
      <c r="X4" s="717"/>
      <c r="Y4" s="735" t="s">
        <v>489</v>
      </c>
      <c r="Z4" s="736"/>
      <c r="AA4" s="736"/>
      <c r="AB4" s="736"/>
      <c r="AC4" s="736"/>
      <c r="AD4" s="736"/>
      <c r="AE4" s="736"/>
      <c r="AF4" s="736"/>
      <c r="AG4" s="736"/>
      <c r="AH4" s="737"/>
      <c r="AI4" s="110"/>
      <c r="AJ4" s="564" t="s">
        <v>489</v>
      </c>
      <c r="AK4" s="496"/>
      <c r="AL4" s="735" t="s">
        <v>834</v>
      </c>
      <c r="AM4" s="736"/>
      <c r="AN4" s="736"/>
      <c r="AO4" s="736"/>
      <c r="AP4" s="737"/>
      <c r="AQ4" s="735" t="s">
        <v>835</v>
      </c>
      <c r="AR4" s="736"/>
      <c r="AS4" s="736"/>
      <c r="AT4" s="736"/>
      <c r="AU4" s="737"/>
      <c r="AV4" s="495" t="s">
        <v>836</v>
      </c>
      <c r="AW4" s="496"/>
      <c r="AX4" s="496"/>
      <c r="AY4" s="496"/>
      <c r="AZ4" s="497"/>
    </row>
    <row r="5" spans="1:52" s="62" customFormat="1" ht="62">
      <c r="A5" s="75" t="s">
        <v>147</v>
      </c>
      <c r="B5" s="75" t="s">
        <v>148</v>
      </c>
      <c r="C5" s="75" t="s">
        <v>4</v>
      </c>
      <c r="D5" s="75" t="s">
        <v>149</v>
      </c>
      <c r="E5" s="75" t="s">
        <v>164</v>
      </c>
      <c r="F5" s="283" t="s">
        <v>7</v>
      </c>
      <c r="G5" s="283" t="s">
        <v>8</v>
      </c>
      <c r="H5" s="283" t="s">
        <v>9</v>
      </c>
      <c r="I5" s="283" t="s">
        <v>10</v>
      </c>
      <c r="J5" s="48" t="s">
        <v>11</v>
      </c>
      <c r="K5" s="11" t="s">
        <v>309</v>
      </c>
      <c r="L5" s="75" t="s">
        <v>310</v>
      </c>
      <c r="M5" s="75" t="s">
        <v>311</v>
      </c>
      <c r="N5" s="48" t="s">
        <v>150</v>
      </c>
      <c r="O5" s="283" t="s">
        <v>312</v>
      </c>
      <c r="P5" s="283" t="s">
        <v>313</v>
      </c>
      <c r="Q5" s="283" t="s">
        <v>314</v>
      </c>
      <c r="R5" s="283" t="s">
        <v>315</v>
      </c>
      <c r="S5" s="75" t="s">
        <v>316</v>
      </c>
      <c r="T5" s="79" t="s">
        <v>13</v>
      </c>
      <c r="U5" s="75" t="s">
        <v>14</v>
      </c>
      <c r="V5" s="456" t="s">
        <v>15</v>
      </c>
      <c r="W5" s="456" t="s">
        <v>523</v>
      </c>
      <c r="X5" s="75" t="s">
        <v>140</v>
      </c>
      <c r="Y5" s="107" t="s">
        <v>490</v>
      </c>
      <c r="Z5" s="107" t="s">
        <v>491</v>
      </c>
      <c r="AA5" s="118" t="s">
        <v>492</v>
      </c>
      <c r="AB5" s="118" t="s">
        <v>493</v>
      </c>
      <c r="AC5" s="118" t="s">
        <v>494</v>
      </c>
      <c r="AD5" s="118" t="s">
        <v>495</v>
      </c>
      <c r="AE5" s="118" t="s">
        <v>496</v>
      </c>
      <c r="AF5" s="107" t="s">
        <v>497</v>
      </c>
      <c r="AG5" s="107" t="s">
        <v>498</v>
      </c>
      <c r="AH5" s="107" t="s">
        <v>837</v>
      </c>
      <c r="AI5" s="107" t="s">
        <v>838</v>
      </c>
      <c r="AJ5" s="107" t="s">
        <v>839</v>
      </c>
      <c r="AK5" s="107" t="s">
        <v>840</v>
      </c>
      <c r="AL5" s="107" t="s">
        <v>13</v>
      </c>
      <c r="AM5" s="107" t="s">
        <v>14</v>
      </c>
      <c r="AN5" s="107" t="s">
        <v>15</v>
      </c>
      <c r="AO5" s="107" t="s">
        <v>523</v>
      </c>
      <c r="AP5" s="107" t="s">
        <v>140</v>
      </c>
      <c r="AQ5" s="107" t="s">
        <v>13</v>
      </c>
      <c r="AR5" s="107" t="s">
        <v>14</v>
      </c>
      <c r="AS5" s="107" t="s">
        <v>15</v>
      </c>
      <c r="AT5" s="107" t="s">
        <v>523</v>
      </c>
      <c r="AU5" s="107" t="s">
        <v>140</v>
      </c>
      <c r="AV5" s="107" t="s">
        <v>13</v>
      </c>
      <c r="AW5" s="107" t="s">
        <v>14</v>
      </c>
      <c r="AX5" s="107" t="s">
        <v>15</v>
      </c>
      <c r="AY5" s="107" t="s">
        <v>523</v>
      </c>
      <c r="AZ5" s="107" t="s">
        <v>140</v>
      </c>
    </row>
    <row r="6" spans="1:52" s="62" customFormat="1" ht="27" customHeight="1">
      <c r="A6" s="392" t="s">
        <v>151</v>
      </c>
      <c r="B6" s="14">
        <f>'[2]הנדסה '!D$104</f>
        <v>726771115</v>
      </c>
      <c r="C6" s="14">
        <f>'[2]הנדסה '!E$104</f>
        <v>597414769</v>
      </c>
      <c r="D6" s="14">
        <f>'[2]הנדסה '!F$104</f>
        <v>129356346</v>
      </c>
      <c r="E6" s="14">
        <f>'[2]הנדסה '!G$104</f>
        <v>347647694</v>
      </c>
      <c r="F6" s="14">
        <f>'[2]הנדסה '!H$104</f>
        <v>257406622.65000007</v>
      </c>
      <c r="G6" s="14">
        <f>'[2]הנדסה '!I$104</f>
        <v>36404399.939999998</v>
      </c>
      <c r="H6" s="14">
        <f>'[2]הנדסה '!J$104</f>
        <v>16005031.029999999</v>
      </c>
      <c r="I6" s="14">
        <f>'[2]הנדסה '!K$104</f>
        <v>52409430.969999999</v>
      </c>
      <c r="J6" s="14">
        <f>'[2]הנדסה '!L$104</f>
        <v>309816053.62000012</v>
      </c>
      <c r="K6" s="14">
        <f>'[2]הנדסה '!M$104</f>
        <v>22043640.379999999</v>
      </c>
      <c r="L6" s="14">
        <f>'[2]הנדסה '!N$104</f>
        <v>32930000</v>
      </c>
      <c r="M6" s="14">
        <f>'[2]הנדסה '!O$104</f>
        <v>361981421</v>
      </c>
      <c r="N6" s="14">
        <f>'[2]הנדסה '!P$104</f>
        <v>37831640.380000003</v>
      </c>
      <c r="O6" s="14">
        <f>'[2]הנדסה '!Q$104</f>
        <v>0</v>
      </c>
      <c r="P6" s="14">
        <f>'[2]הנדסה '!R$104</f>
        <v>0</v>
      </c>
      <c r="Q6" s="14">
        <f>'[2]הנדסה '!S$104</f>
        <v>0</v>
      </c>
      <c r="R6" s="14">
        <f>'[2]הנדסה '!T$104</f>
        <v>15788000</v>
      </c>
      <c r="S6" s="14">
        <f>'[2]הנדסה '!U$104</f>
        <v>17142000</v>
      </c>
      <c r="T6" s="14">
        <f>'[2]הנדסה '!V$104</f>
        <v>16653173</v>
      </c>
      <c r="U6" s="14">
        <f>'[2]הנדסה '!W$104</f>
        <v>0</v>
      </c>
      <c r="V6" s="14">
        <f>'[2]הנדסה '!X$104</f>
        <v>0</v>
      </c>
      <c r="W6" s="14">
        <f>'[2]הנדסה '!Y$104</f>
        <v>0</v>
      </c>
      <c r="X6" s="14">
        <f>'[2]הנדסה '!Z$104</f>
        <v>488827</v>
      </c>
      <c r="Y6" s="14">
        <f>'[2]הנדסה '!AB$104</f>
        <v>0</v>
      </c>
      <c r="Z6" s="14">
        <f>'[2]הנדסה '!AC$104</f>
        <v>0</v>
      </c>
      <c r="AA6" s="14">
        <f>'[2]הנדסה '!AD$104</f>
        <v>-3348000</v>
      </c>
      <c r="AB6" s="14">
        <f>'[2]הנדסה '!AE$104</f>
        <v>300000</v>
      </c>
      <c r="AC6" s="14">
        <f>'[2]הנדסה '!AF$104</f>
        <v>2900000</v>
      </c>
      <c r="AD6" s="14">
        <f>'[2]הנדסה '!AG$104</f>
        <v>1200000</v>
      </c>
      <c r="AE6" s="14">
        <f>'[2]הנדסה '!AH$104</f>
        <v>500000</v>
      </c>
      <c r="AF6" s="14">
        <f>'[2]הנדסה '!AI$104</f>
        <v>1850000</v>
      </c>
      <c r="AG6" s="14">
        <f>'[2]הנדסה '!AJ$104</f>
        <v>500000</v>
      </c>
      <c r="AH6" s="14">
        <f>'[2]הנדסה '!AK$104</f>
        <v>3902000</v>
      </c>
      <c r="AI6" s="14">
        <f>'[2]הנדסה '!AL$104</f>
        <v>0</v>
      </c>
      <c r="AJ6" s="14">
        <f>'[2]הנדסה '!AM$104</f>
        <v>3902000</v>
      </c>
      <c r="AK6" s="14">
        <f>'[2]הנדסה '!AN$104</f>
        <v>13240000</v>
      </c>
      <c r="AL6" s="14">
        <f>'[2]הנדסה '!AO$104</f>
        <v>3902000</v>
      </c>
      <c r="AM6" s="14">
        <f>'[2]הנדסה '!AP$104</f>
        <v>0</v>
      </c>
      <c r="AN6" s="14">
        <f>'[2]הנדסה '!AQ$104</f>
        <v>0</v>
      </c>
      <c r="AO6" s="14">
        <f>'[2]הנדסה '!AR$104</f>
        <v>0</v>
      </c>
      <c r="AP6" s="14">
        <f>'[2]הנדסה '!AS$104</f>
        <v>0</v>
      </c>
      <c r="AQ6" s="14">
        <f>'[2]הנדסה '!AT$104</f>
        <v>0</v>
      </c>
      <c r="AR6" s="14">
        <f>'[2]הנדסה '!AU$104</f>
        <v>0</v>
      </c>
      <c r="AS6" s="14">
        <f>'[2]הנדסה '!AV$104</f>
        <v>0</v>
      </c>
      <c r="AT6" s="14">
        <f>'[2]הנדסה '!AW$104</f>
        <v>0</v>
      </c>
      <c r="AU6" s="14">
        <f>'[2]הנדסה '!AX$104</f>
        <v>0</v>
      </c>
      <c r="AV6" s="14">
        <f>'[2]הנדסה '!AY$104</f>
        <v>12751173</v>
      </c>
      <c r="AW6" s="14">
        <f>'[2]הנדסה '!AZ$104</f>
        <v>0</v>
      </c>
      <c r="AX6" s="14">
        <f>'[2]הנדסה '!BA$104</f>
        <v>0</v>
      </c>
      <c r="AY6" s="14">
        <f>'[2]הנדסה '!BB$104</f>
        <v>0</v>
      </c>
      <c r="AZ6" s="14">
        <f>'[2]הנדסה '!BC$104</f>
        <v>488827</v>
      </c>
    </row>
    <row r="7" spans="1:52" s="82" customFormat="1" ht="27" customHeight="1">
      <c r="A7" s="11" t="s">
        <v>152</v>
      </c>
      <c r="B7" s="80">
        <f>'[2]החברה לפיתוח'!D$120</f>
        <v>2140043405</v>
      </c>
      <c r="C7" s="80">
        <f>'[2]החברה לפיתוח'!E$120</f>
        <v>1862963405</v>
      </c>
      <c r="D7" s="80">
        <f>'[2]החברה לפיתוח'!F$120</f>
        <v>277080000</v>
      </c>
      <c r="E7" s="80">
        <f>'[2]החברה לפיתוח'!G$120</f>
        <v>851682826</v>
      </c>
      <c r="F7" s="80">
        <f>'[2]החברה לפיתוח'!H$120</f>
        <v>598935415.00999999</v>
      </c>
      <c r="G7" s="80">
        <f>'[2]החברה לפיתוח'!I$120</f>
        <v>2323301.5700000003</v>
      </c>
      <c r="H7" s="80">
        <f>'[2]החברה לפיתוח'!J$120</f>
        <v>85421661.919999972</v>
      </c>
      <c r="I7" s="80">
        <f>'[2]החברה לפיתוח'!K$120</f>
        <v>87744963.489999965</v>
      </c>
      <c r="J7" s="80">
        <f>'[2]החברה לפיתוח'!L$120</f>
        <v>686680378.50000024</v>
      </c>
      <c r="K7" s="80">
        <f>'[2]החברה לפיתוח'!M$120</f>
        <v>194957060.49999997</v>
      </c>
      <c r="L7" s="80">
        <f>'[2]החברה לפיתוח'!N$120</f>
        <v>397780568</v>
      </c>
      <c r="M7" s="80">
        <f>'[2]החברה לפיתוח'!O$120</f>
        <v>860625398</v>
      </c>
      <c r="N7" s="80">
        <f>'[2]החברה לפיתוח'!P$120</f>
        <v>165002447.49999997</v>
      </c>
      <c r="O7" s="80">
        <f>'[2]החברה לפיתוח'!Q$120</f>
        <v>32554613</v>
      </c>
      <c r="P7" s="80">
        <f>'[2]החברה לפיתוח'!R$120</f>
        <v>-1200000</v>
      </c>
      <c r="Q7" s="80">
        <f>'[2]החברה לפיתוח'!S$120</f>
        <v>31354613</v>
      </c>
      <c r="R7" s="80">
        <f>'[2]החברה לפיתוח'!T$120</f>
        <v>1400000</v>
      </c>
      <c r="S7" s="80">
        <f>'[2]החברה לפיתוח'!U$120</f>
        <v>396380568</v>
      </c>
      <c r="T7" s="80">
        <f>'[2]החברה לפיתוח'!V$120</f>
        <v>158809940.93023255</v>
      </c>
      <c r="U7" s="80">
        <f>'[2]החברה לפיתוח'!W$120</f>
        <v>0</v>
      </c>
      <c r="V7" s="80">
        <f>'[2]החברה לפיתוח'!X$120</f>
        <v>1250000</v>
      </c>
      <c r="W7" s="80">
        <f>'[2]החברה לפיתוח'!Y$120</f>
        <v>48962500</v>
      </c>
      <c r="X7" s="80">
        <f>'[2]החברה לפיתוח'!Z$120</f>
        <v>187358127.06976745</v>
      </c>
      <c r="Y7" s="80">
        <f>'[2]החברה לפיתוח'!AB$120</f>
        <v>0</v>
      </c>
      <c r="Z7" s="80">
        <f>'[2]החברה לפיתוח'!AC$120</f>
        <v>9000000</v>
      </c>
      <c r="AA7" s="80">
        <f>'[2]החברה לפיתוח'!AD$120</f>
        <v>9190000</v>
      </c>
      <c r="AB7" s="80">
        <f>'[2]החברה לפיתוח'!AE$120</f>
        <v>3150000</v>
      </c>
      <c r="AC7" s="80">
        <f>'[2]החברה לפיתוח'!AF$120</f>
        <v>50754866</v>
      </c>
      <c r="AD7" s="80">
        <f>'[2]החברה לפיתוח'!AG$120</f>
        <v>2500000</v>
      </c>
      <c r="AE7" s="80">
        <f>'[2]החברה לפיתוח'!AH$120</f>
        <v>23299800</v>
      </c>
      <c r="AF7" s="80">
        <f>'[2]החברה לפיתוח'!AI$120</f>
        <v>7250000</v>
      </c>
      <c r="AG7" s="80">
        <f>'[2]החברה לפיתוח'!AJ$120</f>
        <v>17470000</v>
      </c>
      <c r="AH7" s="80">
        <f>'[2]החברה לפיתוח'!AK$120</f>
        <v>122614666</v>
      </c>
      <c r="AI7" s="80">
        <f>'[2]החברה לפיתוח'!AL$120</f>
        <v>119955601</v>
      </c>
      <c r="AJ7" s="80">
        <f>'[2]החברה לפיתוח'!AM$120</f>
        <v>242570267</v>
      </c>
      <c r="AK7" s="80">
        <f>'[2]החברה לפיתוח'!AN$120</f>
        <v>153810301</v>
      </c>
      <c r="AL7" s="80">
        <f>'[2]החברה לפיתוח'!AO$120</f>
        <v>148109564</v>
      </c>
      <c r="AM7" s="80">
        <f>'[2]החברה לפיתוח'!AP$120</f>
        <v>0</v>
      </c>
      <c r="AN7" s="80">
        <f>'[2]החברה לפיתוח'!AQ$120</f>
        <v>0</v>
      </c>
      <c r="AO7" s="80">
        <f>'[2]החברה לפיתוח'!AR$120</f>
        <v>34900000</v>
      </c>
      <c r="AP7" s="80">
        <f>'[2]החברה לפיתוח'!AS$120</f>
        <v>59560703</v>
      </c>
      <c r="AQ7" s="80">
        <f>'[2]החברה לפיתוח'!AT$120</f>
        <v>103759932</v>
      </c>
      <c r="AR7" s="80">
        <f>'[2]החברה לפיתוח'!AU$120</f>
        <v>0</v>
      </c>
      <c r="AS7" s="80">
        <f>'[2]החברה לפיתוח'!AV$120</f>
        <v>0</v>
      </c>
      <c r="AT7" s="80">
        <f>'[2]החברה לפיתוח'!AW$120</f>
        <v>5000000</v>
      </c>
      <c r="AU7" s="80">
        <f>'[2]החברה לפיתוח'!AX$120</f>
        <v>11195669</v>
      </c>
      <c r="AV7" s="80">
        <f>'[2]החברה לפיתוח'!AY$120</f>
        <v>10700377</v>
      </c>
      <c r="AW7" s="80">
        <f>'[2]החברה לפיתוח'!AZ$120</f>
        <v>0</v>
      </c>
      <c r="AX7" s="80">
        <f>'[2]החברה לפיתוח'!BA$120</f>
        <v>1250000</v>
      </c>
      <c r="AY7" s="80">
        <f>'[2]החברה לפיתוח'!BB$120</f>
        <v>14062500</v>
      </c>
      <c r="AZ7" s="80">
        <f>'[2]החברה לפיתוח'!BC$120</f>
        <v>127797424</v>
      </c>
    </row>
    <row r="8" spans="1:52" s="82" customFormat="1" ht="27" customHeight="1">
      <c r="A8" s="393" t="s">
        <v>153</v>
      </c>
      <c r="B8" s="80">
        <f>'[2]תבל  '!D$78</f>
        <v>633904945</v>
      </c>
      <c r="C8" s="80">
        <f>'[2]תבל  '!E$78</f>
        <v>603734945</v>
      </c>
      <c r="D8" s="80">
        <f>'[2]תבל  '!F$78</f>
        <v>30170000</v>
      </c>
      <c r="E8" s="80">
        <f>'[2]תבל  '!G$78</f>
        <v>462598645</v>
      </c>
      <c r="F8" s="80">
        <f>'[2]תבל  '!H$78</f>
        <v>388788159.40999997</v>
      </c>
      <c r="G8" s="80">
        <f>'[2]תבל  '!I$78</f>
        <v>26316156.420000006</v>
      </c>
      <c r="H8" s="80">
        <f>'[2]תבל  '!J$78</f>
        <v>24144939.899999999</v>
      </c>
      <c r="I8" s="80">
        <f>'[2]תבל  '!K$78</f>
        <v>50461096.32</v>
      </c>
      <c r="J8" s="80">
        <f>'[2]תבל  '!L$78</f>
        <v>439249255.73000002</v>
      </c>
      <c r="K8" s="80">
        <f>'[2]תבל  '!M$78</f>
        <v>17030689.269999973</v>
      </c>
      <c r="L8" s="80">
        <f>'[2]תבל  '!N$78</f>
        <v>56791300</v>
      </c>
      <c r="M8" s="80">
        <f>'[2]תבל  '!O$78</f>
        <v>120833700</v>
      </c>
      <c r="N8" s="80">
        <f>'[2]תבל  '!P$78</f>
        <v>23349389.269999973</v>
      </c>
      <c r="O8" s="80">
        <f>'[2]תבל  '!Q$78</f>
        <v>930000</v>
      </c>
      <c r="P8" s="80">
        <f>'[2]תבל  '!R$78</f>
        <v>0</v>
      </c>
      <c r="Q8" s="80">
        <f>'[2]תבל  '!S$78</f>
        <v>930000</v>
      </c>
      <c r="R8" s="80">
        <f>'[2]תבל  '!T$78</f>
        <v>7248700</v>
      </c>
      <c r="S8" s="80">
        <f>'[2]תבל  '!U$78</f>
        <v>49542600</v>
      </c>
      <c r="T8" s="80">
        <f>'[2]תבל  '!V$78</f>
        <v>25611300</v>
      </c>
      <c r="U8" s="80">
        <f>'[2]תבל  '!W$78</f>
        <v>12054000</v>
      </c>
      <c r="V8" s="80">
        <f>'[2]תבל  '!X$78</f>
        <v>0</v>
      </c>
      <c r="W8" s="80">
        <f>'[2]תבל  '!Y$78</f>
        <v>0</v>
      </c>
      <c r="X8" s="80">
        <f>'[2]תבל  '!Z$78</f>
        <v>11877300</v>
      </c>
      <c r="Y8" s="80">
        <f>'[2]תבל  '!AB$78</f>
        <v>2000000</v>
      </c>
      <c r="Z8" s="80">
        <f>'[2]תבל  '!AC$78</f>
        <v>13150000</v>
      </c>
      <c r="AA8" s="80">
        <f>'[2]תבל  '!AD$78</f>
        <v>8290000</v>
      </c>
      <c r="AB8" s="80">
        <f>'[2]תבל  '!AE$78</f>
        <v>50000</v>
      </c>
      <c r="AC8" s="80">
        <f>'[2]תבל  '!AF$78</f>
        <v>5510000</v>
      </c>
      <c r="AD8" s="80">
        <f>'[2]תבל  '!AG$78</f>
        <v>-250000</v>
      </c>
      <c r="AE8" s="80">
        <f>'[2]תבל  '!AH$78</f>
        <v>0</v>
      </c>
      <c r="AF8" s="80">
        <f>'[2]תבל  '!AI$78</f>
        <v>4050000</v>
      </c>
      <c r="AG8" s="80">
        <f>'[2]תבל  '!AJ$78</f>
        <v>5240000</v>
      </c>
      <c r="AH8" s="80">
        <f>'[2]תבל  '!AK$78</f>
        <v>38040000</v>
      </c>
      <c r="AI8" s="80">
        <f>'[2]תבל  '!AL$78</f>
        <v>0</v>
      </c>
      <c r="AJ8" s="80">
        <f>'[2]תבל  '!AM$78</f>
        <v>38040000</v>
      </c>
      <c r="AK8" s="80">
        <f>'[2]תבל  '!AN$78</f>
        <v>11502600</v>
      </c>
      <c r="AL8" s="80">
        <f>'[2]תבל  '!AO$78</f>
        <v>24660000</v>
      </c>
      <c r="AM8" s="80">
        <f>'[2]תבל  '!AP$78</f>
        <v>11504000</v>
      </c>
      <c r="AN8" s="80">
        <f>'[2]תבל  '!AQ$78</f>
        <v>0</v>
      </c>
      <c r="AO8" s="80">
        <f>'[2]תבל  '!AR$78</f>
        <v>0</v>
      </c>
      <c r="AP8" s="80">
        <f>'[2]תבל  '!AS$78</f>
        <v>1876000</v>
      </c>
      <c r="AQ8" s="80">
        <f>'[2]תבל  '!AT$78</f>
        <v>0</v>
      </c>
      <c r="AR8" s="80">
        <f>'[2]תבל  '!AU$78</f>
        <v>0</v>
      </c>
      <c r="AS8" s="80">
        <f>'[2]תבל  '!AV$78</f>
        <v>0</v>
      </c>
      <c r="AT8" s="80">
        <f>'[2]תבל  '!AW$78</f>
        <v>0</v>
      </c>
      <c r="AU8" s="80">
        <f>'[2]תבל  '!AX$78</f>
        <v>0</v>
      </c>
      <c r="AV8" s="80">
        <f>'[2]תבל  '!AY$78</f>
        <v>951300</v>
      </c>
      <c r="AW8" s="80">
        <f>'[2]תבל  '!AZ$78</f>
        <v>550000</v>
      </c>
      <c r="AX8" s="80">
        <f>'[2]תבל  '!BA$78</f>
        <v>0</v>
      </c>
      <c r="AY8" s="80">
        <f>'[2]תבל  '!BB$78</f>
        <v>0</v>
      </c>
      <c r="AZ8" s="80">
        <f>'[2]תבל  '!BC$78</f>
        <v>10001300</v>
      </c>
    </row>
    <row r="9" spans="1:52" s="82" customFormat="1" ht="27" customHeight="1">
      <c r="A9" s="11" t="s">
        <v>247</v>
      </c>
      <c r="B9" s="80">
        <f>'[2]ביטחון פיקוח וסדר ציבורי'!D$12</f>
        <v>2975000</v>
      </c>
      <c r="C9" s="80">
        <f>'[2]ביטחון פיקוח וסדר ציבורי'!E$12</f>
        <v>2275000</v>
      </c>
      <c r="D9" s="80">
        <f>'[2]ביטחון פיקוח וסדר ציבורי'!F$12</f>
        <v>700000</v>
      </c>
      <c r="E9" s="80">
        <f>'[2]ביטחון פיקוח וסדר ציבורי'!G$12</f>
        <v>1625000</v>
      </c>
      <c r="F9" s="80">
        <f>'[2]ביטחון פיקוח וסדר ציבורי'!H$12</f>
        <v>425322.8</v>
      </c>
      <c r="G9" s="80">
        <f>'[2]ביטחון פיקוח וסדר ציבורי'!I$12</f>
        <v>0</v>
      </c>
      <c r="H9" s="80">
        <f>'[2]ביטחון פיקוח וסדר ציבורי'!J$12</f>
        <v>68211</v>
      </c>
      <c r="I9" s="80">
        <f>'[2]ביטחון פיקוח וסדר ציבורי'!K$12</f>
        <v>68211</v>
      </c>
      <c r="J9" s="80">
        <f>'[2]ביטחון פיקוח וסדר ציבורי'!L$12</f>
        <v>493533.8</v>
      </c>
      <c r="K9" s="80">
        <f>'[2]ביטחון פיקוח וסדר ציבורי'!M$12</f>
        <v>1131466.2</v>
      </c>
      <c r="L9" s="80">
        <f>'[2]ביטחון פיקוח וסדר ציבורי'!N$12</f>
        <v>900000</v>
      </c>
      <c r="M9" s="80">
        <f>'[2]ביטחון פיקוח וסדר ציבורי'!O$12</f>
        <v>450000</v>
      </c>
      <c r="N9" s="80">
        <f>'[2]ביטחון פיקוח וסדר ציבורי'!P$12</f>
        <v>1131466.2</v>
      </c>
      <c r="O9" s="80">
        <f>'[2]ביטחון פיקוח וסדר ציבורי'!Q$12</f>
        <v>0</v>
      </c>
      <c r="P9" s="80">
        <f>'[2]ביטחון פיקוח וסדר ציבורי'!R$12</f>
        <v>0</v>
      </c>
      <c r="Q9" s="80">
        <f>'[2]ביטחון פיקוח וסדר ציבורי'!S$12</f>
        <v>0</v>
      </c>
      <c r="R9" s="80">
        <f>'[2]ביטחון פיקוח וסדר ציבורי'!T$12</f>
        <v>0</v>
      </c>
      <c r="S9" s="80">
        <f>'[2]ביטחון פיקוח וסדר ציבורי'!U$12</f>
        <v>900000</v>
      </c>
      <c r="T9" s="80">
        <f>'[2]ביטחון פיקוח וסדר ציבורי'!V$12</f>
        <v>0</v>
      </c>
      <c r="U9" s="80">
        <f>'[2]ביטחון פיקוח וסדר ציבורי'!W$12</f>
        <v>900000</v>
      </c>
      <c r="V9" s="80">
        <f>'[2]ביטחון פיקוח וסדר ציבורי'!X$12</f>
        <v>0</v>
      </c>
      <c r="W9" s="80">
        <f>'[2]ביטחון פיקוח וסדר ציבורי'!Y$12</f>
        <v>0</v>
      </c>
      <c r="X9" s="80">
        <f>'[2]ביטחון פיקוח וסדר ציבורי'!Z$12</f>
        <v>0</v>
      </c>
      <c r="Y9" s="80">
        <f>'[2]ביטחון פיקוח וסדר ציבורי'!AB$12</f>
        <v>0</v>
      </c>
      <c r="Z9" s="80">
        <f>'[2]ביטחון פיקוח וסדר ציבורי'!AC$12</f>
        <v>50000</v>
      </c>
      <c r="AA9" s="80">
        <f>'[2]ביטחון פיקוח וסדר ציבורי'!AD$12</f>
        <v>500000</v>
      </c>
      <c r="AB9" s="80">
        <f>'[2]ביטחון פיקוח וסדר ציבורי'!AE$12</f>
        <v>0</v>
      </c>
      <c r="AC9" s="80">
        <f>'[2]ביטחון פיקוח וסדר ציבורי'!AF$12</f>
        <v>0</v>
      </c>
      <c r="AD9" s="80">
        <f>'[2]ביטחון פיקוח וסדר ציבורי'!AG$12</f>
        <v>0</v>
      </c>
      <c r="AE9" s="80">
        <f>'[2]ביטחון פיקוח וסדר ציבורי'!AH$12</f>
        <v>50000</v>
      </c>
      <c r="AF9" s="80">
        <f>'[2]ביטחון פיקוח וסדר ציבורי'!AI$12</f>
        <v>300000</v>
      </c>
      <c r="AG9" s="80">
        <f>'[2]ביטחון פיקוח וסדר ציבורי'!AJ$12</f>
        <v>0</v>
      </c>
      <c r="AH9" s="80">
        <f>'[2]ביטחון פיקוח וסדר ציבורי'!AK$12</f>
        <v>900000</v>
      </c>
      <c r="AI9" s="80">
        <f>'[2]ביטחון פיקוח וסדר ציבורי'!AL$12</f>
        <v>0</v>
      </c>
      <c r="AJ9" s="80">
        <f>'[2]ביטחון פיקוח וסדר ציבורי'!AM$12</f>
        <v>900000</v>
      </c>
      <c r="AK9" s="80">
        <f>'[2]ביטחון פיקוח וסדר ציבורי'!AN$12</f>
        <v>0</v>
      </c>
      <c r="AL9" s="80">
        <f>'[2]ביטחון פיקוח וסדר ציבורי'!AO$12</f>
        <v>0</v>
      </c>
      <c r="AM9" s="80">
        <f>'[2]ביטחון פיקוח וסדר ציבורי'!AP$12</f>
        <v>900000</v>
      </c>
      <c r="AN9" s="80">
        <f>'[2]ביטחון פיקוח וסדר ציבורי'!AQ$12</f>
        <v>0</v>
      </c>
      <c r="AO9" s="80">
        <f>'[2]ביטחון פיקוח וסדר ציבורי'!AR$12</f>
        <v>0</v>
      </c>
      <c r="AP9" s="80">
        <f>'[2]ביטחון פיקוח וסדר ציבורי'!AS$12</f>
        <v>0</v>
      </c>
      <c r="AQ9" s="80">
        <f>'[2]ביטחון פיקוח וסדר ציבורי'!AT$12</f>
        <v>0</v>
      </c>
      <c r="AR9" s="80">
        <f>'[2]ביטחון פיקוח וסדר ציבורי'!AU$12</f>
        <v>0</v>
      </c>
      <c r="AS9" s="80">
        <f>'[2]ביטחון פיקוח וסדר ציבורי'!AV$12</f>
        <v>0</v>
      </c>
      <c r="AT9" s="80">
        <f>'[2]ביטחון פיקוח וסדר ציבורי'!AW$12</f>
        <v>0</v>
      </c>
      <c r="AU9" s="80">
        <f>'[2]ביטחון פיקוח וסדר ציבורי'!AX$12</f>
        <v>0</v>
      </c>
      <c r="AV9" s="80">
        <f>'[2]ביטחון פיקוח וסדר ציבורי'!AY$12</f>
        <v>0</v>
      </c>
      <c r="AW9" s="80">
        <f>'[2]ביטחון פיקוח וסדר ציבורי'!AZ$12</f>
        <v>0</v>
      </c>
      <c r="AX9" s="80">
        <f>'[2]ביטחון פיקוח וסדר ציבורי'!BA$12</f>
        <v>0</v>
      </c>
      <c r="AY9" s="80">
        <f>'[2]ביטחון פיקוח וסדר ציבורי'!BB$12</f>
        <v>0</v>
      </c>
      <c r="AZ9" s="80">
        <f>'[2]ביטחון פיקוח וסדר ציבורי'!BC$12</f>
        <v>0</v>
      </c>
    </row>
    <row r="10" spans="1:52" s="82" customFormat="1" ht="27" customHeight="1">
      <c r="A10" s="393" t="s">
        <v>388</v>
      </c>
      <c r="B10" s="80">
        <f>[2]חינוך!D$26</f>
        <v>11125500</v>
      </c>
      <c r="C10" s="80">
        <f>[2]חינוך!E$26</f>
        <v>7610500</v>
      </c>
      <c r="D10" s="80">
        <f>[2]חינוך!F$26</f>
        <v>3515000</v>
      </c>
      <c r="E10" s="80">
        <f>[2]חינוך!G$26</f>
        <v>6570363</v>
      </c>
      <c r="F10" s="80">
        <f>[2]חינוך!H$26</f>
        <v>3919803.55</v>
      </c>
      <c r="G10" s="80">
        <f>[2]חינוך!I$26</f>
        <v>0</v>
      </c>
      <c r="H10" s="80">
        <f>[2]חינוך!J$26</f>
        <v>726080</v>
      </c>
      <c r="I10" s="80">
        <f>[2]חינוך!K$26</f>
        <v>726080</v>
      </c>
      <c r="J10" s="80">
        <f>[2]חינוך!L$26</f>
        <v>4645883.55</v>
      </c>
      <c r="K10" s="80">
        <f>[2]חינוך!M$26</f>
        <v>1924479.4500000002</v>
      </c>
      <c r="L10" s="80">
        <f>[2]חינוך!N$26</f>
        <v>2580137</v>
      </c>
      <c r="M10" s="80">
        <f>[2]חינוך!O$26</f>
        <v>1975000</v>
      </c>
      <c r="N10" s="80">
        <f>[2]חינוך!P$26</f>
        <v>1924479.4500000002</v>
      </c>
      <c r="O10" s="80">
        <f>[2]חינוך!Q$26</f>
        <v>0</v>
      </c>
      <c r="P10" s="80">
        <f>[2]חינוך!R$26</f>
        <v>0</v>
      </c>
      <c r="Q10" s="80">
        <f>[2]חינוך!S$26</f>
        <v>0</v>
      </c>
      <c r="R10" s="80">
        <f>[2]חינוך!T$26</f>
        <v>0</v>
      </c>
      <c r="S10" s="80">
        <f>[2]חינוך!U$26</f>
        <v>2580137</v>
      </c>
      <c r="T10" s="80">
        <f>[2]חינוך!V$26</f>
        <v>0</v>
      </c>
      <c r="U10" s="80">
        <f>[2]חינוך!W$26</f>
        <v>2515000</v>
      </c>
      <c r="V10" s="80">
        <f>[2]חינוך!X$26</f>
        <v>0</v>
      </c>
      <c r="W10" s="80">
        <f>[2]חינוך!Y$26</f>
        <v>0</v>
      </c>
      <c r="X10" s="80">
        <f>[2]חינוך!Z$26</f>
        <v>65137</v>
      </c>
      <c r="Y10" s="80">
        <f>[2]חינוך!AB$26</f>
        <v>0</v>
      </c>
      <c r="Z10" s="80">
        <f>[2]חינוך!AC$26</f>
        <v>0</v>
      </c>
      <c r="AA10" s="80">
        <f>[2]חינוך!AD$26</f>
        <v>0</v>
      </c>
      <c r="AB10" s="80">
        <f>[2]חינוך!AE$26</f>
        <v>0</v>
      </c>
      <c r="AC10" s="80">
        <f>[2]חינוך!AF$26</f>
        <v>1765000</v>
      </c>
      <c r="AD10" s="80">
        <f>[2]חינוך!AG$26</f>
        <v>0</v>
      </c>
      <c r="AE10" s="80">
        <f>[2]חינוך!AH$26</f>
        <v>0</v>
      </c>
      <c r="AF10" s="80">
        <f>[2]חינוך!AI$26</f>
        <v>0</v>
      </c>
      <c r="AG10" s="80">
        <f>[2]חינוך!AJ$26</f>
        <v>0</v>
      </c>
      <c r="AH10" s="80">
        <f>[2]חינוך!AK$26</f>
        <v>1765000</v>
      </c>
      <c r="AI10" s="80">
        <f>[2]חינוך!AL$26</f>
        <v>0</v>
      </c>
      <c r="AJ10" s="80">
        <f>[2]חינוך!AM$26</f>
        <v>1765000</v>
      </c>
      <c r="AK10" s="80">
        <f>[2]חינוך!AN$26</f>
        <v>815137</v>
      </c>
      <c r="AL10" s="80">
        <f>[2]חינוך!AO$26</f>
        <v>0</v>
      </c>
      <c r="AM10" s="80">
        <f>[2]חינוך!AP$26</f>
        <v>1765000</v>
      </c>
      <c r="AN10" s="80">
        <f>[2]חינוך!AQ$26</f>
        <v>0</v>
      </c>
      <c r="AO10" s="80">
        <f>[2]חינוך!AR$26</f>
        <v>0</v>
      </c>
      <c r="AP10" s="80">
        <f>[2]חינוך!AS$26</f>
        <v>0</v>
      </c>
      <c r="AQ10" s="80">
        <f>[2]חינוך!AT$26</f>
        <v>0</v>
      </c>
      <c r="AR10" s="80">
        <f>[2]חינוך!AU$26</f>
        <v>0</v>
      </c>
      <c r="AS10" s="80">
        <f>[2]חינוך!AV$26</f>
        <v>0</v>
      </c>
      <c r="AT10" s="80">
        <f>[2]חינוך!AW$26</f>
        <v>0</v>
      </c>
      <c r="AU10" s="80">
        <f>[2]חינוך!AX$26</f>
        <v>0</v>
      </c>
      <c r="AV10" s="80">
        <f>[2]חינוך!AY$26</f>
        <v>0</v>
      </c>
      <c r="AW10" s="80">
        <f>[2]חינוך!AZ$26</f>
        <v>750000</v>
      </c>
      <c r="AX10" s="80">
        <f>[2]חינוך!BA$26</f>
        <v>0</v>
      </c>
      <c r="AY10" s="80">
        <f>[2]חינוך!BB$26</f>
        <v>0</v>
      </c>
      <c r="AZ10" s="80">
        <f>[2]חינוך!BC$26</f>
        <v>65137</v>
      </c>
    </row>
    <row r="11" spans="1:52" s="82" customFormat="1" ht="27" customHeight="1">
      <c r="A11" s="393" t="s">
        <v>1048</v>
      </c>
      <c r="B11" s="80">
        <f>'[2] תנוס '!D$19</f>
        <v>12098000</v>
      </c>
      <c r="C11" s="80">
        <f>'[2] תנוס '!E$19</f>
        <v>10635000</v>
      </c>
      <c r="D11" s="80">
        <f>'[2] תנוס '!F$19</f>
        <v>1463000</v>
      </c>
      <c r="E11" s="80">
        <f>'[2] תנוס '!G$19</f>
        <v>8548000</v>
      </c>
      <c r="F11" s="80">
        <f>'[2] תנוס '!H$19</f>
        <v>6584024.6899999995</v>
      </c>
      <c r="G11" s="80">
        <f>'[2] תנוס '!I$19</f>
        <v>0</v>
      </c>
      <c r="H11" s="80">
        <f>'[2] תנוס '!J$19</f>
        <v>898293.11</v>
      </c>
      <c r="I11" s="80">
        <f>'[2] תנוס '!K$19</f>
        <v>898293.11</v>
      </c>
      <c r="J11" s="80">
        <f>'[2] תנוס '!L$19</f>
        <v>7482317.799999998</v>
      </c>
      <c r="K11" s="80">
        <f>'[2] תנוס '!M$19</f>
        <v>1065682.2</v>
      </c>
      <c r="L11" s="80">
        <f>'[2] תנוס '!N$19</f>
        <v>1480000</v>
      </c>
      <c r="M11" s="80">
        <f>'[2] תנוס '!O$19</f>
        <v>2070000</v>
      </c>
      <c r="N11" s="80">
        <f>'[2] תנוס '!P$19</f>
        <v>1065682.2</v>
      </c>
      <c r="O11" s="80">
        <f>'[2] תנוס '!Q$19</f>
        <v>0</v>
      </c>
      <c r="P11" s="80">
        <f>'[2] תנוס '!R$19</f>
        <v>0</v>
      </c>
      <c r="Q11" s="80">
        <f>'[2] תנוס '!S$19</f>
        <v>0</v>
      </c>
      <c r="R11" s="80">
        <f>'[2] תנוס '!T$19</f>
        <v>0</v>
      </c>
      <c r="S11" s="80">
        <f>'[2] תנוס '!U$19</f>
        <v>1480000</v>
      </c>
      <c r="T11" s="80">
        <f>'[2] תנוס '!V$19</f>
        <v>0</v>
      </c>
      <c r="U11" s="80">
        <f>'[2] תנוס '!W$19</f>
        <v>1480000</v>
      </c>
      <c r="V11" s="80">
        <f>'[2] תנוס '!X$19</f>
        <v>0</v>
      </c>
      <c r="W11" s="80">
        <f>'[2] תנוס '!Y$19</f>
        <v>0</v>
      </c>
      <c r="X11" s="80">
        <f>'[2] תנוס '!Z$19</f>
        <v>0</v>
      </c>
      <c r="Y11" s="80">
        <f>'[2] תנוס '!AB$19</f>
        <v>300000</v>
      </c>
      <c r="Z11" s="80">
        <f>'[2] תנוס '!AC$19</f>
        <v>100000</v>
      </c>
      <c r="AA11" s="80">
        <f>'[2] תנוס '!AD$19</f>
        <v>0</v>
      </c>
      <c r="AB11" s="80">
        <f>'[2] תנוס '!AE$19</f>
        <v>400000</v>
      </c>
      <c r="AC11" s="80">
        <f>'[2] תנוס '!AF$19</f>
        <v>0</v>
      </c>
      <c r="AD11" s="80">
        <f>'[2] תנוס '!AG$19</f>
        <v>100000</v>
      </c>
      <c r="AE11" s="80">
        <f>'[2] תנוס '!AH$19</f>
        <v>0</v>
      </c>
      <c r="AF11" s="80">
        <f>'[2] תנוס '!AI$19</f>
        <v>330000</v>
      </c>
      <c r="AG11" s="80">
        <f>'[2] תנוס '!AJ$19</f>
        <v>250000</v>
      </c>
      <c r="AH11" s="80">
        <f>'[2] תנוס '!AK$19</f>
        <v>1480000</v>
      </c>
      <c r="AI11" s="80">
        <f>'[2] תנוס '!AL$19</f>
        <v>0</v>
      </c>
      <c r="AJ11" s="80">
        <f>'[2] תנוס '!AM$19</f>
        <v>1480000</v>
      </c>
      <c r="AK11" s="80">
        <f>'[2] תנוס '!AN$19</f>
        <v>0</v>
      </c>
      <c r="AL11" s="80">
        <f>'[2] תנוס '!AO$19</f>
        <v>0</v>
      </c>
      <c r="AM11" s="80">
        <f>'[2] תנוס '!AP$19</f>
        <v>1480000</v>
      </c>
      <c r="AN11" s="80">
        <f>'[2] תנוס '!AQ$19</f>
        <v>0</v>
      </c>
      <c r="AO11" s="80">
        <f>'[2] תנוס '!AR$19</f>
        <v>0</v>
      </c>
      <c r="AP11" s="80">
        <f>'[2] תנוס '!AS$19</f>
        <v>0</v>
      </c>
      <c r="AQ11" s="80">
        <f>'[2] תנוס '!AT$19</f>
        <v>0</v>
      </c>
      <c r="AR11" s="80">
        <f>'[2] תנוס '!AU$19</f>
        <v>0</v>
      </c>
      <c r="AS11" s="80">
        <f>'[2] תנוס '!AV$19</f>
        <v>0</v>
      </c>
      <c r="AT11" s="80">
        <f>'[2] תנוס '!AW$19</f>
        <v>0</v>
      </c>
      <c r="AU11" s="80">
        <f>'[2] תנוס '!AX$19</f>
        <v>0</v>
      </c>
      <c r="AV11" s="80">
        <f>'[2] תנוס '!AY$19</f>
        <v>0</v>
      </c>
      <c r="AW11" s="80">
        <f>'[2] תנוס '!AZ$19</f>
        <v>0</v>
      </c>
      <c r="AX11" s="80">
        <f>'[2] תנוס '!BA$19</f>
        <v>0</v>
      </c>
      <c r="AY11" s="80">
        <f>'[2] תנוס '!BB$19</f>
        <v>0</v>
      </c>
      <c r="AZ11" s="80">
        <f>'[2] תנוס '!BC$19</f>
        <v>0</v>
      </c>
    </row>
    <row r="12" spans="1:52" s="82" customFormat="1" ht="27" customHeight="1">
      <c r="A12" s="393" t="s">
        <v>154</v>
      </c>
      <c r="B12" s="80">
        <f>'[2]שאיפה '!D$37</f>
        <v>146818000</v>
      </c>
      <c r="C12" s="80">
        <f>'[2]שאיפה '!E$37</f>
        <v>123300000</v>
      </c>
      <c r="D12" s="80">
        <f>'[2]שאיפה '!F$37</f>
        <v>23518000</v>
      </c>
      <c r="E12" s="80">
        <f>'[2]שאיפה '!G$37</f>
        <v>88374320</v>
      </c>
      <c r="F12" s="80">
        <f>'[2]שאיפה '!H$37</f>
        <v>76008641.620000005</v>
      </c>
      <c r="G12" s="80">
        <f>'[2]שאיפה '!I$37</f>
        <v>0</v>
      </c>
      <c r="H12" s="80">
        <f>'[2]שאיפה '!J$37</f>
        <v>9152954.5499999989</v>
      </c>
      <c r="I12" s="80">
        <f>'[2]שאיפה '!K$37</f>
        <v>9152954.5499999989</v>
      </c>
      <c r="J12" s="80">
        <f>'[2]שאיפה '!L$37</f>
        <v>85161596.170000002</v>
      </c>
      <c r="K12" s="80">
        <f>'[2]שאיפה '!M$37</f>
        <v>4292723.83</v>
      </c>
      <c r="L12" s="80">
        <f>'[2]שאיפה '!N$37</f>
        <v>20598000</v>
      </c>
      <c r="M12" s="80">
        <f>'[2]שאיפה '!O$37</f>
        <v>36765680</v>
      </c>
      <c r="N12" s="80">
        <f>'[2]שאיפה '!P$37</f>
        <v>3212723.8299999996</v>
      </c>
      <c r="O12" s="80">
        <f>'[2]שאיפה '!Q$37</f>
        <v>200000</v>
      </c>
      <c r="P12" s="80">
        <f>'[2]שאיפה '!R$37</f>
        <v>980000</v>
      </c>
      <c r="Q12" s="80">
        <f>'[2]שאיפה '!S$37</f>
        <v>1180000</v>
      </c>
      <c r="R12" s="80">
        <f>'[2]שאיפה '!T$37</f>
        <v>100000</v>
      </c>
      <c r="S12" s="80">
        <f>'[2]שאיפה '!U$37</f>
        <v>20498000</v>
      </c>
      <c r="T12" s="80">
        <f>'[2]שאיפה '!V$37</f>
        <v>15873000</v>
      </c>
      <c r="U12" s="80">
        <f>'[2]שאיפה '!W$37</f>
        <v>4425000</v>
      </c>
      <c r="V12" s="80">
        <f>'[2]שאיפה '!X$37</f>
        <v>0</v>
      </c>
      <c r="W12" s="80">
        <f>'[2]שאיפה '!Y$37</f>
        <v>0</v>
      </c>
      <c r="X12" s="80">
        <f>'[2]שאיפה '!Z$37</f>
        <v>200000</v>
      </c>
      <c r="Y12" s="80">
        <f>'[2]שאיפה '!AB$37</f>
        <v>0</v>
      </c>
      <c r="Z12" s="80">
        <f>'[2]שאיפה '!AC$37</f>
        <v>7498000</v>
      </c>
      <c r="AA12" s="80">
        <f>'[2]שאיפה '!AD$37</f>
        <v>3550000</v>
      </c>
      <c r="AB12" s="80">
        <f>'[2]שאיפה '!AE$37</f>
        <v>0</v>
      </c>
      <c r="AC12" s="80">
        <f>'[2]שאיפה '!AF$37</f>
        <v>2300000</v>
      </c>
      <c r="AD12" s="80">
        <f>'[2]שאיפה '!AG$37</f>
        <v>1305000</v>
      </c>
      <c r="AE12" s="80">
        <f>'[2]שאיפה '!AH$37</f>
        <v>1100000</v>
      </c>
      <c r="AF12" s="80">
        <f>'[2]שאיפה '!AI$37</f>
        <v>800000</v>
      </c>
      <c r="AG12" s="80">
        <f>'[2]שאיפה '!AJ$37</f>
        <v>250000</v>
      </c>
      <c r="AH12" s="80">
        <f>'[2]שאיפה '!AK$37</f>
        <v>16803000</v>
      </c>
      <c r="AI12" s="80">
        <f>'[2]שאיפה '!AL$37</f>
        <v>0</v>
      </c>
      <c r="AJ12" s="80">
        <f>'[2]שאיפה '!AM$37</f>
        <v>16803000</v>
      </c>
      <c r="AK12" s="80">
        <f>'[2]שאיפה '!AN$37</f>
        <v>3695000</v>
      </c>
      <c r="AL12" s="80">
        <f>'[2]שאיפה '!AO$37</f>
        <v>12978000</v>
      </c>
      <c r="AM12" s="80">
        <f>'[2]שאיפה '!AP$37</f>
        <v>3825000</v>
      </c>
      <c r="AN12" s="80">
        <f>'[2]שאיפה '!AQ$37</f>
        <v>0</v>
      </c>
      <c r="AO12" s="80">
        <f>'[2]שאיפה '!AR$37</f>
        <v>0</v>
      </c>
      <c r="AP12" s="80">
        <f>'[2]שאיפה '!AS$37</f>
        <v>0</v>
      </c>
      <c r="AQ12" s="80">
        <f>'[2]שאיפה '!AT$37</f>
        <v>0</v>
      </c>
      <c r="AR12" s="80">
        <f>'[2]שאיפה '!AU$37</f>
        <v>0</v>
      </c>
      <c r="AS12" s="80">
        <f>'[2]שאיפה '!AV$37</f>
        <v>0</v>
      </c>
      <c r="AT12" s="80">
        <f>'[2]שאיפה '!AW$37</f>
        <v>0</v>
      </c>
      <c r="AU12" s="80">
        <f>'[2]שאיפה '!AX$37</f>
        <v>0</v>
      </c>
      <c r="AV12" s="80">
        <f>'[2]שאיפה '!AY$37</f>
        <v>2895000</v>
      </c>
      <c r="AW12" s="80">
        <f>'[2]שאיפה '!AZ$37</f>
        <v>600000</v>
      </c>
      <c r="AX12" s="80">
        <f>'[2]שאיפה '!BA$37</f>
        <v>0</v>
      </c>
      <c r="AY12" s="80">
        <f>'[2]שאיפה '!BB$37</f>
        <v>0</v>
      </c>
      <c r="AZ12" s="80">
        <f>'[2]שאיפה '!BC$37</f>
        <v>200000</v>
      </c>
    </row>
    <row r="13" spans="1:52" s="82" customFormat="1" ht="27" customHeight="1">
      <c r="A13" s="393" t="s">
        <v>389</v>
      </c>
      <c r="B13" s="80">
        <f>'[2]רשות החופים'!D$40</f>
        <v>13213000</v>
      </c>
      <c r="C13" s="80">
        <f>'[2]רשות החופים'!E$40</f>
        <v>9209000</v>
      </c>
      <c r="D13" s="80">
        <f>'[2]רשות החופים'!F$40</f>
        <v>4004000</v>
      </c>
      <c r="E13" s="80">
        <f>'[2]רשות החופים'!G$40</f>
        <v>7179000</v>
      </c>
      <c r="F13" s="80">
        <f>'[2]רשות החופים'!H$40</f>
        <v>6083098.8599999994</v>
      </c>
      <c r="G13" s="80">
        <f>'[2]רשות החופים'!I$40</f>
        <v>0</v>
      </c>
      <c r="H13" s="80">
        <f>'[2]רשות החופים'!J$40</f>
        <v>413078.86</v>
      </c>
      <c r="I13" s="80">
        <f>'[2]רשות החופים'!K$40</f>
        <v>413078.86</v>
      </c>
      <c r="J13" s="80">
        <f>'[2]רשות החופים'!L$40</f>
        <v>6496177.7199999997</v>
      </c>
      <c r="K13" s="80">
        <f>'[2]רשות החופים'!M$40</f>
        <v>682822.2799999998</v>
      </c>
      <c r="L13" s="80">
        <f>'[2]רשות החופים'!N$40</f>
        <v>2734000</v>
      </c>
      <c r="M13" s="80">
        <f>'[2]רשות החופים'!O$40</f>
        <v>3300000</v>
      </c>
      <c r="N13" s="80">
        <f>'[2]רשות החופים'!P$40</f>
        <v>682822.2799999998</v>
      </c>
      <c r="O13" s="80">
        <f>'[2]רשות החופים'!Q$40</f>
        <v>0</v>
      </c>
      <c r="P13" s="80">
        <f>'[2]רשות החופים'!R$40</f>
        <v>0</v>
      </c>
      <c r="Q13" s="80">
        <f>'[2]רשות החופים'!S$40</f>
        <v>0</v>
      </c>
      <c r="R13" s="80">
        <f>'[2]רשות החופים'!T$40</f>
        <v>0</v>
      </c>
      <c r="S13" s="80">
        <f>'[2]רשות החופים'!U$40</f>
        <v>2734000</v>
      </c>
      <c r="T13" s="80">
        <f>'[2]רשות החופים'!V$40</f>
        <v>0</v>
      </c>
      <c r="U13" s="80">
        <f>'[2]רשות החופים'!W$40</f>
        <v>2130000</v>
      </c>
      <c r="V13" s="80">
        <f>'[2]רשות החופים'!X$40</f>
        <v>0</v>
      </c>
      <c r="W13" s="80">
        <f>'[2]רשות החופים'!Y$40</f>
        <v>0</v>
      </c>
      <c r="X13" s="80">
        <f>'[2]רשות החופים'!Z$40</f>
        <v>604000</v>
      </c>
      <c r="Y13" s="80">
        <f>'[2]רשות החופים'!AB$40</f>
        <v>0</v>
      </c>
      <c r="Z13" s="80">
        <f>'[2]רשות החופים'!AC$40</f>
        <v>1150000</v>
      </c>
      <c r="AA13" s="80">
        <f>'[2]רשות החופים'!AD$40</f>
        <v>550000</v>
      </c>
      <c r="AB13" s="80">
        <f>'[2]רשות החופים'!AE$40</f>
        <v>0</v>
      </c>
      <c r="AC13" s="80">
        <f>'[2]רשות החופים'!AF$40</f>
        <v>254000</v>
      </c>
      <c r="AD13" s="80">
        <f>'[2]רשות החופים'!AG$40</f>
        <v>0</v>
      </c>
      <c r="AE13" s="80">
        <f>'[2]רשות החופים'!AH$40</f>
        <v>0</v>
      </c>
      <c r="AF13" s="80">
        <f>'[2]רשות החופים'!AI$40</f>
        <v>0</v>
      </c>
      <c r="AG13" s="80">
        <f>'[2]רשות החופים'!AJ$40</f>
        <v>0</v>
      </c>
      <c r="AH13" s="80">
        <f>'[2]רשות החופים'!AK$40</f>
        <v>1954000</v>
      </c>
      <c r="AI13" s="80">
        <f>'[2]רשות החופים'!AL$40</f>
        <v>0</v>
      </c>
      <c r="AJ13" s="80">
        <f>'[2]רשות החופים'!AM$40</f>
        <v>1954000</v>
      </c>
      <c r="AK13" s="80">
        <f>'[2]רשות החופים'!AN$40</f>
        <v>780000</v>
      </c>
      <c r="AL13" s="80">
        <f>'[2]רשות החופים'!AO$40</f>
        <v>0</v>
      </c>
      <c r="AM13" s="80">
        <f>'[2]רשות החופים'!AP$40</f>
        <v>1700000</v>
      </c>
      <c r="AN13" s="80">
        <f>'[2]רשות החופים'!AQ$40</f>
        <v>0</v>
      </c>
      <c r="AO13" s="80">
        <f>'[2]רשות החופים'!AR$40</f>
        <v>0</v>
      </c>
      <c r="AP13" s="80">
        <f>'[2]רשות החופים'!AS$40</f>
        <v>254000</v>
      </c>
      <c r="AQ13" s="80">
        <f>'[2]רשות החופים'!AT$40</f>
        <v>0</v>
      </c>
      <c r="AR13" s="80">
        <f>'[2]רשות החופים'!AU$40</f>
        <v>0</v>
      </c>
      <c r="AS13" s="80">
        <f>'[2]רשות החופים'!AV$40</f>
        <v>0</v>
      </c>
      <c r="AT13" s="80">
        <f>'[2]רשות החופים'!AW$40</f>
        <v>0</v>
      </c>
      <c r="AU13" s="80">
        <f>'[2]רשות החופים'!AX$40</f>
        <v>0</v>
      </c>
      <c r="AV13" s="80">
        <f>'[2]רשות החופים'!AY$40</f>
        <v>0</v>
      </c>
      <c r="AW13" s="80">
        <f>'[2]רשות החופים'!AZ$40</f>
        <v>430000</v>
      </c>
      <c r="AX13" s="80">
        <f>'[2]רשות החופים'!BA$40</f>
        <v>0</v>
      </c>
      <c r="AY13" s="80">
        <f>'[2]רשות החופים'!BB$40</f>
        <v>0</v>
      </c>
      <c r="AZ13" s="80">
        <f>'[2]רשות החופים'!BC$40</f>
        <v>350000</v>
      </c>
    </row>
    <row r="14" spans="1:52" s="82" customFormat="1" ht="27" customHeight="1">
      <c r="A14" s="393" t="s">
        <v>155</v>
      </c>
      <c r="B14" s="80">
        <f>'[2]איכות הסביבה'!D$19</f>
        <v>18511559</v>
      </c>
      <c r="C14" s="80">
        <f>'[2]איכות הסביבה'!E$19</f>
        <v>15596559</v>
      </c>
      <c r="D14" s="80">
        <f>'[2]איכות הסביבה'!F$19</f>
        <v>2915000</v>
      </c>
      <c r="E14" s="80">
        <f>'[2]איכות הסביבה'!G$19</f>
        <v>6127500</v>
      </c>
      <c r="F14" s="80">
        <f>'[2]איכות הסביבה'!H$19</f>
        <v>5145429.09</v>
      </c>
      <c r="G14" s="80">
        <f>'[2]איכות הסביבה'!I$19</f>
        <v>0</v>
      </c>
      <c r="H14" s="80">
        <f>'[2]איכות הסביבה'!J$19</f>
        <v>197696.93</v>
      </c>
      <c r="I14" s="80">
        <f>'[2]איכות הסביבה'!K$19</f>
        <v>197696.93</v>
      </c>
      <c r="J14" s="80">
        <f>'[2]איכות הסביבה'!L$19</f>
        <v>5343126.0199999996</v>
      </c>
      <c r="K14" s="80">
        <f>'[2]איכות הסביבה'!M$19</f>
        <v>819374.98</v>
      </c>
      <c r="L14" s="80">
        <f>'[2]איכות הסביבה'!N$19</f>
        <v>3211058</v>
      </c>
      <c r="M14" s="80">
        <f>'[2]איכות הסביבה'!O$19</f>
        <v>9138000</v>
      </c>
      <c r="N14" s="80">
        <f>'[2]איכות הסביבה'!P$19</f>
        <v>784373.98</v>
      </c>
      <c r="O14" s="80">
        <f>'[2]איכות הסביבה'!Q$19</f>
        <v>35001</v>
      </c>
      <c r="P14" s="80">
        <f>'[2]איכות הסביבה'!R$19</f>
        <v>0</v>
      </c>
      <c r="Q14" s="80">
        <f>'[2]איכות הסביבה'!S$19</f>
        <v>35001</v>
      </c>
      <c r="R14" s="80">
        <f>'[2]איכות הסביבה'!T$19</f>
        <v>0</v>
      </c>
      <c r="S14" s="80">
        <f>'[2]איכות הסביבה'!U$19</f>
        <v>3211058</v>
      </c>
      <c r="T14" s="80">
        <f>'[2]איכות הסביבה'!V$19</f>
        <v>1300000</v>
      </c>
      <c r="U14" s="80">
        <f>'[2]איכות הסביבה'!W$19</f>
        <v>850000</v>
      </c>
      <c r="V14" s="80">
        <f>'[2]איכות הסביבה'!X$19</f>
        <v>0</v>
      </c>
      <c r="W14" s="80">
        <f>'[2]איכות הסביבה'!Y$19</f>
        <v>0</v>
      </c>
      <c r="X14" s="80">
        <f>'[2]איכות הסביבה'!Z$19</f>
        <v>1061058</v>
      </c>
      <c r="Y14" s="80">
        <f>'[2]איכות הסביבה'!AB$19</f>
        <v>0</v>
      </c>
      <c r="Z14" s="80">
        <f>'[2]איכות הסביבה'!AC$19</f>
        <v>0</v>
      </c>
      <c r="AA14" s="80">
        <f>'[2]איכות הסביבה'!AD$19</f>
        <v>250000</v>
      </c>
      <c r="AB14" s="80">
        <f>'[2]איכות הסביבה'!AE$19</f>
        <v>0</v>
      </c>
      <c r="AC14" s="80">
        <f>'[2]איכות הסביבה'!AF$19</f>
        <v>0</v>
      </c>
      <c r="AD14" s="80">
        <f>'[2]איכות הסביבה'!AG$19</f>
        <v>0</v>
      </c>
      <c r="AE14" s="80">
        <f>'[2]איכות הסביבה'!AH$19</f>
        <v>0</v>
      </c>
      <c r="AF14" s="80">
        <f>'[2]איכות הסביבה'!AI$19</f>
        <v>0</v>
      </c>
      <c r="AG14" s="80">
        <f>'[2]איכות הסביבה'!AJ$19</f>
        <v>450000</v>
      </c>
      <c r="AH14" s="80">
        <f>'[2]איכות הסביבה'!AK$19</f>
        <v>700000</v>
      </c>
      <c r="AI14" s="80">
        <f>'[2]איכות הסביבה'!AL$19</f>
        <v>0</v>
      </c>
      <c r="AJ14" s="80">
        <f>'[2]איכות הסביבה'!AM$19</f>
        <v>700000</v>
      </c>
      <c r="AK14" s="80">
        <f>'[2]איכות הסביבה'!AN$19</f>
        <v>2511058</v>
      </c>
      <c r="AL14" s="80">
        <f>'[2]איכות הסביבה'!AO$19</f>
        <v>250000</v>
      </c>
      <c r="AM14" s="80">
        <f>'[2]איכות הסביבה'!AP$19</f>
        <v>450000</v>
      </c>
      <c r="AN14" s="80">
        <f>'[2]איכות הסביבה'!AQ$19</f>
        <v>0</v>
      </c>
      <c r="AO14" s="80">
        <f>'[2]איכות הסביבה'!AR$19</f>
        <v>0</v>
      </c>
      <c r="AP14" s="80">
        <f>'[2]איכות הסביבה'!AS$19</f>
        <v>0</v>
      </c>
      <c r="AQ14" s="80">
        <f>'[2]איכות הסביבה'!AT$19</f>
        <v>0</v>
      </c>
      <c r="AR14" s="80">
        <f>'[2]איכות הסביבה'!AU$19</f>
        <v>0</v>
      </c>
      <c r="AS14" s="80">
        <f>'[2]איכות הסביבה'!AV$19</f>
        <v>0</v>
      </c>
      <c r="AT14" s="80">
        <f>'[2]איכות הסביבה'!AW$19</f>
        <v>0</v>
      </c>
      <c r="AU14" s="80">
        <f>'[2]איכות הסביבה'!AX$19</f>
        <v>0</v>
      </c>
      <c r="AV14" s="80">
        <f>'[2]איכות הסביבה'!AY$19</f>
        <v>1050000</v>
      </c>
      <c r="AW14" s="80">
        <f>'[2]איכות הסביבה'!AZ$19</f>
        <v>380000</v>
      </c>
      <c r="AX14" s="80">
        <f>'[2]איכות הסביבה'!BA$19</f>
        <v>0</v>
      </c>
      <c r="AY14" s="80">
        <f>'[2]איכות הסביבה'!BB$19</f>
        <v>0</v>
      </c>
      <c r="AZ14" s="80">
        <f>'[2]איכות הסביבה'!BC$19</f>
        <v>1081058</v>
      </c>
    </row>
    <row r="15" spans="1:52" s="82" customFormat="1" ht="27" customHeight="1">
      <c r="A15" s="11" t="s">
        <v>156</v>
      </c>
      <c r="B15" s="80">
        <f>'[2]החברה לתיירות '!D$20</f>
        <v>39058000</v>
      </c>
      <c r="C15" s="80">
        <f>'[2]החברה לתיירות '!E$20</f>
        <v>21970000</v>
      </c>
      <c r="D15" s="80">
        <f>'[2]החברה לתיירות '!F$20</f>
        <v>17088000</v>
      </c>
      <c r="E15" s="80">
        <f>'[2]החברה לתיירות '!G$20</f>
        <v>10995000</v>
      </c>
      <c r="F15" s="80">
        <f>'[2]החברה לתיירות '!H$20</f>
        <v>8090239.9199999999</v>
      </c>
      <c r="G15" s="80">
        <f>'[2]החברה לתיירות '!I$20</f>
        <v>0</v>
      </c>
      <c r="H15" s="80">
        <f>'[2]החברה לתיירות '!J$20</f>
        <v>0</v>
      </c>
      <c r="I15" s="80">
        <f>'[2]החברה לתיירות '!K$20</f>
        <v>0</v>
      </c>
      <c r="J15" s="80">
        <f>'[2]החברה לתיירות '!L$20</f>
        <v>8090239.9199999999</v>
      </c>
      <c r="K15" s="80">
        <f>'[2]החברה לתיירות '!M$20</f>
        <v>4904760.08</v>
      </c>
      <c r="L15" s="80">
        <f>'[2]החברה לתיירות '!N$20</f>
        <v>9180000</v>
      </c>
      <c r="M15" s="80">
        <f>'[2]החברה לתיירות '!O$20</f>
        <v>16883000</v>
      </c>
      <c r="N15" s="80">
        <f>'[2]החברה לתיירות '!P$20</f>
        <v>2904760.08</v>
      </c>
      <c r="O15" s="80">
        <f>'[2]החברה לתיירות '!Q$20</f>
        <v>0</v>
      </c>
      <c r="P15" s="80">
        <f>'[2]החברה לתיירות '!R$20</f>
        <v>2000000</v>
      </c>
      <c r="Q15" s="80">
        <f>'[2]החברה לתיירות '!S$20</f>
        <v>2000000</v>
      </c>
      <c r="R15" s="80">
        <f>'[2]החברה לתיירות '!T$20</f>
        <v>0</v>
      </c>
      <c r="S15" s="80">
        <f>'[2]החברה לתיירות '!U$20</f>
        <v>9180000</v>
      </c>
      <c r="T15" s="80">
        <f>'[2]החברה לתיירות '!V$20</f>
        <v>2391000</v>
      </c>
      <c r="U15" s="80">
        <f>'[2]החברה לתיירות '!W$20</f>
        <v>0</v>
      </c>
      <c r="V15" s="80">
        <f>'[2]החברה לתיירות '!X$20</f>
        <v>0</v>
      </c>
      <c r="W15" s="80">
        <f>'[2]החברה לתיירות '!Y$20</f>
        <v>0</v>
      </c>
      <c r="X15" s="80">
        <f>'[2]החברה לתיירות '!Z$20</f>
        <v>6789000</v>
      </c>
      <c r="Y15" s="80">
        <f>'[2]החברה לתיירות '!AB$20</f>
        <v>0</v>
      </c>
      <c r="Z15" s="80">
        <f>'[2]החברה לתיירות '!AC$20</f>
        <v>0</v>
      </c>
      <c r="AA15" s="80">
        <f>'[2]החברה לתיירות '!AD$20</f>
        <v>0</v>
      </c>
      <c r="AB15" s="80">
        <f>'[2]החברה לתיירות '!AE$20</f>
        <v>0</v>
      </c>
      <c r="AC15" s="80">
        <f>'[2]החברה לתיירות '!AF$20</f>
        <v>0</v>
      </c>
      <c r="AD15" s="80">
        <f>'[2]החברה לתיירות '!AG$20</f>
        <v>0</v>
      </c>
      <c r="AE15" s="80">
        <f>'[2]החברה לתיירות '!AH$20</f>
        <v>0</v>
      </c>
      <c r="AF15" s="80">
        <f>'[2]החברה לתיירות '!AI$20</f>
        <v>0</v>
      </c>
      <c r="AG15" s="80">
        <f>'[2]החברה לתיירות '!AJ$20</f>
        <v>200000</v>
      </c>
      <c r="AH15" s="80">
        <f>'[2]החברה לתיירות '!AK$20</f>
        <v>200000</v>
      </c>
      <c r="AI15" s="80">
        <f>'[2]החברה לתיירות '!AL$20</f>
        <v>0</v>
      </c>
      <c r="AJ15" s="80">
        <f>'[2]החברה לתיירות '!AM$20</f>
        <v>200000</v>
      </c>
      <c r="AK15" s="80">
        <f>'[2]החברה לתיירות '!AN$20</f>
        <v>8980000</v>
      </c>
      <c r="AL15" s="80">
        <f>'[2]החברה לתיירות '!AO$20</f>
        <v>200000</v>
      </c>
      <c r="AM15" s="80">
        <f>'[2]החברה לתיירות '!AP$20</f>
        <v>0</v>
      </c>
      <c r="AN15" s="80">
        <f>'[2]החברה לתיירות '!AQ$20</f>
        <v>0</v>
      </c>
      <c r="AO15" s="80">
        <f>'[2]החברה לתיירות '!AR$20</f>
        <v>0</v>
      </c>
      <c r="AP15" s="80">
        <f>'[2]החברה לתיירות '!AS$20</f>
        <v>0</v>
      </c>
      <c r="AQ15" s="80">
        <f>'[2]החברה לתיירות '!AT$20</f>
        <v>0</v>
      </c>
      <c r="AR15" s="80">
        <f>'[2]החברה לתיירות '!AU$20</f>
        <v>0</v>
      </c>
      <c r="AS15" s="80">
        <f>'[2]החברה לתיירות '!AV$20</f>
        <v>0</v>
      </c>
      <c r="AT15" s="80">
        <f>'[2]החברה לתיירות '!AW$20</f>
        <v>0</v>
      </c>
      <c r="AU15" s="80">
        <f>'[2]החברה לתיירות '!AX$20</f>
        <v>0</v>
      </c>
      <c r="AV15" s="80">
        <f>'[2]החברה לתיירות '!AY$20</f>
        <v>2191000</v>
      </c>
      <c r="AW15" s="80">
        <f>'[2]החברה לתיירות '!AZ$20</f>
        <v>0</v>
      </c>
      <c r="AX15" s="80">
        <f>'[2]החברה לתיירות '!BA$20</f>
        <v>0</v>
      </c>
      <c r="AY15" s="80">
        <f>'[2]החברה לתיירות '!BB$20</f>
        <v>0</v>
      </c>
      <c r="AZ15" s="80">
        <f>'[2]החברה לתיירות '!BC$20</f>
        <v>6789000</v>
      </c>
    </row>
    <row r="16" spans="1:52" s="82" customFormat="1" ht="27" customHeight="1">
      <c r="A16" s="11" t="s">
        <v>1420</v>
      </c>
      <c r="B16" s="80">
        <f>'[2] מחשוב  '!D$15</f>
        <v>43825000</v>
      </c>
      <c r="C16" s="80">
        <f>'[2] מחשוב  '!E$15</f>
        <v>30415000</v>
      </c>
      <c r="D16" s="80">
        <f>'[2] מחשוב  '!F$15</f>
        <v>13410000</v>
      </c>
      <c r="E16" s="80">
        <f>'[2] מחשוב  '!G$15</f>
        <v>11033000</v>
      </c>
      <c r="F16" s="80">
        <f>'[2] מחשוב  '!H$15</f>
        <v>8677485.5899999999</v>
      </c>
      <c r="G16" s="80">
        <f>'[2] מחשוב  '!I$15</f>
        <v>0</v>
      </c>
      <c r="H16" s="80">
        <f>'[2] מחשוב  '!J$15</f>
        <v>1419004.54</v>
      </c>
      <c r="I16" s="80">
        <f>'[2] מחשוב  '!K$15</f>
        <v>1419004.54</v>
      </c>
      <c r="J16" s="80">
        <f>'[2] מחשוב  '!L$15</f>
        <v>10096490.130000001</v>
      </c>
      <c r="K16" s="80">
        <f>'[2] מחשוב  '!M$15</f>
        <v>936509.87</v>
      </c>
      <c r="L16" s="80">
        <f>'[2] מחשוב  '!N$15</f>
        <v>9860000</v>
      </c>
      <c r="M16" s="80">
        <f>'[2] מחשוב  '!O$15</f>
        <v>22932000</v>
      </c>
      <c r="N16" s="80">
        <f>'[2] מחשוב  '!P$15</f>
        <v>936509.87</v>
      </c>
      <c r="O16" s="80">
        <f>'[2] מחשוב  '!Q$15</f>
        <v>0</v>
      </c>
      <c r="P16" s="80">
        <f>'[2] מחשוב  '!R$15</f>
        <v>0</v>
      </c>
      <c r="Q16" s="80">
        <f>'[2] מחשוב  '!S$15</f>
        <v>0</v>
      </c>
      <c r="R16" s="80">
        <f>'[2] מחשוב  '!T$15</f>
        <v>0</v>
      </c>
      <c r="S16" s="80">
        <f>'[2] מחשוב  '!U$15</f>
        <v>9860000</v>
      </c>
      <c r="T16" s="80">
        <f>'[2] מחשוב  '!V$15</f>
        <v>7040000</v>
      </c>
      <c r="U16" s="80">
        <f>'[2] מחשוב  '!W$15</f>
        <v>2820000</v>
      </c>
      <c r="V16" s="80">
        <f>'[2] מחשוב  '!X$15</f>
        <v>0</v>
      </c>
      <c r="W16" s="80">
        <f>'[2] מחשוב  '!Y$15</f>
        <v>0</v>
      </c>
      <c r="X16" s="80">
        <f>'[2] מחשוב  '!Z$15</f>
        <v>0</v>
      </c>
      <c r="Y16" s="80">
        <f>'[2] מחשוב  '!AB$15</f>
        <v>0</v>
      </c>
      <c r="Z16" s="80">
        <f>'[2] מחשוב  '!AC$15</f>
        <v>0</v>
      </c>
      <c r="AA16" s="80">
        <f>'[2] מחשוב  '!AD$15</f>
        <v>270000</v>
      </c>
      <c r="AB16" s="80">
        <f>'[2] מחשוב  '!AE$15</f>
        <v>0</v>
      </c>
      <c r="AC16" s="80">
        <f>'[2] מחשוב  '!AF$15</f>
        <v>0</v>
      </c>
      <c r="AD16" s="80">
        <f>'[2] מחשוב  '!AG$15</f>
        <v>0</v>
      </c>
      <c r="AE16" s="80">
        <f>'[2] מחשוב  '!AH$15</f>
        <v>0</v>
      </c>
      <c r="AF16" s="80">
        <f>'[2] מחשוב  '!AI$15</f>
        <v>8940000</v>
      </c>
      <c r="AG16" s="80">
        <f>'[2] מחשוב  '!AJ$15</f>
        <v>0</v>
      </c>
      <c r="AH16" s="80">
        <f>'[2] מחשוב  '!AK$15</f>
        <v>9210000</v>
      </c>
      <c r="AI16" s="80">
        <f>'[2] מחשוב  '!AL$15</f>
        <v>0</v>
      </c>
      <c r="AJ16" s="80">
        <f>'[2] מחשוב  '!AM$15</f>
        <v>9210000</v>
      </c>
      <c r="AK16" s="80">
        <f>'[2] מחשוב  '!AN$15</f>
        <v>650000</v>
      </c>
      <c r="AL16" s="80">
        <f>'[2] מחשוב  '!AO$15</f>
        <v>6940000</v>
      </c>
      <c r="AM16" s="80">
        <f>'[2] מחשוב  '!AP$15</f>
        <v>2270000</v>
      </c>
      <c r="AN16" s="80">
        <f>'[2] מחשוב  '!AQ$15</f>
        <v>0</v>
      </c>
      <c r="AO16" s="80">
        <f>'[2] מחשוב  '!AR$15</f>
        <v>0</v>
      </c>
      <c r="AP16" s="80">
        <f>'[2] מחשוב  '!AS$15</f>
        <v>0</v>
      </c>
      <c r="AQ16" s="80">
        <f>'[2] מחשוב  '!AT$15</f>
        <v>0</v>
      </c>
      <c r="AR16" s="80">
        <f>'[2] מחשוב  '!AU$15</f>
        <v>0</v>
      </c>
      <c r="AS16" s="80">
        <f>'[2] מחשוב  '!AV$15</f>
        <v>0</v>
      </c>
      <c r="AT16" s="80">
        <f>'[2] מחשוב  '!AW$15</f>
        <v>0</v>
      </c>
      <c r="AU16" s="80">
        <f>'[2] מחשוב  '!AX$15</f>
        <v>0</v>
      </c>
      <c r="AV16" s="80">
        <f>'[2] מחשוב  '!AY$15</f>
        <v>100000</v>
      </c>
      <c r="AW16" s="80">
        <f>'[2] מחשוב  '!AZ$15</f>
        <v>550000</v>
      </c>
      <c r="AX16" s="80">
        <f>'[2] מחשוב  '!BA$15</f>
        <v>0</v>
      </c>
      <c r="AY16" s="80">
        <f>'[2] מחשוב  '!BB$15</f>
        <v>0</v>
      </c>
      <c r="AZ16" s="80">
        <f>'[2] מחשוב  '!BC$15</f>
        <v>0</v>
      </c>
    </row>
    <row r="17" spans="1:53" s="82" customFormat="1" ht="27" customHeight="1">
      <c r="A17" s="393" t="s">
        <v>157</v>
      </c>
      <c r="B17" s="80">
        <f>'[2]נכסים '!D$24</f>
        <v>153914700</v>
      </c>
      <c r="C17" s="80">
        <f>'[2]נכסים '!E$24</f>
        <v>152144700</v>
      </c>
      <c r="D17" s="80">
        <f>'[2]נכסים '!F$24</f>
        <v>1770000</v>
      </c>
      <c r="E17" s="80">
        <f>'[2]נכסים '!G$24</f>
        <v>86547525</v>
      </c>
      <c r="F17" s="80">
        <f>'[2]נכסים '!H$24</f>
        <v>67054113.32</v>
      </c>
      <c r="G17" s="80">
        <f>'[2]נכסים '!I$24</f>
        <v>0</v>
      </c>
      <c r="H17" s="80">
        <f>'[2]נכסים '!J$24</f>
        <v>25119.5</v>
      </c>
      <c r="I17" s="80">
        <f>'[2]נכסים '!K$24</f>
        <v>25119.5</v>
      </c>
      <c r="J17" s="80">
        <f>'[2]נכסים '!L$24</f>
        <v>67079232.82</v>
      </c>
      <c r="K17" s="80">
        <f>'[2]נכסים '!M$24</f>
        <v>19468292.18</v>
      </c>
      <c r="L17" s="80">
        <f>'[2]נכסים '!N$24</f>
        <v>3070000</v>
      </c>
      <c r="M17" s="80">
        <f>'[2]נכסים '!O$24</f>
        <v>64297175</v>
      </c>
      <c r="N17" s="80">
        <f>'[2]נכסים '!P$24</f>
        <v>19468292.18</v>
      </c>
      <c r="O17" s="80">
        <f>'[2]נכסים '!Q$24</f>
        <v>0</v>
      </c>
      <c r="P17" s="80">
        <f>'[2]נכסים '!R$24</f>
        <v>0</v>
      </c>
      <c r="Q17" s="80">
        <f>'[2]נכסים '!S$24</f>
        <v>0</v>
      </c>
      <c r="R17" s="80">
        <f>'[2]נכסים '!T$24</f>
        <v>0</v>
      </c>
      <c r="S17" s="80">
        <f>'[2]נכסים '!U$24</f>
        <v>3070000</v>
      </c>
      <c r="T17" s="80">
        <f>'[2]נכסים '!V$24</f>
        <v>3070000</v>
      </c>
      <c r="U17" s="80">
        <f>'[2]נכסים '!W$24</f>
        <v>0</v>
      </c>
      <c r="V17" s="80">
        <f>'[2]נכסים '!X$24</f>
        <v>0</v>
      </c>
      <c r="W17" s="80">
        <f>'[2]נכסים '!Y$24</f>
        <v>0</v>
      </c>
      <c r="X17" s="80">
        <f>'[2]נכסים '!Z$24</f>
        <v>0</v>
      </c>
      <c r="Y17" s="80">
        <f>'[2]נכסים '!AB$24</f>
        <v>0</v>
      </c>
      <c r="Z17" s="80">
        <f>'[2]נכסים '!AC$24</f>
        <v>100000</v>
      </c>
      <c r="AA17" s="80">
        <f>'[2]נכסים '!AD$24</f>
        <v>10000</v>
      </c>
      <c r="AB17" s="80">
        <f>'[2]נכסים '!AE$24</f>
        <v>10000</v>
      </c>
      <c r="AC17" s="80">
        <f>'[2]נכסים '!AF$24</f>
        <v>0</v>
      </c>
      <c r="AD17" s="80">
        <f>'[2]נכסים '!AG$24</f>
        <v>0</v>
      </c>
      <c r="AE17" s="80">
        <f>'[2]נכסים '!AH$24</f>
        <v>250000</v>
      </c>
      <c r="AF17" s="80">
        <f>'[2]נכסים '!AI$24</f>
        <v>0</v>
      </c>
      <c r="AG17" s="80">
        <f>'[2]נכסים '!AJ$24</f>
        <v>10000</v>
      </c>
      <c r="AH17" s="80">
        <f>'[2]נכסים '!AK$24</f>
        <v>380000</v>
      </c>
      <c r="AI17" s="80">
        <f>'[2]נכסים '!AL$24</f>
        <v>0</v>
      </c>
      <c r="AJ17" s="80">
        <f>'[2]נכסים '!AM$24</f>
        <v>380000</v>
      </c>
      <c r="AK17" s="80">
        <f>'[2]נכסים '!AN$24</f>
        <v>2690000</v>
      </c>
      <c r="AL17" s="80">
        <f>'[2]נכסים '!AO$24</f>
        <v>380000</v>
      </c>
      <c r="AM17" s="80">
        <f>'[2]נכסים '!AP$24</f>
        <v>0</v>
      </c>
      <c r="AN17" s="80">
        <f>'[2]נכסים '!AQ$24</f>
        <v>0</v>
      </c>
      <c r="AO17" s="80">
        <f>'[2]נכסים '!AR$24</f>
        <v>0</v>
      </c>
      <c r="AP17" s="80">
        <f>'[2]נכסים '!AS$24</f>
        <v>0</v>
      </c>
      <c r="AQ17" s="80">
        <f>'[2]נכסים '!AT$24</f>
        <v>0</v>
      </c>
      <c r="AR17" s="80">
        <f>'[2]נכסים '!AU$24</f>
        <v>0</v>
      </c>
      <c r="AS17" s="80">
        <f>'[2]נכסים '!AV$24</f>
        <v>0</v>
      </c>
      <c r="AT17" s="80">
        <f>'[2]נכסים '!AW$24</f>
        <v>0</v>
      </c>
      <c r="AU17" s="80">
        <f>'[2]נכסים '!AX$24</f>
        <v>0</v>
      </c>
      <c r="AV17" s="80">
        <f>'[2]נכסים '!AY$24</f>
        <v>2690000</v>
      </c>
      <c r="AW17" s="80">
        <f>'[2]נכסים '!AZ$24</f>
        <v>0</v>
      </c>
      <c r="AX17" s="80">
        <f>'[2]נכסים '!BA$24</f>
        <v>0</v>
      </c>
      <c r="AY17" s="80">
        <f>'[2]נכסים '!BB$24</f>
        <v>0</v>
      </c>
      <c r="AZ17" s="80">
        <f>'[2]נכסים '!BC$24</f>
        <v>0</v>
      </c>
    </row>
    <row r="18" spans="1:53" s="82" customFormat="1" ht="27" customHeight="1">
      <c r="A18" s="11" t="s">
        <v>158</v>
      </c>
      <c r="B18" s="80">
        <f>'[2]שיפוצי בתים עמידר'!D$10</f>
        <v>89490000</v>
      </c>
      <c r="C18" s="80">
        <f>'[2]שיפוצי בתים עמידר'!E$10</f>
        <v>78490000</v>
      </c>
      <c r="D18" s="80">
        <f>'[2]שיפוצי בתים עמידר'!F$10</f>
        <v>11000000</v>
      </c>
      <c r="E18" s="80">
        <f>'[2]שיפוצי בתים עמידר'!G$10</f>
        <v>60690000</v>
      </c>
      <c r="F18" s="80">
        <f>'[2]שיפוצי בתים עמידר'!H$10</f>
        <v>59142677.799999997</v>
      </c>
      <c r="G18" s="80">
        <f>'[2]שיפוצי בתים עמידר'!I$10</f>
        <v>0</v>
      </c>
      <c r="H18" s="80">
        <f>'[2]שיפוצי בתים עמידר'!J$10</f>
        <v>0</v>
      </c>
      <c r="I18" s="80">
        <f>'[2]שיפוצי בתים עמידר'!K$10</f>
        <v>0</v>
      </c>
      <c r="J18" s="80">
        <f>'[2]שיפוצי בתים עמידר'!L$10</f>
        <v>59142677.799999997</v>
      </c>
      <c r="K18" s="80">
        <f>'[2]שיפוצי בתים עמידר'!M$10</f>
        <v>3047322.2</v>
      </c>
      <c r="L18" s="80">
        <f>'[2]שיפוצי בתים עמידר'!N$10</f>
        <v>13750000</v>
      </c>
      <c r="M18" s="80">
        <f>'[2]שיפוצי בתים עמידר'!O$10</f>
        <v>13550000</v>
      </c>
      <c r="N18" s="80">
        <f>'[2]שיפוצי בתים עמידר'!P$10</f>
        <v>1547322.2</v>
      </c>
      <c r="O18" s="80">
        <f>'[2]שיפוצי בתים עמידר'!Q$10</f>
        <v>1500000</v>
      </c>
      <c r="P18" s="80">
        <f>'[2]שיפוצי בתים עמידר'!R$10</f>
        <v>0</v>
      </c>
      <c r="Q18" s="80">
        <f>'[2]שיפוצי בתים עמידר'!S$10</f>
        <v>1500000</v>
      </c>
      <c r="R18" s="80">
        <f>'[2]שיפוצי בתים עמידר'!T$10</f>
        <v>0</v>
      </c>
      <c r="S18" s="80">
        <f>'[2]שיפוצי בתים עמידר'!U$10</f>
        <v>13750000</v>
      </c>
      <c r="T18" s="80">
        <f>'[2]שיפוצי בתים עמידר'!V$10</f>
        <v>50000</v>
      </c>
      <c r="U18" s="80">
        <f>'[2]שיפוצי בתים עמידר'!W$10</f>
        <v>0</v>
      </c>
      <c r="V18" s="80">
        <f>'[2]שיפוצי בתים עמידר'!X$10</f>
        <v>0</v>
      </c>
      <c r="W18" s="80">
        <f>'[2]שיפוצי בתים עמידר'!Y$10</f>
        <v>0</v>
      </c>
      <c r="X18" s="80">
        <f>'[2]שיפוצי בתים עמידר'!Z$10</f>
        <v>13700000</v>
      </c>
      <c r="Y18" s="80">
        <f>'[2]שיפוצי בתים עמידר'!AB$10</f>
        <v>0</v>
      </c>
      <c r="Z18" s="80">
        <f>'[2]שיפוצי בתים עמידר'!AC$10</f>
        <v>0</v>
      </c>
      <c r="AA18" s="80">
        <f>'[2]שיפוצי בתים עמידר'!AD$10</f>
        <v>1000000</v>
      </c>
      <c r="AB18" s="80">
        <f>'[2]שיפוצי בתים עמידר'!AE$10</f>
        <v>0</v>
      </c>
      <c r="AC18" s="80">
        <f>'[2]שיפוצי בתים עמידר'!AF$10</f>
        <v>1000000</v>
      </c>
      <c r="AD18" s="80">
        <f>'[2]שיפוצי בתים עמידר'!AG$10</f>
        <v>1000000</v>
      </c>
      <c r="AE18" s="80">
        <f>'[2]שיפוצי בתים עמידר'!AH$10</f>
        <v>1500000</v>
      </c>
      <c r="AF18" s="80">
        <f>'[2]שיפוצי בתים עמידר'!AI$10</f>
        <v>50000</v>
      </c>
      <c r="AG18" s="80">
        <f>'[2]שיפוצי בתים עמידר'!AJ$10</f>
        <v>2000000</v>
      </c>
      <c r="AH18" s="80">
        <f>'[2]שיפוצי בתים עמידר'!AK$10</f>
        <v>6550000</v>
      </c>
      <c r="AI18" s="80">
        <f>'[2]שיפוצי בתים עמידר'!AL$10</f>
        <v>0</v>
      </c>
      <c r="AJ18" s="80">
        <f>'[2]שיפוצי בתים עמידר'!AM$10</f>
        <v>6550000</v>
      </c>
      <c r="AK18" s="80">
        <f>'[2]שיפוצי בתים עמידר'!AN$10</f>
        <v>7200000</v>
      </c>
      <c r="AL18" s="80">
        <f>'[2]שיפוצי בתים עמידר'!AO$10</f>
        <v>50000</v>
      </c>
      <c r="AM18" s="80">
        <f>'[2]שיפוצי בתים עמידר'!AP$10</f>
        <v>0</v>
      </c>
      <c r="AN18" s="80">
        <f>'[2]שיפוצי בתים עמידר'!AQ$10</f>
        <v>0</v>
      </c>
      <c r="AO18" s="80">
        <f>'[2]שיפוצי בתים עמידר'!AR$10</f>
        <v>0</v>
      </c>
      <c r="AP18" s="80">
        <f>'[2]שיפוצי בתים עמידר'!AS$10</f>
        <v>6500000</v>
      </c>
      <c r="AQ18" s="80">
        <f>'[2]שיפוצי בתים עמידר'!AT$10</f>
        <v>0</v>
      </c>
      <c r="AR18" s="80">
        <f>'[2]שיפוצי בתים עמידר'!AU$10</f>
        <v>0</v>
      </c>
      <c r="AS18" s="80">
        <f>'[2]שיפוצי בתים עמידר'!AV$10</f>
        <v>0</v>
      </c>
      <c r="AT18" s="80">
        <f>'[2]שיפוצי בתים עמידר'!AW$10</f>
        <v>0</v>
      </c>
      <c r="AU18" s="80">
        <f>'[2]שיפוצי בתים עמידר'!AX$10</f>
        <v>0</v>
      </c>
      <c r="AV18" s="80">
        <f>'[2]שיפוצי בתים עמידר'!AY$10</f>
        <v>0</v>
      </c>
      <c r="AW18" s="80">
        <f>'[2]שיפוצי בתים עמידר'!AZ$10</f>
        <v>0</v>
      </c>
      <c r="AX18" s="80">
        <f>'[2]שיפוצי בתים עמידר'!BA$10</f>
        <v>0</v>
      </c>
      <c r="AY18" s="80">
        <f>'[2]שיפוצי בתים עמידר'!BB$10</f>
        <v>0</v>
      </c>
      <c r="AZ18" s="80">
        <f>'[2]שיפוצי בתים עמידר'!BC$10</f>
        <v>7200000</v>
      </c>
    </row>
    <row r="19" spans="1:53" s="82" customFormat="1" ht="27" customHeight="1">
      <c r="A19" s="393" t="s">
        <v>159</v>
      </c>
      <c r="B19" s="80">
        <f>'[2]כללי  '!D$15</f>
        <v>109471606</v>
      </c>
      <c r="C19" s="80">
        <f>'[2]כללי  '!E$15</f>
        <v>114354020</v>
      </c>
      <c r="D19" s="80">
        <f>'[2]כללי  '!F$15</f>
        <v>-4882414</v>
      </c>
      <c r="E19" s="80">
        <f>'[2]כללי  '!G$15</f>
        <v>74283020</v>
      </c>
      <c r="F19" s="80">
        <f>'[2]כללי  '!H$15</f>
        <v>54198754.880000003</v>
      </c>
      <c r="G19" s="80">
        <f>'[2]כללי  '!I$15</f>
        <v>207252.8</v>
      </c>
      <c r="H19" s="80">
        <f>'[2]כללי  '!J$15</f>
        <v>3096209.4899999998</v>
      </c>
      <c r="I19" s="80">
        <f>'[2]כללי  '!K$15</f>
        <v>3303462.2899999996</v>
      </c>
      <c r="J19" s="80">
        <f>'[2]כללי  '!L$15</f>
        <v>57502217.170000009</v>
      </c>
      <c r="K19" s="80">
        <f>'[2]כללי  '!M$15</f>
        <v>14904388.83</v>
      </c>
      <c r="L19" s="80">
        <f>'[2]כללי  '!N$15</f>
        <v>10050000</v>
      </c>
      <c r="M19" s="80">
        <f>'[2]כללי  '!O$15</f>
        <v>27015000</v>
      </c>
      <c r="N19" s="80">
        <f>'[2]כללי  '!P$15</f>
        <v>16780802.829999998</v>
      </c>
      <c r="O19" s="80">
        <f>'[2]כללי  '!Q$15</f>
        <v>1406000</v>
      </c>
      <c r="P19" s="80">
        <f>'[2]כללי  '!R$15</f>
        <v>0</v>
      </c>
      <c r="Q19" s="80">
        <f>'[2]כללי  '!S$15</f>
        <v>1406000</v>
      </c>
      <c r="R19" s="80">
        <f>'[2]כללי  '!T$15</f>
        <v>3282414</v>
      </c>
      <c r="S19" s="80">
        <f>'[2]כללי  '!U$15</f>
        <v>6767586</v>
      </c>
      <c r="T19" s="80">
        <f>'[2]כללי  '!V$15</f>
        <v>6941586</v>
      </c>
      <c r="U19" s="80">
        <f>'[2]כללי  '!W$15</f>
        <v>-174000</v>
      </c>
      <c r="V19" s="80">
        <f>'[2]כללי  '!X$15</f>
        <v>0</v>
      </c>
      <c r="W19" s="80">
        <f>'[2]כללי  '!Y$15</f>
        <v>0</v>
      </c>
      <c r="X19" s="80">
        <f>'[2]כללי  '!Z$15</f>
        <v>0</v>
      </c>
      <c r="Y19" s="80">
        <f>'[2]כללי  '!AB$15</f>
        <v>0</v>
      </c>
      <c r="Z19" s="80">
        <f>'[2]כללי  '!AC$15</f>
        <v>0</v>
      </c>
      <c r="AA19" s="80">
        <f>'[2]כללי  '!AD$15</f>
        <v>867586</v>
      </c>
      <c r="AB19" s="80">
        <f>'[2]כללי  '!AE$15</f>
        <v>0</v>
      </c>
      <c r="AC19" s="80">
        <f>'[2]כללי  '!AF$15</f>
        <v>0</v>
      </c>
      <c r="AD19" s="80">
        <f>'[2]כללי  '!AG$15</f>
        <v>950000</v>
      </c>
      <c r="AE19" s="80">
        <f>'[2]כללי  '!AH$15</f>
        <v>0</v>
      </c>
      <c r="AF19" s="80">
        <f>'[2]כללי  '!AI$15</f>
        <v>700000</v>
      </c>
      <c r="AG19" s="80">
        <f>'[2]כללי  '!AJ$15</f>
        <v>0</v>
      </c>
      <c r="AH19" s="80">
        <f>'[2]כללי  '!AK$15</f>
        <v>2517586</v>
      </c>
      <c r="AI19" s="80">
        <f>'[2]כללי  '!AL$15</f>
        <v>0</v>
      </c>
      <c r="AJ19" s="80">
        <f>'[2]כללי  '!AM$15</f>
        <v>2517586</v>
      </c>
      <c r="AK19" s="80">
        <f>'[2]כללי  '!AN$15</f>
        <v>4250000</v>
      </c>
      <c r="AL19" s="80">
        <f>'[2]כללי  '!AO$15</f>
        <v>2891586</v>
      </c>
      <c r="AM19" s="80">
        <f>'[2]כללי  '!AP$15</f>
        <v>-374000</v>
      </c>
      <c r="AN19" s="80">
        <f>'[2]כללי  '!AQ$15</f>
        <v>0</v>
      </c>
      <c r="AO19" s="80">
        <f>'[2]כללי  '!AR$15</f>
        <v>0</v>
      </c>
      <c r="AP19" s="80">
        <f>'[2]כללי  '!AS$15</f>
        <v>0</v>
      </c>
      <c r="AQ19" s="80">
        <f>'[2]כללי  '!AT$15</f>
        <v>0</v>
      </c>
      <c r="AR19" s="80">
        <f>'[2]כללי  '!AU$15</f>
        <v>0</v>
      </c>
      <c r="AS19" s="80">
        <f>'[2]כללי  '!AV$15</f>
        <v>0</v>
      </c>
      <c r="AT19" s="80">
        <f>'[2]כללי  '!AW$15</f>
        <v>0</v>
      </c>
      <c r="AU19" s="80">
        <f>'[2]כללי  '!AX$15</f>
        <v>0</v>
      </c>
      <c r="AV19" s="80">
        <f>'[2]כללי  '!AY$15</f>
        <v>4050000</v>
      </c>
      <c r="AW19" s="80">
        <f>'[2]כללי  '!AZ$15</f>
        <v>200000</v>
      </c>
      <c r="AX19" s="80">
        <f>'[2]כללי  '!BA$15</f>
        <v>0</v>
      </c>
      <c r="AY19" s="80">
        <f>'[2]כללי  '!BB$15</f>
        <v>0</v>
      </c>
      <c r="AZ19" s="80">
        <f>'[2]כללי  '!BC$15</f>
        <v>0</v>
      </c>
    </row>
    <row r="20" spans="1:53" s="387" customFormat="1" ht="27" customHeight="1">
      <c r="A20" s="547" t="s">
        <v>160</v>
      </c>
      <c r="B20" s="548">
        <f t="shared" ref="B20:AZ20" si="0">SUM(B6:B19)</f>
        <v>4141219830</v>
      </c>
      <c r="C20" s="548">
        <f t="shared" si="0"/>
        <v>3630112898</v>
      </c>
      <c r="D20" s="548">
        <f t="shared" si="0"/>
        <v>511106932</v>
      </c>
      <c r="E20" s="548">
        <f t="shared" si="0"/>
        <v>2023901893</v>
      </c>
      <c r="F20" s="548">
        <f t="shared" si="0"/>
        <v>1540459789.1899998</v>
      </c>
      <c r="G20" s="548">
        <f t="shared" si="0"/>
        <v>65251110.730000004</v>
      </c>
      <c r="H20" s="548">
        <f t="shared" si="0"/>
        <v>141568280.82999998</v>
      </c>
      <c r="I20" s="548">
        <f t="shared" si="0"/>
        <v>206819391.56</v>
      </c>
      <c r="J20" s="548">
        <f t="shared" si="0"/>
        <v>1747279180.7500005</v>
      </c>
      <c r="K20" s="548">
        <f t="shared" si="0"/>
        <v>287209212.24999988</v>
      </c>
      <c r="L20" s="548">
        <f t="shared" si="0"/>
        <v>564915063</v>
      </c>
      <c r="M20" s="548">
        <f t="shared" si="0"/>
        <v>1541816374</v>
      </c>
      <c r="N20" s="548">
        <f t="shared" si="0"/>
        <v>276622712.24999994</v>
      </c>
      <c r="O20" s="548">
        <f t="shared" si="0"/>
        <v>36625614</v>
      </c>
      <c r="P20" s="548">
        <f t="shared" si="0"/>
        <v>1780000</v>
      </c>
      <c r="Q20" s="548">
        <f t="shared" si="0"/>
        <v>38405614</v>
      </c>
      <c r="R20" s="548">
        <f t="shared" si="0"/>
        <v>27819114</v>
      </c>
      <c r="S20" s="548">
        <f t="shared" si="0"/>
        <v>537095949</v>
      </c>
      <c r="T20" s="548">
        <f t="shared" si="0"/>
        <v>237739999.93023255</v>
      </c>
      <c r="U20" s="548">
        <f t="shared" si="0"/>
        <v>27000000</v>
      </c>
      <c r="V20" s="548">
        <f t="shared" si="0"/>
        <v>1250000</v>
      </c>
      <c r="W20" s="548">
        <f t="shared" si="0"/>
        <v>48962500</v>
      </c>
      <c r="X20" s="548">
        <f t="shared" si="0"/>
        <v>222143449.06976745</v>
      </c>
      <c r="Y20" s="548">
        <f t="shared" si="0"/>
        <v>2300000</v>
      </c>
      <c r="Z20" s="548">
        <f t="shared" ref="Z20:AF20" si="1">SUM(Z6:Z19)</f>
        <v>31048000</v>
      </c>
      <c r="AA20" s="548">
        <f t="shared" si="1"/>
        <v>21129586</v>
      </c>
      <c r="AB20" s="548">
        <f t="shared" si="1"/>
        <v>3910000</v>
      </c>
      <c r="AC20" s="548">
        <f t="shared" si="1"/>
        <v>64483866</v>
      </c>
      <c r="AD20" s="548">
        <f t="shared" si="1"/>
        <v>6805000</v>
      </c>
      <c r="AE20" s="548">
        <f t="shared" si="1"/>
        <v>26699800</v>
      </c>
      <c r="AF20" s="548">
        <f t="shared" si="1"/>
        <v>24270000</v>
      </c>
      <c r="AG20" s="548">
        <f t="shared" si="0"/>
        <v>26370000</v>
      </c>
      <c r="AH20" s="548">
        <f t="shared" si="0"/>
        <v>207016252</v>
      </c>
      <c r="AI20" s="548">
        <f t="shared" si="0"/>
        <v>119955601</v>
      </c>
      <c r="AJ20" s="548">
        <f t="shared" si="0"/>
        <v>326971853</v>
      </c>
      <c r="AK20" s="548">
        <f t="shared" si="0"/>
        <v>210124096</v>
      </c>
      <c r="AL20" s="548">
        <f t="shared" si="0"/>
        <v>200361150</v>
      </c>
      <c r="AM20" s="548">
        <f t="shared" si="0"/>
        <v>23520000</v>
      </c>
      <c r="AN20" s="548">
        <f t="shared" si="0"/>
        <v>0</v>
      </c>
      <c r="AO20" s="548">
        <f t="shared" si="0"/>
        <v>34900000</v>
      </c>
      <c r="AP20" s="548">
        <f t="shared" si="0"/>
        <v>68190703</v>
      </c>
      <c r="AQ20" s="548">
        <f t="shared" si="0"/>
        <v>103759932</v>
      </c>
      <c r="AR20" s="548">
        <f t="shared" si="0"/>
        <v>0</v>
      </c>
      <c r="AS20" s="548">
        <f t="shared" si="0"/>
        <v>0</v>
      </c>
      <c r="AT20" s="548">
        <f t="shared" si="0"/>
        <v>5000000</v>
      </c>
      <c r="AU20" s="548">
        <f t="shared" si="0"/>
        <v>11195669</v>
      </c>
      <c r="AV20" s="548">
        <f t="shared" si="0"/>
        <v>37378850</v>
      </c>
      <c r="AW20" s="548">
        <f t="shared" si="0"/>
        <v>3460000</v>
      </c>
      <c r="AX20" s="548">
        <f t="shared" si="0"/>
        <v>1250000</v>
      </c>
      <c r="AY20" s="548">
        <f t="shared" si="0"/>
        <v>14062500</v>
      </c>
      <c r="AZ20" s="548">
        <f t="shared" si="0"/>
        <v>153972746</v>
      </c>
    </row>
    <row r="21" spans="1:53">
      <c r="A21" s="549"/>
      <c r="D21" s="549"/>
      <c r="E21" s="549"/>
      <c r="M21" s="97"/>
      <c r="O21" s="97"/>
      <c r="P21" s="97"/>
      <c r="Q21" s="97"/>
      <c r="R21" s="82"/>
      <c r="S21" s="95"/>
      <c r="T21" s="95"/>
      <c r="U21" s="95"/>
      <c r="V21" s="95"/>
      <c r="W21" s="95"/>
      <c r="X21" s="95"/>
    </row>
    <row r="22" spans="1:53">
      <c r="M22" s="97"/>
      <c r="O22" s="97"/>
      <c r="P22" s="97"/>
      <c r="Q22" s="97"/>
      <c r="R22" s="95"/>
      <c r="S22" s="84"/>
      <c r="U22" s="98"/>
      <c r="V22" s="98"/>
      <c r="W22" s="95"/>
      <c r="X22" s="95"/>
      <c r="Y22" s="84">
        <v>2300000</v>
      </c>
      <c r="Z22" s="84">
        <v>31048000</v>
      </c>
      <c r="AA22" s="84">
        <v>21129586</v>
      </c>
      <c r="AB22" s="84">
        <v>3910000</v>
      </c>
      <c r="AC22" s="84">
        <v>64483866</v>
      </c>
      <c r="AD22" s="84">
        <v>6805000</v>
      </c>
      <c r="AE22" s="84">
        <v>26699800</v>
      </c>
      <c r="AF22" s="84">
        <v>24270000</v>
      </c>
      <c r="AG22" s="84">
        <v>26370000</v>
      </c>
      <c r="AH22" s="84">
        <v>119955601</v>
      </c>
    </row>
    <row r="23" spans="1:53" s="95" customFormat="1"/>
    <row r="24" spans="1:53">
      <c r="N24" s="87"/>
      <c r="S24" s="84"/>
      <c r="U24" s="98"/>
      <c r="Y24" s="87"/>
      <c r="Z24" s="87"/>
      <c r="AA24" s="87"/>
      <c r="AB24" s="87"/>
      <c r="AC24" s="87"/>
      <c r="AD24" s="87"/>
      <c r="AE24" s="87"/>
      <c r="AF24" s="87"/>
      <c r="AG24" s="98">
        <f>AG20+AI20</f>
        <v>146325601</v>
      </c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</row>
    <row r="25" spans="1:53">
      <c r="Y25" s="87"/>
      <c r="Z25" s="87"/>
      <c r="AA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</row>
    <row r="27" spans="1:53">
      <c r="Z27" s="550" t="s">
        <v>847</v>
      </c>
      <c r="AA27" s="550"/>
      <c r="AB27" s="550"/>
    </row>
    <row r="28" spans="1:53">
      <c r="AE28" s="85"/>
      <c r="AF28" s="85"/>
      <c r="AG28" s="85"/>
    </row>
    <row r="30" spans="1:53">
      <c r="AE30" s="85"/>
      <c r="AF30" s="85"/>
      <c r="AG30" s="85"/>
    </row>
  </sheetData>
  <sheetProtection formatCells="0" formatColumns="0" formatRows="0" insertColumns="0" insertRows="0" insertHyperlinks="0" deleteColumns="0" deleteRows="0" sort="0" autoFilter="0" pivotTables="0"/>
  <mergeCells count="6">
    <mergeCell ref="AQ4:AU4"/>
    <mergeCell ref="B4:M4"/>
    <mergeCell ref="N4:O4"/>
    <mergeCell ref="R4:X4"/>
    <mergeCell ref="Y4:AH4"/>
    <mergeCell ref="AL4:AP4"/>
  </mergeCells>
  <conditionalFormatting sqref="AA5">
    <cfRule type="cellIs" dxfId="194" priority="7" operator="equal">
      <formula>0</formula>
    </cfRule>
  </conditionalFormatting>
  <conditionalFormatting sqref="AB5">
    <cfRule type="cellIs" dxfId="193" priority="6" operator="equal">
      <formula>0</formula>
    </cfRule>
  </conditionalFormatting>
  <conditionalFormatting sqref="AC5">
    <cfRule type="cellIs" dxfId="192" priority="5" operator="equal">
      <formula>0</formula>
    </cfRule>
  </conditionalFormatting>
  <conditionalFormatting sqref="AD5">
    <cfRule type="cellIs" dxfId="191" priority="4" operator="equal">
      <formula>0</formula>
    </cfRule>
  </conditionalFormatting>
  <conditionalFormatting sqref="AE5">
    <cfRule type="cellIs" dxfId="190" priority="3" operator="equal">
      <formula>0</formula>
    </cfRule>
  </conditionalFormatting>
  <conditionalFormatting sqref="AG5">
    <cfRule type="cellIs" dxfId="189" priority="2" operator="equal">
      <formula>0</formula>
    </cfRule>
  </conditionalFormatting>
  <conditionalFormatting sqref="AF5">
    <cfRule type="cellIs" dxfId="188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AJD110"/>
  <sheetViews>
    <sheetView showZeros="0" rightToLeft="1" zoomScaleNormal="100" workbookViewId="0">
      <pane xSplit="3" ySplit="6" topLeftCell="T7" activePane="bottomRight" state="frozen"/>
      <selection activeCell="T20" sqref="T20"/>
      <selection pane="topRight" activeCell="T20" sqref="T20"/>
      <selection pane="bottomLeft" activeCell="T20" sqref="T20"/>
      <selection pane="bottomRight" activeCell="T20" sqref="T20"/>
    </sheetView>
  </sheetViews>
  <sheetFormatPr defaultColWidth="14" defaultRowHeight="14"/>
  <cols>
    <col min="1" max="1" width="7.26953125" style="106" bestFit="1" customWidth="1"/>
    <col min="2" max="2" width="9.1796875" style="308" customWidth="1"/>
    <col min="3" max="3" width="34.1796875" style="106" customWidth="1"/>
    <col min="4" max="4" width="11.81640625" style="119" hidden="1" customWidth="1"/>
    <col min="5" max="6" width="12" style="119" hidden="1" customWidth="1"/>
    <col min="7" max="7" width="12.1796875" style="119" hidden="1" customWidth="1"/>
    <col min="8" max="8" width="14" style="119" hidden="1" customWidth="1"/>
    <col min="9" max="11" width="12.1796875" style="119" hidden="1" customWidth="1"/>
    <col min="12" max="12" width="11.54296875" style="119" hidden="1" customWidth="1"/>
    <col min="13" max="13" width="10.7265625" style="119" hidden="1" customWidth="1"/>
    <col min="14" max="14" width="10.1796875" style="312" hidden="1" customWidth="1"/>
    <col min="15" max="15" width="10.81640625" style="119" hidden="1" customWidth="1"/>
    <col min="16" max="19" width="12.1796875" style="119" hidden="1" customWidth="1"/>
    <col min="20" max="20" width="10.7265625" style="120" customWidth="1"/>
    <col min="21" max="21" width="10.7265625" style="106" customWidth="1"/>
    <col min="22" max="22" width="10.7265625" style="105" customWidth="1"/>
    <col min="23" max="23" width="6.7265625" style="121" customWidth="1"/>
    <col min="24" max="25" width="6.7265625" style="106" customWidth="1"/>
    <col min="26" max="26" width="7.54296875" style="106" customWidth="1"/>
    <col min="27" max="27" width="10.81640625" style="106" hidden="1" customWidth="1"/>
    <col min="28" max="28" width="11.54296875" style="106" hidden="1" customWidth="1"/>
    <col min="29" max="36" width="10.81640625" style="103" hidden="1" customWidth="1"/>
    <col min="37" max="37" width="12.81640625" style="103" hidden="1" customWidth="1"/>
    <col min="38" max="38" width="0" style="106" hidden="1" customWidth="1"/>
    <col min="39" max="39" width="11.7265625" style="106" customWidth="1"/>
    <col min="40" max="41" width="10.7265625" style="103" customWidth="1"/>
    <col min="42" max="45" width="6.7265625" style="106" customWidth="1"/>
    <col min="46" max="46" width="10.81640625" style="103" hidden="1" customWidth="1"/>
    <col min="47" max="47" width="10.81640625" style="106" hidden="1" customWidth="1"/>
    <col min="48" max="48" width="9.7265625" style="106" hidden="1" customWidth="1"/>
    <col min="49" max="49" width="10.453125" style="106" hidden="1" customWidth="1"/>
    <col min="50" max="50" width="10" style="106" hidden="1" customWidth="1"/>
    <col min="51" max="51" width="10.81640625" style="103" hidden="1" customWidth="1"/>
    <col min="52" max="52" width="10.81640625" style="106" hidden="1" customWidth="1"/>
    <col min="53" max="53" width="9.7265625" style="106" hidden="1" customWidth="1"/>
    <col min="54" max="54" width="10.453125" style="106" hidden="1" customWidth="1"/>
    <col min="55" max="55" width="10" style="106" hidden="1" customWidth="1"/>
    <col min="56" max="939" width="14" style="106"/>
    <col min="940" max="16384" width="14" style="104"/>
  </cols>
  <sheetData>
    <row r="3" spans="1:940" ht="18">
      <c r="A3" s="122" t="s">
        <v>1011</v>
      </c>
      <c r="B3" s="102"/>
      <c r="C3" s="102"/>
      <c r="D3" s="102"/>
      <c r="E3" s="322"/>
      <c r="F3" s="102"/>
      <c r="G3" s="540"/>
      <c r="H3" s="102"/>
      <c r="I3" s="102"/>
      <c r="J3" s="102"/>
      <c r="K3" s="102"/>
      <c r="L3" s="102"/>
      <c r="M3" s="102"/>
      <c r="N3" s="102"/>
      <c r="O3" s="322"/>
      <c r="P3" s="114"/>
      <c r="Q3" s="102"/>
      <c r="R3" s="102"/>
      <c r="S3" s="102"/>
      <c r="T3" s="102"/>
      <c r="U3" s="102"/>
      <c r="V3" s="102"/>
      <c r="W3" s="102"/>
      <c r="X3" s="102"/>
      <c r="Y3" s="102"/>
      <c r="Z3" s="102"/>
      <c r="AB3" s="103"/>
    </row>
    <row r="4" spans="1:940" ht="18">
      <c r="B4" s="102"/>
      <c r="C4" s="102"/>
      <c r="D4" s="102"/>
      <c r="E4" s="322"/>
      <c r="F4" s="102"/>
      <c r="G4" s="540"/>
      <c r="H4" s="102"/>
      <c r="I4" s="102"/>
      <c r="J4" s="102"/>
      <c r="K4" s="102"/>
      <c r="L4" s="102"/>
      <c r="M4" s="102"/>
      <c r="N4" s="102"/>
      <c r="O4" s="322"/>
      <c r="P4" s="541"/>
      <c r="Q4" s="102"/>
      <c r="R4" s="102"/>
      <c r="S4" s="102"/>
      <c r="T4" s="102"/>
      <c r="U4" s="102"/>
      <c r="V4" s="102"/>
      <c r="W4" s="102"/>
      <c r="X4" s="102"/>
      <c r="Y4" s="102"/>
      <c r="Z4" s="102"/>
      <c r="AB4" s="103"/>
    </row>
    <row r="5" spans="1:940">
      <c r="A5" s="530"/>
      <c r="B5" s="531"/>
      <c r="C5" s="531"/>
      <c r="D5" s="531"/>
      <c r="E5" s="531"/>
      <c r="F5" s="531"/>
      <c r="G5" s="531"/>
      <c r="H5" s="531"/>
      <c r="I5" s="531"/>
      <c r="J5" s="531"/>
      <c r="K5" s="531"/>
      <c r="L5" s="531"/>
      <c r="M5" s="531"/>
      <c r="N5" s="531"/>
      <c r="O5" s="531"/>
      <c r="P5" s="531"/>
      <c r="Q5" s="531"/>
      <c r="R5" s="531"/>
      <c r="S5" s="531"/>
      <c r="T5" s="738" t="s">
        <v>146</v>
      </c>
      <c r="U5" s="739"/>
      <c r="V5" s="739"/>
      <c r="W5" s="739"/>
      <c r="X5" s="739"/>
      <c r="Y5" s="739"/>
      <c r="Z5" s="740"/>
      <c r="AB5" s="735" t="s">
        <v>489</v>
      </c>
      <c r="AC5" s="736"/>
      <c r="AD5" s="736"/>
      <c r="AE5" s="736"/>
      <c r="AF5" s="736"/>
      <c r="AG5" s="736"/>
      <c r="AH5" s="736"/>
      <c r="AI5" s="736"/>
      <c r="AJ5" s="736"/>
      <c r="AK5" s="736"/>
      <c r="AL5" s="736"/>
      <c r="AM5" s="737"/>
      <c r="AN5" s="110"/>
      <c r="AO5" s="735" t="s">
        <v>834</v>
      </c>
      <c r="AP5" s="736"/>
      <c r="AQ5" s="736"/>
      <c r="AR5" s="736"/>
      <c r="AS5" s="737"/>
      <c r="AT5" s="735" t="s">
        <v>835</v>
      </c>
      <c r="AU5" s="736"/>
      <c r="AV5" s="736"/>
      <c r="AW5" s="736"/>
      <c r="AX5" s="737"/>
      <c r="AY5" s="495" t="s">
        <v>836</v>
      </c>
      <c r="AZ5" s="496"/>
      <c r="BA5" s="496"/>
      <c r="BB5" s="496"/>
      <c r="BC5" s="497"/>
    </row>
    <row r="6" spans="1:940" s="108" customFormat="1" ht="56">
      <c r="A6" s="107" t="s">
        <v>0</v>
      </c>
      <c r="B6" s="118" t="s">
        <v>1</v>
      </c>
      <c r="C6" s="107" t="s">
        <v>2</v>
      </c>
      <c r="D6" s="107" t="s">
        <v>3</v>
      </c>
      <c r="E6" s="107" t="s">
        <v>4</v>
      </c>
      <c r="F6" s="107" t="s">
        <v>5</v>
      </c>
      <c r="G6" s="107" t="s">
        <v>6</v>
      </c>
      <c r="H6" s="107" t="s">
        <v>7</v>
      </c>
      <c r="I6" s="107" t="s">
        <v>9</v>
      </c>
      <c r="J6" s="107" t="s">
        <v>318</v>
      </c>
      <c r="K6" s="107" t="s">
        <v>10</v>
      </c>
      <c r="L6" s="107" t="s">
        <v>11</v>
      </c>
      <c r="M6" s="107" t="s">
        <v>309</v>
      </c>
      <c r="N6" s="118" t="s">
        <v>351</v>
      </c>
      <c r="O6" s="107" t="s">
        <v>311</v>
      </c>
      <c r="P6" s="107" t="s">
        <v>12</v>
      </c>
      <c r="Q6" s="107" t="s">
        <v>312</v>
      </c>
      <c r="R6" s="107" t="s">
        <v>313</v>
      </c>
      <c r="S6" s="107" t="s">
        <v>314</v>
      </c>
      <c r="T6" s="107" t="s">
        <v>315</v>
      </c>
      <c r="U6" s="107" t="s">
        <v>352</v>
      </c>
      <c r="V6" s="107" t="s">
        <v>13</v>
      </c>
      <c r="W6" s="107" t="s">
        <v>14</v>
      </c>
      <c r="X6" s="107" t="s">
        <v>15</v>
      </c>
      <c r="Y6" s="107" t="s">
        <v>523</v>
      </c>
      <c r="Z6" s="107" t="s">
        <v>140</v>
      </c>
      <c r="AA6" s="107" t="s">
        <v>140</v>
      </c>
      <c r="AB6" s="107" t="s">
        <v>490</v>
      </c>
      <c r="AC6" s="107" t="s">
        <v>491</v>
      </c>
      <c r="AD6" s="107" t="s">
        <v>492</v>
      </c>
      <c r="AE6" s="107" t="s">
        <v>493</v>
      </c>
      <c r="AF6" s="107" t="s">
        <v>494</v>
      </c>
      <c r="AG6" s="107" t="s">
        <v>495</v>
      </c>
      <c r="AH6" s="107" t="s">
        <v>496</v>
      </c>
      <c r="AI6" s="107" t="s">
        <v>497</v>
      </c>
      <c r="AJ6" s="107" t="s">
        <v>498</v>
      </c>
      <c r="AK6" s="107" t="s">
        <v>837</v>
      </c>
      <c r="AL6" s="107" t="s">
        <v>838</v>
      </c>
      <c r="AM6" s="107" t="s">
        <v>839</v>
      </c>
      <c r="AN6" s="107" t="s">
        <v>840</v>
      </c>
      <c r="AO6" s="107" t="s">
        <v>13</v>
      </c>
      <c r="AP6" s="107" t="s">
        <v>14</v>
      </c>
      <c r="AQ6" s="107" t="s">
        <v>15</v>
      </c>
      <c r="AR6" s="107" t="s">
        <v>523</v>
      </c>
      <c r="AS6" s="107" t="s">
        <v>140</v>
      </c>
      <c r="AT6" s="107" t="s">
        <v>13</v>
      </c>
      <c r="AU6" s="107" t="s">
        <v>14</v>
      </c>
      <c r="AV6" s="107" t="s">
        <v>15</v>
      </c>
      <c r="AW6" s="107" t="s">
        <v>523</v>
      </c>
      <c r="AX6" s="107" t="s">
        <v>140</v>
      </c>
      <c r="AY6" s="107" t="s">
        <v>13</v>
      </c>
      <c r="AZ6" s="107" t="s">
        <v>14</v>
      </c>
      <c r="BA6" s="107" t="s">
        <v>15</v>
      </c>
      <c r="BB6" s="107" t="s">
        <v>523</v>
      </c>
      <c r="BC6" s="107" t="s">
        <v>140</v>
      </c>
      <c r="AJD6" s="104"/>
    </row>
    <row r="7" spans="1:940">
      <c r="A7" s="109"/>
      <c r="B7" s="113"/>
      <c r="C7" s="112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7"/>
      <c r="O7" s="110"/>
      <c r="P7" s="110"/>
      <c r="Q7" s="110"/>
      <c r="R7" s="110"/>
      <c r="S7" s="110"/>
      <c r="T7" s="110"/>
      <c r="U7" s="110"/>
      <c r="V7" s="110"/>
      <c r="W7" s="111"/>
      <c r="X7" s="110"/>
      <c r="Y7" s="110"/>
      <c r="Z7" s="109"/>
      <c r="AA7" s="109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542"/>
      <c r="AM7" s="542"/>
      <c r="AN7" s="110"/>
      <c r="AO7" s="110"/>
      <c r="AP7" s="542"/>
      <c r="AQ7" s="542"/>
      <c r="AR7" s="542"/>
      <c r="AS7" s="542"/>
      <c r="AT7" s="110"/>
      <c r="AU7" s="542"/>
      <c r="AV7" s="542"/>
      <c r="AW7" s="542"/>
      <c r="AX7" s="542"/>
      <c r="AY7" s="110"/>
      <c r="AZ7" s="542"/>
      <c r="BA7" s="542"/>
      <c r="BB7" s="542"/>
      <c r="BC7" s="542"/>
    </row>
    <row r="8" spans="1:940" s="546" customFormat="1">
      <c r="A8" s="113">
        <f t="shared" ref="A8:A59" si="0">A7+1</f>
        <v>1</v>
      </c>
      <c r="B8" s="113">
        <v>179</v>
      </c>
      <c r="C8" s="113" t="s">
        <v>353</v>
      </c>
      <c r="D8" s="117">
        <v>3000000</v>
      </c>
      <c r="E8" s="117">
        <v>3000000</v>
      </c>
      <c r="F8" s="117">
        <f t="shared" ref="F8:F59" si="1">D8-E8</f>
        <v>0</v>
      </c>
      <c r="G8" s="117">
        <v>2970250</v>
      </c>
      <c r="H8" s="117">
        <v>2641510.9700000002</v>
      </c>
      <c r="I8" s="117"/>
      <c r="J8" s="117">
        <v>94175.58</v>
      </c>
      <c r="K8" s="117">
        <f t="shared" ref="K8:K32" si="2">SUM(I8:J8)</f>
        <v>94175.58</v>
      </c>
      <c r="L8" s="117">
        <f t="shared" ref="L8:L53" si="3">H8+K8</f>
        <v>2735686.5500000003</v>
      </c>
      <c r="M8" s="117">
        <f>P8+S8-200000</f>
        <v>34563.449999999721</v>
      </c>
      <c r="N8" s="117">
        <f>200000-100000</f>
        <v>100000</v>
      </c>
      <c r="O8" s="117">
        <f>D8-L8-M8-N8</f>
        <v>129750</v>
      </c>
      <c r="P8" s="117">
        <f t="shared" ref="P8:P53" si="4">G8-L8</f>
        <v>234563.44999999972</v>
      </c>
      <c r="Q8" s="117"/>
      <c r="R8" s="117"/>
      <c r="S8" s="117">
        <f t="shared" ref="S8:S32" si="5">SUM(Q8:R8)</f>
        <v>0</v>
      </c>
      <c r="T8" s="117">
        <f t="shared" ref="T8:T53" si="6">P8-M8+S8</f>
        <v>200000</v>
      </c>
      <c r="U8" s="117">
        <f t="shared" ref="U8:U59" si="7">N8-T8</f>
        <v>-100000</v>
      </c>
      <c r="V8" s="117">
        <f t="shared" ref="V8:V59" si="8">U8-Z8-W8-Y8</f>
        <v>-100000</v>
      </c>
      <c r="W8" s="543"/>
      <c r="X8" s="117"/>
      <c r="Y8" s="117"/>
      <c r="Z8" s="113"/>
      <c r="AA8" s="113">
        <v>732000</v>
      </c>
      <c r="AB8" s="117"/>
      <c r="AC8" s="117"/>
      <c r="AD8" s="117">
        <v>-100000</v>
      </c>
      <c r="AE8" s="117"/>
      <c r="AF8" s="117"/>
      <c r="AG8" s="117"/>
      <c r="AH8" s="117"/>
      <c r="AI8" s="117"/>
      <c r="AJ8" s="117"/>
      <c r="AK8" s="117">
        <f>SUM(AB8:AJ8)</f>
        <v>-100000</v>
      </c>
      <c r="AL8" s="565"/>
      <c r="AM8" s="566">
        <f>AK8+AL8</f>
        <v>-100000</v>
      </c>
      <c r="AN8" s="117">
        <f>U8-AM8</f>
        <v>0</v>
      </c>
      <c r="AO8" s="117">
        <f>AM8-AP8-AQ8-AR8-AS8</f>
        <v>-100000</v>
      </c>
      <c r="AP8" s="565"/>
      <c r="AQ8" s="565"/>
      <c r="AR8" s="565"/>
      <c r="AS8" s="565"/>
      <c r="AT8" s="117">
        <f>AL8-AU8-AV8-AW8-AX8</f>
        <v>0</v>
      </c>
      <c r="AU8" s="565"/>
      <c r="AV8" s="565"/>
      <c r="AW8" s="565"/>
      <c r="AX8" s="565"/>
      <c r="AY8" s="117">
        <f>AN8-AZ8-BA8-BB8-BC8</f>
        <v>0</v>
      </c>
      <c r="AZ8" s="565"/>
      <c r="BA8" s="565"/>
      <c r="BB8" s="565"/>
      <c r="BC8" s="565"/>
      <c r="BD8" s="308"/>
      <c r="BE8" s="308"/>
      <c r="BF8" s="308"/>
      <c r="BG8" s="308"/>
      <c r="BH8" s="308"/>
      <c r="BI8" s="308"/>
      <c r="BJ8" s="308"/>
      <c r="BK8" s="308"/>
      <c r="BL8" s="308"/>
      <c r="BM8" s="308"/>
      <c r="BN8" s="308"/>
      <c r="BO8" s="308"/>
      <c r="BP8" s="308"/>
      <c r="BQ8" s="308"/>
      <c r="BR8" s="308"/>
      <c r="BS8" s="308"/>
      <c r="BT8" s="308"/>
      <c r="BU8" s="308"/>
      <c r="BV8" s="308"/>
      <c r="BW8" s="308"/>
      <c r="BX8" s="308"/>
      <c r="BY8" s="308"/>
      <c r="BZ8" s="308"/>
      <c r="CA8" s="308"/>
      <c r="CB8" s="308"/>
      <c r="CC8" s="308"/>
      <c r="CD8" s="308"/>
      <c r="CE8" s="308"/>
      <c r="CF8" s="308"/>
      <c r="CG8" s="308"/>
      <c r="CH8" s="308"/>
      <c r="CI8" s="308"/>
      <c r="CJ8" s="308"/>
      <c r="CK8" s="308"/>
      <c r="CL8" s="308"/>
      <c r="CM8" s="308"/>
      <c r="CN8" s="308"/>
      <c r="CO8" s="308"/>
      <c r="CP8" s="308"/>
      <c r="CQ8" s="308"/>
      <c r="CR8" s="308"/>
      <c r="CS8" s="308"/>
      <c r="CT8" s="308"/>
      <c r="CU8" s="308"/>
      <c r="CV8" s="308"/>
      <c r="CW8" s="308"/>
      <c r="CX8" s="308"/>
      <c r="CY8" s="308"/>
      <c r="CZ8" s="308"/>
      <c r="DA8" s="308"/>
      <c r="DB8" s="308"/>
      <c r="DC8" s="308"/>
      <c r="DD8" s="308"/>
      <c r="DE8" s="308"/>
      <c r="DF8" s="308"/>
      <c r="DG8" s="308"/>
      <c r="DH8" s="308"/>
      <c r="DI8" s="308"/>
      <c r="DJ8" s="308"/>
      <c r="DK8" s="308"/>
      <c r="DL8" s="308"/>
      <c r="DM8" s="308"/>
      <c r="DN8" s="308"/>
      <c r="DO8" s="308"/>
      <c r="DP8" s="308"/>
      <c r="DQ8" s="308"/>
      <c r="DR8" s="308"/>
      <c r="DS8" s="308"/>
      <c r="DT8" s="308"/>
      <c r="DU8" s="308"/>
      <c r="DV8" s="308"/>
      <c r="DW8" s="308"/>
      <c r="DX8" s="308"/>
      <c r="DY8" s="308"/>
      <c r="DZ8" s="308"/>
      <c r="EA8" s="308"/>
      <c r="EB8" s="308"/>
      <c r="EC8" s="308"/>
      <c r="ED8" s="308"/>
      <c r="EE8" s="308"/>
      <c r="EF8" s="308"/>
      <c r="EG8" s="308"/>
      <c r="EH8" s="308"/>
      <c r="EI8" s="308"/>
      <c r="EJ8" s="308"/>
      <c r="EK8" s="308"/>
      <c r="EL8" s="308"/>
      <c r="EM8" s="308"/>
      <c r="EN8" s="308"/>
      <c r="EO8" s="308"/>
      <c r="EP8" s="308"/>
      <c r="EQ8" s="308"/>
      <c r="ER8" s="308"/>
      <c r="ES8" s="308"/>
      <c r="ET8" s="308"/>
      <c r="EU8" s="308"/>
      <c r="EV8" s="308"/>
      <c r="EW8" s="308"/>
      <c r="EX8" s="308"/>
      <c r="EY8" s="308"/>
      <c r="EZ8" s="308"/>
      <c r="FA8" s="308"/>
      <c r="FB8" s="308"/>
      <c r="FC8" s="308"/>
      <c r="FD8" s="308"/>
      <c r="FE8" s="308"/>
      <c r="FF8" s="308"/>
      <c r="FG8" s="308"/>
      <c r="FH8" s="308"/>
      <c r="FI8" s="308"/>
      <c r="FJ8" s="308"/>
      <c r="FK8" s="308"/>
      <c r="FL8" s="308"/>
      <c r="FM8" s="308"/>
      <c r="FN8" s="308"/>
      <c r="FO8" s="308"/>
      <c r="FP8" s="308"/>
      <c r="FQ8" s="308"/>
      <c r="FR8" s="308"/>
      <c r="FS8" s="308"/>
      <c r="FT8" s="308"/>
      <c r="FU8" s="308"/>
      <c r="FV8" s="308"/>
      <c r="FW8" s="308"/>
      <c r="FX8" s="308"/>
      <c r="FY8" s="308"/>
      <c r="FZ8" s="308"/>
      <c r="GA8" s="308"/>
      <c r="GB8" s="308"/>
      <c r="GC8" s="308"/>
      <c r="GD8" s="308"/>
      <c r="GE8" s="308"/>
      <c r="GF8" s="308"/>
      <c r="GG8" s="308"/>
      <c r="GH8" s="308"/>
      <c r="GI8" s="308"/>
      <c r="GJ8" s="308"/>
      <c r="GK8" s="308"/>
      <c r="GL8" s="308"/>
      <c r="GM8" s="308"/>
      <c r="GN8" s="308"/>
      <c r="GO8" s="308"/>
      <c r="GP8" s="308"/>
      <c r="GQ8" s="308"/>
      <c r="GR8" s="308"/>
      <c r="GS8" s="308"/>
      <c r="GT8" s="308"/>
      <c r="GU8" s="308"/>
      <c r="GV8" s="308"/>
      <c r="GW8" s="308"/>
      <c r="GX8" s="308"/>
      <c r="GY8" s="308"/>
      <c r="GZ8" s="308"/>
      <c r="HA8" s="308"/>
      <c r="HB8" s="308"/>
      <c r="HC8" s="308"/>
      <c r="HD8" s="308"/>
      <c r="HE8" s="308"/>
      <c r="HF8" s="308"/>
      <c r="HG8" s="308"/>
      <c r="HH8" s="308"/>
      <c r="HI8" s="308"/>
      <c r="HJ8" s="308"/>
      <c r="HK8" s="308"/>
      <c r="HL8" s="308"/>
      <c r="HM8" s="308"/>
      <c r="HN8" s="308"/>
      <c r="HO8" s="308"/>
      <c r="HP8" s="308"/>
      <c r="HQ8" s="308"/>
      <c r="HR8" s="308"/>
      <c r="HS8" s="308"/>
      <c r="HT8" s="308"/>
      <c r="HU8" s="308"/>
      <c r="HV8" s="308"/>
      <c r="HW8" s="308"/>
      <c r="HX8" s="308"/>
      <c r="HY8" s="308"/>
      <c r="HZ8" s="308"/>
      <c r="IA8" s="308"/>
      <c r="IB8" s="308"/>
      <c r="IC8" s="308"/>
      <c r="ID8" s="308"/>
      <c r="IE8" s="308"/>
      <c r="IF8" s="308"/>
      <c r="IG8" s="308"/>
      <c r="IH8" s="308"/>
      <c r="II8" s="308"/>
      <c r="IJ8" s="308"/>
      <c r="IK8" s="308"/>
      <c r="IL8" s="308"/>
      <c r="IM8" s="308"/>
      <c r="IN8" s="308"/>
      <c r="IO8" s="308"/>
      <c r="IP8" s="308"/>
      <c r="IQ8" s="308"/>
      <c r="IR8" s="308"/>
      <c r="IS8" s="308"/>
      <c r="IT8" s="308"/>
      <c r="IU8" s="308"/>
      <c r="IV8" s="308"/>
      <c r="IW8" s="308"/>
      <c r="IX8" s="308"/>
      <c r="IY8" s="308"/>
      <c r="IZ8" s="308"/>
      <c r="JA8" s="308"/>
      <c r="JB8" s="308"/>
      <c r="JC8" s="308"/>
      <c r="JD8" s="308"/>
      <c r="JE8" s="308"/>
      <c r="JF8" s="308"/>
      <c r="JG8" s="308"/>
      <c r="JH8" s="308"/>
      <c r="JI8" s="308"/>
      <c r="JJ8" s="308"/>
      <c r="JK8" s="308"/>
      <c r="JL8" s="308"/>
      <c r="JM8" s="308"/>
      <c r="JN8" s="308"/>
      <c r="JO8" s="308"/>
      <c r="JP8" s="308"/>
      <c r="JQ8" s="308"/>
      <c r="JR8" s="308"/>
      <c r="JS8" s="308"/>
      <c r="JT8" s="308"/>
      <c r="JU8" s="308"/>
      <c r="JV8" s="308"/>
      <c r="JW8" s="308"/>
      <c r="JX8" s="308"/>
      <c r="JY8" s="308"/>
      <c r="JZ8" s="308"/>
      <c r="KA8" s="308"/>
      <c r="KB8" s="308"/>
      <c r="KC8" s="308"/>
      <c r="KD8" s="308"/>
      <c r="KE8" s="308"/>
      <c r="KF8" s="308"/>
      <c r="KG8" s="308"/>
      <c r="KH8" s="308"/>
      <c r="KI8" s="308"/>
      <c r="KJ8" s="308"/>
      <c r="KK8" s="308"/>
      <c r="KL8" s="308"/>
      <c r="KM8" s="308"/>
      <c r="KN8" s="308"/>
      <c r="KO8" s="308"/>
      <c r="KP8" s="308"/>
      <c r="KQ8" s="308"/>
      <c r="KR8" s="308"/>
      <c r="KS8" s="308"/>
      <c r="KT8" s="308"/>
      <c r="KU8" s="308"/>
      <c r="KV8" s="308"/>
      <c r="KW8" s="308"/>
      <c r="KX8" s="308"/>
      <c r="KY8" s="308"/>
      <c r="KZ8" s="308"/>
      <c r="LA8" s="308"/>
      <c r="LB8" s="308"/>
      <c r="LC8" s="308"/>
      <c r="LD8" s="308"/>
      <c r="LE8" s="308"/>
      <c r="LF8" s="308"/>
      <c r="LG8" s="308"/>
      <c r="LH8" s="308"/>
      <c r="LI8" s="308"/>
      <c r="LJ8" s="308"/>
      <c r="LK8" s="308"/>
      <c r="LL8" s="308"/>
      <c r="LM8" s="308"/>
      <c r="LN8" s="308"/>
      <c r="LO8" s="308"/>
      <c r="LP8" s="308"/>
      <c r="LQ8" s="308"/>
      <c r="LR8" s="308"/>
      <c r="LS8" s="308"/>
      <c r="LT8" s="308"/>
      <c r="LU8" s="308"/>
      <c r="LV8" s="308"/>
      <c r="LW8" s="308"/>
      <c r="LX8" s="308"/>
      <c r="LY8" s="308"/>
      <c r="LZ8" s="308"/>
      <c r="MA8" s="308"/>
      <c r="MB8" s="308"/>
      <c r="MC8" s="308"/>
      <c r="MD8" s="308"/>
      <c r="ME8" s="308"/>
      <c r="MF8" s="308"/>
      <c r="MG8" s="308"/>
      <c r="MH8" s="308"/>
      <c r="MI8" s="308"/>
      <c r="MJ8" s="308"/>
      <c r="MK8" s="308"/>
      <c r="ML8" s="308"/>
      <c r="MM8" s="308"/>
      <c r="MN8" s="308"/>
      <c r="MO8" s="308"/>
      <c r="MP8" s="308"/>
      <c r="MQ8" s="308"/>
      <c r="MR8" s="308"/>
      <c r="MS8" s="308"/>
      <c r="MT8" s="308"/>
      <c r="MU8" s="308"/>
      <c r="MV8" s="308"/>
      <c r="MW8" s="308"/>
      <c r="MX8" s="308"/>
      <c r="MY8" s="308"/>
      <c r="MZ8" s="308"/>
      <c r="NA8" s="308"/>
      <c r="NB8" s="308"/>
      <c r="NC8" s="308"/>
      <c r="ND8" s="308"/>
      <c r="NE8" s="308"/>
      <c r="NF8" s="308"/>
      <c r="NG8" s="308"/>
      <c r="NH8" s="308"/>
      <c r="NI8" s="308"/>
      <c r="NJ8" s="308"/>
      <c r="NK8" s="308"/>
      <c r="NL8" s="308"/>
      <c r="NM8" s="308"/>
      <c r="NN8" s="308"/>
      <c r="NO8" s="308"/>
      <c r="NP8" s="308"/>
      <c r="NQ8" s="308"/>
      <c r="NR8" s="308"/>
      <c r="NS8" s="308"/>
      <c r="NT8" s="308"/>
      <c r="NU8" s="308"/>
      <c r="NV8" s="308"/>
      <c r="NW8" s="308"/>
      <c r="NX8" s="308"/>
      <c r="NY8" s="308"/>
      <c r="NZ8" s="308"/>
      <c r="OA8" s="308"/>
      <c r="OB8" s="308"/>
      <c r="OC8" s="308"/>
      <c r="OD8" s="308"/>
      <c r="OE8" s="308"/>
      <c r="OF8" s="308"/>
      <c r="OG8" s="308"/>
      <c r="OH8" s="308"/>
      <c r="OI8" s="308"/>
      <c r="OJ8" s="308"/>
      <c r="OK8" s="308"/>
      <c r="OL8" s="308"/>
      <c r="OM8" s="308"/>
      <c r="ON8" s="308"/>
      <c r="OO8" s="308"/>
      <c r="OP8" s="308"/>
      <c r="OQ8" s="308"/>
      <c r="OR8" s="308"/>
      <c r="OS8" s="308"/>
      <c r="OT8" s="308"/>
      <c r="OU8" s="308"/>
      <c r="OV8" s="308"/>
      <c r="OW8" s="308"/>
      <c r="OX8" s="308"/>
      <c r="OY8" s="308"/>
      <c r="OZ8" s="308"/>
      <c r="PA8" s="308"/>
      <c r="PB8" s="308"/>
      <c r="PC8" s="308"/>
      <c r="PD8" s="308"/>
      <c r="PE8" s="308"/>
      <c r="PF8" s="308"/>
      <c r="PG8" s="308"/>
      <c r="PH8" s="308"/>
      <c r="PI8" s="308"/>
      <c r="PJ8" s="308"/>
      <c r="PK8" s="308"/>
      <c r="PL8" s="308"/>
      <c r="PM8" s="308"/>
      <c r="PN8" s="308"/>
      <c r="PO8" s="308"/>
      <c r="PP8" s="308"/>
      <c r="PQ8" s="308"/>
      <c r="PR8" s="308"/>
      <c r="PS8" s="308"/>
      <c r="PT8" s="308"/>
      <c r="PU8" s="308"/>
      <c r="PV8" s="308"/>
      <c r="PW8" s="308"/>
      <c r="PX8" s="308"/>
      <c r="PY8" s="308"/>
      <c r="PZ8" s="308"/>
      <c r="QA8" s="308"/>
      <c r="QB8" s="308"/>
      <c r="QC8" s="308"/>
      <c r="QD8" s="308"/>
      <c r="QE8" s="308"/>
      <c r="QF8" s="308"/>
      <c r="QG8" s="308"/>
      <c r="QH8" s="308"/>
      <c r="QI8" s="308"/>
      <c r="QJ8" s="308"/>
      <c r="QK8" s="308"/>
      <c r="QL8" s="308"/>
      <c r="QM8" s="308"/>
      <c r="QN8" s="308"/>
      <c r="QO8" s="308"/>
      <c r="QP8" s="308"/>
      <c r="QQ8" s="308"/>
      <c r="QR8" s="308"/>
      <c r="QS8" s="308"/>
      <c r="QT8" s="308"/>
      <c r="QU8" s="308"/>
      <c r="QV8" s="308"/>
      <c r="QW8" s="308"/>
      <c r="QX8" s="308"/>
      <c r="QY8" s="308"/>
      <c r="QZ8" s="308"/>
      <c r="RA8" s="308"/>
      <c r="RB8" s="308"/>
      <c r="RC8" s="308"/>
      <c r="RD8" s="308"/>
      <c r="RE8" s="308"/>
      <c r="RF8" s="308"/>
      <c r="RG8" s="308"/>
      <c r="RH8" s="308"/>
      <c r="RI8" s="308"/>
      <c r="RJ8" s="308"/>
      <c r="RK8" s="308"/>
      <c r="RL8" s="308"/>
      <c r="RM8" s="308"/>
      <c r="RN8" s="308"/>
      <c r="RO8" s="308"/>
      <c r="RP8" s="308"/>
      <c r="RQ8" s="308"/>
      <c r="RR8" s="308"/>
      <c r="RS8" s="308"/>
      <c r="RT8" s="308"/>
      <c r="RU8" s="308"/>
      <c r="RV8" s="308"/>
      <c r="RW8" s="308"/>
      <c r="RX8" s="308"/>
      <c r="RY8" s="308"/>
      <c r="RZ8" s="308"/>
      <c r="SA8" s="308"/>
      <c r="SB8" s="308"/>
      <c r="SC8" s="308"/>
      <c r="SD8" s="308"/>
      <c r="SE8" s="308"/>
      <c r="SF8" s="308"/>
      <c r="SG8" s="308"/>
      <c r="SH8" s="308"/>
      <c r="SI8" s="308"/>
      <c r="SJ8" s="308"/>
      <c r="SK8" s="308"/>
      <c r="SL8" s="308"/>
      <c r="SM8" s="308"/>
      <c r="SN8" s="308"/>
      <c r="SO8" s="308"/>
      <c r="SP8" s="308"/>
      <c r="SQ8" s="308"/>
      <c r="SR8" s="308"/>
      <c r="SS8" s="308"/>
      <c r="ST8" s="308"/>
      <c r="SU8" s="308"/>
      <c r="SV8" s="308"/>
      <c r="SW8" s="308"/>
      <c r="SX8" s="308"/>
      <c r="SY8" s="308"/>
      <c r="SZ8" s="308"/>
      <c r="TA8" s="308"/>
      <c r="TB8" s="308"/>
      <c r="TC8" s="308"/>
      <c r="TD8" s="308"/>
      <c r="TE8" s="308"/>
      <c r="TF8" s="308"/>
      <c r="TG8" s="308"/>
      <c r="TH8" s="308"/>
      <c r="TI8" s="308"/>
      <c r="TJ8" s="308"/>
      <c r="TK8" s="308"/>
      <c r="TL8" s="308"/>
      <c r="TM8" s="308"/>
      <c r="TN8" s="308"/>
      <c r="TO8" s="308"/>
      <c r="TP8" s="308"/>
      <c r="TQ8" s="308"/>
      <c r="TR8" s="308"/>
      <c r="TS8" s="308"/>
      <c r="TT8" s="308"/>
      <c r="TU8" s="308"/>
      <c r="TV8" s="308"/>
      <c r="TW8" s="308"/>
      <c r="TX8" s="308"/>
      <c r="TY8" s="308"/>
      <c r="TZ8" s="308"/>
      <c r="UA8" s="308"/>
      <c r="UB8" s="308"/>
      <c r="UC8" s="308"/>
      <c r="UD8" s="308"/>
      <c r="UE8" s="308"/>
      <c r="UF8" s="308"/>
      <c r="UG8" s="308"/>
      <c r="UH8" s="308"/>
      <c r="UI8" s="308"/>
      <c r="UJ8" s="308"/>
      <c r="UK8" s="308"/>
      <c r="UL8" s="308"/>
      <c r="UM8" s="308"/>
      <c r="UN8" s="308"/>
      <c r="UO8" s="308"/>
      <c r="UP8" s="308"/>
      <c r="UQ8" s="308"/>
      <c r="UR8" s="308"/>
      <c r="US8" s="308"/>
      <c r="UT8" s="308"/>
      <c r="UU8" s="308"/>
      <c r="UV8" s="308"/>
      <c r="UW8" s="308"/>
      <c r="UX8" s="308"/>
      <c r="UY8" s="308"/>
      <c r="UZ8" s="308"/>
      <c r="VA8" s="308"/>
      <c r="VB8" s="308"/>
      <c r="VC8" s="308"/>
      <c r="VD8" s="308"/>
      <c r="VE8" s="308"/>
      <c r="VF8" s="308"/>
      <c r="VG8" s="308"/>
      <c r="VH8" s="308"/>
      <c r="VI8" s="308"/>
      <c r="VJ8" s="308"/>
      <c r="VK8" s="308"/>
      <c r="VL8" s="308"/>
      <c r="VM8" s="308"/>
      <c r="VN8" s="308"/>
      <c r="VO8" s="308"/>
      <c r="VP8" s="308"/>
      <c r="VQ8" s="308"/>
      <c r="VR8" s="308"/>
      <c r="VS8" s="308"/>
      <c r="VT8" s="308"/>
      <c r="VU8" s="308"/>
      <c r="VV8" s="308"/>
      <c r="VW8" s="308"/>
      <c r="VX8" s="308"/>
      <c r="VY8" s="308"/>
      <c r="VZ8" s="308"/>
      <c r="WA8" s="308"/>
      <c r="WB8" s="308"/>
      <c r="WC8" s="308"/>
      <c r="WD8" s="308"/>
      <c r="WE8" s="308"/>
      <c r="WF8" s="308"/>
      <c r="WG8" s="308"/>
      <c r="WH8" s="308"/>
      <c r="WI8" s="308"/>
      <c r="WJ8" s="308"/>
      <c r="WK8" s="308"/>
      <c r="WL8" s="308"/>
      <c r="WM8" s="308"/>
      <c r="WN8" s="308"/>
      <c r="WO8" s="308"/>
      <c r="WP8" s="308"/>
      <c r="WQ8" s="308"/>
      <c r="WR8" s="308"/>
      <c r="WS8" s="308"/>
      <c r="WT8" s="308"/>
      <c r="WU8" s="308"/>
      <c r="WV8" s="308"/>
      <c r="WW8" s="308"/>
      <c r="WX8" s="308"/>
      <c r="WY8" s="308"/>
      <c r="WZ8" s="308"/>
      <c r="XA8" s="308"/>
      <c r="XB8" s="308"/>
      <c r="XC8" s="308"/>
      <c r="XD8" s="308"/>
      <c r="XE8" s="308"/>
      <c r="XF8" s="308"/>
      <c r="XG8" s="308"/>
      <c r="XH8" s="308"/>
      <c r="XI8" s="308"/>
      <c r="XJ8" s="308"/>
      <c r="XK8" s="308"/>
      <c r="XL8" s="308"/>
      <c r="XM8" s="308"/>
      <c r="XN8" s="308"/>
      <c r="XO8" s="308"/>
      <c r="XP8" s="308"/>
      <c r="XQ8" s="308"/>
      <c r="XR8" s="308"/>
      <c r="XS8" s="308"/>
      <c r="XT8" s="308"/>
      <c r="XU8" s="308"/>
      <c r="XV8" s="308"/>
      <c r="XW8" s="308"/>
      <c r="XX8" s="308"/>
      <c r="XY8" s="308"/>
      <c r="XZ8" s="308"/>
      <c r="YA8" s="308"/>
      <c r="YB8" s="308"/>
      <c r="YC8" s="308"/>
      <c r="YD8" s="308"/>
      <c r="YE8" s="308"/>
      <c r="YF8" s="308"/>
      <c r="YG8" s="308"/>
      <c r="YH8" s="308"/>
      <c r="YI8" s="308"/>
      <c r="YJ8" s="308"/>
      <c r="YK8" s="308"/>
      <c r="YL8" s="308"/>
      <c r="YM8" s="308"/>
      <c r="YN8" s="308"/>
      <c r="YO8" s="308"/>
      <c r="YP8" s="308"/>
      <c r="YQ8" s="308"/>
      <c r="YR8" s="308"/>
      <c r="YS8" s="308"/>
      <c r="YT8" s="308"/>
      <c r="YU8" s="308"/>
      <c r="YV8" s="308"/>
      <c r="YW8" s="308"/>
      <c r="YX8" s="308"/>
      <c r="YY8" s="308"/>
      <c r="YZ8" s="308"/>
      <c r="ZA8" s="308"/>
      <c r="ZB8" s="308"/>
      <c r="ZC8" s="308"/>
      <c r="ZD8" s="308"/>
      <c r="ZE8" s="308"/>
      <c r="ZF8" s="308"/>
      <c r="ZG8" s="308"/>
      <c r="ZH8" s="308"/>
      <c r="ZI8" s="308"/>
      <c r="ZJ8" s="308"/>
      <c r="ZK8" s="308"/>
      <c r="ZL8" s="308"/>
      <c r="ZM8" s="308"/>
      <c r="ZN8" s="308"/>
      <c r="ZO8" s="308"/>
      <c r="ZP8" s="308"/>
      <c r="ZQ8" s="308"/>
      <c r="ZR8" s="308"/>
      <c r="ZS8" s="308"/>
      <c r="ZT8" s="308"/>
      <c r="ZU8" s="308"/>
      <c r="ZV8" s="308"/>
      <c r="ZW8" s="308"/>
      <c r="ZX8" s="308"/>
      <c r="ZY8" s="308"/>
      <c r="ZZ8" s="308"/>
      <c r="AAA8" s="308"/>
      <c r="AAB8" s="308"/>
      <c r="AAC8" s="308"/>
      <c r="AAD8" s="308"/>
      <c r="AAE8" s="308"/>
      <c r="AAF8" s="308"/>
      <c r="AAG8" s="308"/>
      <c r="AAH8" s="308"/>
      <c r="AAI8" s="308"/>
      <c r="AAJ8" s="308"/>
      <c r="AAK8" s="308"/>
      <c r="AAL8" s="308"/>
      <c r="AAM8" s="308"/>
      <c r="AAN8" s="308"/>
      <c r="AAO8" s="308"/>
      <c r="AAP8" s="308"/>
      <c r="AAQ8" s="308"/>
      <c r="AAR8" s="308"/>
      <c r="AAS8" s="308"/>
      <c r="AAT8" s="308"/>
      <c r="AAU8" s="308"/>
      <c r="AAV8" s="308"/>
      <c r="AAW8" s="308"/>
      <c r="AAX8" s="308"/>
      <c r="AAY8" s="308"/>
      <c r="AAZ8" s="308"/>
      <c r="ABA8" s="308"/>
      <c r="ABB8" s="308"/>
      <c r="ABC8" s="308"/>
      <c r="ABD8" s="308"/>
      <c r="ABE8" s="308"/>
      <c r="ABF8" s="308"/>
      <c r="ABG8" s="308"/>
      <c r="ABH8" s="308"/>
      <c r="ABI8" s="308"/>
      <c r="ABJ8" s="308"/>
      <c r="ABK8" s="308"/>
      <c r="ABL8" s="308"/>
      <c r="ABM8" s="308"/>
      <c r="ABN8" s="308"/>
      <c r="ABO8" s="308"/>
      <c r="ABP8" s="308"/>
      <c r="ABQ8" s="308"/>
      <c r="ABR8" s="308"/>
      <c r="ABS8" s="308"/>
      <c r="ABT8" s="308"/>
      <c r="ABU8" s="308"/>
      <c r="ABV8" s="308"/>
      <c r="ABW8" s="308"/>
      <c r="ABX8" s="308"/>
      <c r="ABY8" s="308"/>
      <c r="ABZ8" s="308"/>
      <c r="ACA8" s="308"/>
      <c r="ACB8" s="308"/>
      <c r="ACC8" s="308"/>
      <c r="ACD8" s="308"/>
      <c r="ACE8" s="308"/>
      <c r="ACF8" s="308"/>
      <c r="ACG8" s="308"/>
      <c r="ACH8" s="308"/>
      <c r="ACI8" s="308"/>
      <c r="ACJ8" s="308"/>
      <c r="ACK8" s="308"/>
      <c r="ACL8" s="308"/>
      <c r="ACM8" s="308"/>
      <c r="ACN8" s="308"/>
      <c r="ACO8" s="308"/>
      <c r="ACP8" s="308"/>
      <c r="ACQ8" s="308"/>
      <c r="ACR8" s="308"/>
      <c r="ACS8" s="308"/>
      <c r="ACT8" s="308"/>
      <c r="ACU8" s="308"/>
      <c r="ACV8" s="308"/>
      <c r="ACW8" s="308"/>
      <c r="ACX8" s="308"/>
      <c r="ACY8" s="308"/>
      <c r="ACZ8" s="308"/>
      <c r="ADA8" s="308"/>
      <c r="ADB8" s="308"/>
      <c r="ADC8" s="308"/>
      <c r="ADD8" s="308"/>
      <c r="ADE8" s="308"/>
      <c r="ADF8" s="308"/>
      <c r="ADG8" s="308"/>
      <c r="ADH8" s="308"/>
      <c r="ADI8" s="308"/>
      <c r="ADJ8" s="308"/>
      <c r="ADK8" s="308"/>
      <c r="ADL8" s="308"/>
      <c r="ADM8" s="308"/>
      <c r="ADN8" s="308"/>
      <c r="ADO8" s="308"/>
      <c r="ADP8" s="308"/>
      <c r="ADQ8" s="308"/>
      <c r="ADR8" s="308"/>
      <c r="ADS8" s="308"/>
      <c r="ADT8" s="308"/>
      <c r="ADU8" s="308"/>
      <c r="ADV8" s="308"/>
      <c r="ADW8" s="308"/>
      <c r="ADX8" s="308"/>
      <c r="ADY8" s="308"/>
      <c r="ADZ8" s="308"/>
      <c r="AEA8" s="308"/>
      <c r="AEB8" s="308"/>
      <c r="AEC8" s="308"/>
      <c r="AED8" s="308"/>
      <c r="AEE8" s="308"/>
      <c r="AEF8" s="308"/>
      <c r="AEG8" s="308"/>
      <c r="AEH8" s="308"/>
      <c r="AEI8" s="308"/>
      <c r="AEJ8" s="308"/>
      <c r="AEK8" s="308"/>
      <c r="AEL8" s="308"/>
      <c r="AEM8" s="308"/>
      <c r="AEN8" s="308"/>
      <c r="AEO8" s="308"/>
      <c r="AEP8" s="308"/>
      <c r="AEQ8" s="308"/>
      <c r="AER8" s="308"/>
      <c r="AES8" s="308"/>
      <c r="AET8" s="308"/>
      <c r="AEU8" s="308"/>
      <c r="AEV8" s="308"/>
      <c r="AEW8" s="308"/>
      <c r="AEX8" s="308"/>
      <c r="AEY8" s="308"/>
      <c r="AEZ8" s="308"/>
      <c r="AFA8" s="308"/>
      <c r="AFB8" s="308"/>
      <c r="AFC8" s="308"/>
      <c r="AFD8" s="308"/>
      <c r="AFE8" s="308"/>
      <c r="AFF8" s="308"/>
      <c r="AFG8" s="308"/>
      <c r="AFH8" s="308"/>
      <c r="AFI8" s="308"/>
      <c r="AFJ8" s="308"/>
      <c r="AFK8" s="308"/>
      <c r="AFL8" s="308"/>
      <c r="AFM8" s="308"/>
      <c r="AFN8" s="308"/>
      <c r="AFO8" s="308"/>
      <c r="AFP8" s="308"/>
      <c r="AFQ8" s="308"/>
      <c r="AFR8" s="308"/>
      <c r="AFS8" s="308"/>
      <c r="AFT8" s="308"/>
      <c r="AFU8" s="308"/>
      <c r="AFV8" s="308"/>
      <c r="AFW8" s="308"/>
      <c r="AFX8" s="308"/>
      <c r="AFY8" s="308"/>
      <c r="AFZ8" s="308"/>
      <c r="AGA8" s="308"/>
      <c r="AGB8" s="308"/>
      <c r="AGC8" s="308"/>
      <c r="AGD8" s="308"/>
      <c r="AGE8" s="308"/>
      <c r="AGF8" s="308"/>
      <c r="AGG8" s="308"/>
      <c r="AGH8" s="308"/>
      <c r="AGI8" s="308"/>
      <c r="AGJ8" s="308"/>
      <c r="AGK8" s="308"/>
      <c r="AGL8" s="308"/>
      <c r="AGM8" s="308"/>
      <c r="AGN8" s="308"/>
      <c r="AGO8" s="308"/>
      <c r="AGP8" s="308"/>
      <c r="AGQ8" s="308"/>
      <c r="AGR8" s="308"/>
      <c r="AGS8" s="308"/>
      <c r="AGT8" s="308"/>
      <c r="AGU8" s="308"/>
      <c r="AGV8" s="308"/>
      <c r="AGW8" s="308"/>
      <c r="AGX8" s="308"/>
      <c r="AGY8" s="308"/>
      <c r="AGZ8" s="308"/>
      <c r="AHA8" s="308"/>
      <c r="AHB8" s="308"/>
      <c r="AHC8" s="308"/>
      <c r="AHD8" s="308"/>
      <c r="AHE8" s="308"/>
      <c r="AHF8" s="308"/>
      <c r="AHG8" s="308"/>
      <c r="AHH8" s="308"/>
      <c r="AHI8" s="308"/>
      <c r="AHJ8" s="308"/>
      <c r="AHK8" s="308"/>
      <c r="AHL8" s="308"/>
      <c r="AHM8" s="308"/>
      <c r="AHN8" s="308"/>
      <c r="AHO8" s="308"/>
      <c r="AHP8" s="308"/>
      <c r="AHQ8" s="308"/>
      <c r="AHR8" s="308"/>
      <c r="AHS8" s="308"/>
      <c r="AHT8" s="308"/>
      <c r="AHU8" s="308"/>
      <c r="AHV8" s="308"/>
      <c r="AHW8" s="308"/>
      <c r="AHX8" s="308"/>
      <c r="AHY8" s="308"/>
      <c r="AHZ8" s="308"/>
      <c r="AIA8" s="308"/>
      <c r="AIB8" s="308"/>
      <c r="AIC8" s="308"/>
      <c r="AID8" s="308"/>
      <c r="AIE8" s="308"/>
      <c r="AIF8" s="308"/>
      <c r="AIG8" s="308"/>
      <c r="AIH8" s="308"/>
      <c r="AII8" s="308"/>
      <c r="AIJ8" s="308"/>
      <c r="AIK8" s="308"/>
      <c r="AIL8" s="308"/>
      <c r="AIM8" s="308"/>
      <c r="AIN8" s="308"/>
      <c r="AIO8" s="308"/>
      <c r="AIP8" s="308"/>
      <c r="AIQ8" s="308"/>
      <c r="AIR8" s="308"/>
      <c r="AIS8" s="308"/>
      <c r="AIT8" s="308"/>
      <c r="AIU8" s="308"/>
      <c r="AIV8" s="308"/>
      <c r="AIW8" s="308"/>
      <c r="AIX8" s="308"/>
      <c r="AIY8" s="308"/>
      <c r="AIZ8" s="308"/>
      <c r="AJA8" s="308"/>
      <c r="AJB8" s="308"/>
      <c r="AJC8" s="308"/>
    </row>
    <row r="9" spans="1:940" s="546" customFormat="1">
      <c r="A9" s="113">
        <f t="shared" si="0"/>
        <v>2</v>
      </c>
      <c r="B9" s="113">
        <v>304</v>
      </c>
      <c r="C9" s="113" t="s">
        <v>65</v>
      </c>
      <c r="D9" s="117">
        <v>54950000</v>
      </c>
      <c r="E9" s="117">
        <v>54950000</v>
      </c>
      <c r="F9" s="117">
        <f t="shared" si="1"/>
        <v>0</v>
      </c>
      <c r="G9" s="117">
        <v>54950000</v>
      </c>
      <c r="H9" s="117">
        <v>54780522.609999999</v>
      </c>
      <c r="I9" s="117">
        <v>149074.13</v>
      </c>
      <c r="J9" s="117"/>
      <c r="K9" s="117">
        <f t="shared" si="2"/>
        <v>149074.13</v>
      </c>
      <c r="L9" s="117">
        <f t="shared" si="3"/>
        <v>54929596.740000002</v>
      </c>
      <c r="M9" s="117">
        <f t="shared" ref="M9:M15" si="9">P9+S9</f>
        <v>20403.259999997914</v>
      </c>
      <c r="N9" s="310">
        <v>0</v>
      </c>
      <c r="O9" s="117">
        <f t="shared" ref="O9:O59" si="10">D9-L9-M9-N9</f>
        <v>0</v>
      </c>
      <c r="P9" s="117">
        <f t="shared" si="4"/>
        <v>20403.259999997914</v>
      </c>
      <c r="Q9" s="117"/>
      <c r="R9" s="117"/>
      <c r="S9" s="117">
        <f t="shared" si="5"/>
        <v>0</v>
      </c>
      <c r="T9" s="117">
        <f t="shared" si="6"/>
        <v>0</v>
      </c>
      <c r="U9" s="117">
        <f t="shared" si="7"/>
        <v>0</v>
      </c>
      <c r="V9" s="117">
        <f t="shared" si="8"/>
        <v>0</v>
      </c>
      <c r="W9" s="543"/>
      <c r="X9" s="117"/>
      <c r="Y9" s="117"/>
      <c r="Z9" s="113"/>
      <c r="AA9" s="113">
        <v>746000</v>
      </c>
      <c r="AB9" s="117"/>
      <c r="AC9" s="117"/>
      <c r="AD9" s="117"/>
      <c r="AE9" s="117"/>
      <c r="AF9" s="117"/>
      <c r="AG9" s="117"/>
      <c r="AH9" s="117"/>
      <c r="AI9" s="117"/>
      <c r="AJ9" s="117"/>
      <c r="AK9" s="117">
        <f t="shared" ref="AK9:AK50" si="11">SUM(AB9:AJ9)</f>
        <v>0</v>
      </c>
      <c r="AL9" s="565"/>
      <c r="AM9" s="566">
        <f t="shared" ref="AM9:AM59" si="12">AK9+AL9</f>
        <v>0</v>
      </c>
      <c r="AN9" s="117">
        <f t="shared" ref="AN9:AN59" si="13">U9-AM9</f>
        <v>0</v>
      </c>
      <c r="AO9" s="117">
        <f t="shared" ref="AO9:AO59" si="14">AM9-AP9-AQ9-AR9-AS9</f>
        <v>0</v>
      </c>
      <c r="AP9" s="565"/>
      <c r="AQ9" s="565"/>
      <c r="AR9" s="565"/>
      <c r="AS9" s="565"/>
      <c r="AT9" s="117">
        <f t="shared" ref="AT9:AT59" si="15">AL9-AU9-AV9-AW9-AX9</f>
        <v>0</v>
      </c>
      <c r="AU9" s="565"/>
      <c r="AV9" s="565"/>
      <c r="AW9" s="565"/>
      <c r="AX9" s="565"/>
      <c r="AY9" s="117">
        <f t="shared" ref="AY9:AY59" si="16">AN9-AZ9-BA9-BB9-BC9</f>
        <v>0</v>
      </c>
      <c r="AZ9" s="565"/>
      <c r="BA9" s="565"/>
      <c r="BB9" s="565"/>
      <c r="BC9" s="565"/>
      <c r="BD9" s="308"/>
      <c r="BE9" s="308"/>
      <c r="BF9" s="308"/>
      <c r="BG9" s="308"/>
      <c r="BH9" s="308"/>
      <c r="BI9" s="308"/>
      <c r="BJ9" s="308"/>
      <c r="BK9" s="308"/>
      <c r="BL9" s="308"/>
      <c r="BM9" s="308"/>
      <c r="BN9" s="308"/>
      <c r="BO9" s="308"/>
      <c r="BP9" s="308"/>
      <c r="BQ9" s="308"/>
      <c r="BR9" s="308"/>
      <c r="BS9" s="308"/>
      <c r="BT9" s="308"/>
      <c r="BU9" s="308"/>
      <c r="BV9" s="308"/>
      <c r="BW9" s="308"/>
      <c r="BX9" s="308"/>
      <c r="BY9" s="308"/>
      <c r="BZ9" s="308"/>
      <c r="CA9" s="308"/>
      <c r="CB9" s="308"/>
      <c r="CC9" s="308"/>
      <c r="CD9" s="308"/>
      <c r="CE9" s="308"/>
      <c r="CF9" s="308"/>
      <c r="CG9" s="308"/>
      <c r="CH9" s="308"/>
      <c r="CI9" s="308"/>
      <c r="CJ9" s="308"/>
      <c r="CK9" s="308"/>
      <c r="CL9" s="308"/>
      <c r="CM9" s="308"/>
      <c r="CN9" s="308"/>
      <c r="CO9" s="308"/>
      <c r="CP9" s="308"/>
      <c r="CQ9" s="308"/>
      <c r="CR9" s="308"/>
      <c r="CS9" s="308"/>
      <c r="CT9" s="308"/>
      <c r="CU9" s="308"/>
      <c r="CV9" s="308"/>
      <c r="CW9" s="308"/>
      <c r="CX9" s="308"/>
      <c r="CY9" s="308"/>
      <c r="CZ9" s="308"/>
      <c r="DA9" s="308"/>
      <c r="DB9" s="308"/>
      <c r="DC9" s="308"/>
      <c r="DD9" s="308"/>
      <c r="DE9" s="308"/>
      <c r="DF9" s="308"/>
      <c r="DG9" s="308"/>
      <c r="DH9" s="308"/>
      <c r="DI9" s="308"/>
      <c r="DJ9" s="308"/>
      <c r="DK9" s="308"/>
      <c r="DL9" s="308"/>
      <c r="DM9" s="308"/>
      <c r="DN9" s="308"/>
      <c r="DO9" s="308"/>
      <c r="DP9" s="308"/>
      <c r="DQ9" s="308"/>
      <c r="DR9" s="308"/>
      <c r="DS9" s="308"/>
      <c r="DT9" s="308"/>
      <c r="DU9" s="308"/>
      <c r="DV9" s="308"/>
      <c r="DW9" s="308"/>
      <c r="DX9" s="308"/>
      <c r="DY9" s="308"/>
      <c r="DZ9" s="308"/>
      <c r="EA9" s="308"/>
      <c r="EB9" s="308"/>
      <c r="EC9" s="308"/>
      <c r="ED9" s="308"/>
      <c r="EE9" s="308"/>
      <c r="EF9" s="308"/>
      <c r="EG9" s="308"/>
      <c r="EH9" s="308"/>
      <c r="EI9" s="308"/>
      <c r="EJ9" s="308"/>
      <c r="EK9" s="308"/>
      <c r="EL9" s="308"/>
      <c r="EM9" s="308"/>
      <c r="EN9" s="308"/>
      <c r="EO9" s="308"/>
      <c r="EP9" s="308"/>
      <c r="EQ9" s="308"/>
      <c r="ER9" s="308"/>
      <c r="ES9" s="308"/>
      <c r="ET9" s="308"/>
      <c r="EU9" s="308"/>
      <c r="EV9" s="308"/>
      <c r="EW9" s="308"/>
      <c r="EX9" s="308"/>
      <c r="EY9" s="308"/>
      <c r="EZ9" s="308"/>
      <c r="FA9" s="308"/>
      <c r="FB9" s="308"/>
      <c r="FC9" s="308"/>
      <c r="FD9" s="308"/>
      <c r="FE9" s="308"/>
      <c r="FF9" s="308"/>
      <c r="FG9" s="308"/>
      <c r="FH9" s="308"/>
      <c r="FI9" s="308"/>
      <c r="FJ9" s="308"/>
      <c r="FK9" s="308"/>
      <c r="FL9" s="308"/>
      <c r="FM9" s="308"/>
      <c r="FN9" s="308"/>
      <c r="FO9" s="308"/>
      <c r="FP9" s="308"/>
      <c r="FQ9" s="308"/>
      <c r="FR9" s="308"/>
      <c r="FS9" s="308"/>
      <c r="FT9" s="308"/>
      <c r="FU9" s="308"/>
      <c r="FV9" s="308"/>
      <c r="FW9" s="308"/>
      <c r="FX9" s="308"/>
      <c r="FY9" s="308"/>
      <c r="FZ9" s="308"/>
      <c r="GA9" s="308"/>
      <c r="GB9" s="308"/>
      <c r="GC9" s="308"/>
      <c r="GD9" s="308"/>
      <c r="GE9" s="308"/>
      <c r="GF9" s="308"/>
      <c r="GG9" s="308"/>
      <c r="GH9" s="308"/>
      <c r="GI9" s="308"/>
      <c r="GJ9" s="308"/>
      <c r="GK9" s="308"/>
      <c r="GL9" s="308"/>
      <c r="GM9" s="308"/>
      <c r="GN9" s="308"/>
      <c r="GO9" s="308"/>
      <c r="GP9" s="308"/>
      <c r="GQ9" s="308"/>
      <c r="GR9" s="308"/>
      <c r="GS9" s="308"/>
      <c r="GT9" s="308"/>
      <c r="GU9" s="308"/>
      <c r="GV9" s="308"/>
      <c r="GW9" s="308"/>
      <c r="GX9" s="308"/>
      <c r="GY9" s="308"/>
      <c r="GZ9" s="308"/>
      <c r="HA9" s="308"/>
      <c r="HB9" s="308"/>
      <c r="HC9" s="308"/>
      <c r="HD9" s="308"/>
      <c r="HE9" s="308"/>
      <c r="HF9" s="308"/>
      <c r="HG9" s="308"/>
      <c r="HH9" s="308"/>
      <c r="HI9" s="308"/>
      <c r="HJ9" s="308"/>
      <c r="HK9" s="308"/>
      <c r="HL9" s="308"/>
      <c r="HM9" s="308"/>
      <c r="HN9" s="308"/>
      <c r="HO9" s="308"/>
      <c r="HP9" s="308"/>
      <c r="HQ9" s="308"/>
      <c r="HR9" s="308"/>
      <c r="HS9" s="308"/>
      <c r="HT9" s="308"/>
      <c r="HU9" s="308"/>
      <c r="HV9" s="308"/>
      <c r="HW9" s="308"/>
      <c r="HX9" s="308"/>
      <c r="HY9" s="308"/>
      <c r="HZ9" s="308"/>
      <c r="IA9" s="308"/>
      <c r="IB9" s="308"/>
      <c r="IC9" s="308"/>
      <c r="ID9" s="308"/>
      <c r="IE9" s="308"/>
      <c r="IF9" s="308"/>
      <c r="IG9" s="308"/>
      <c r="IH9" s="308"/>
      <c r="II9" s="308"/>
      <c r="IJ9" s="308"/>
      <c r="IK9" s="308"/>
      <c r="IL9" s="308"/>
      <c r="IM9" s="308"/>
      <c r="IN9" s="308"/>
      <c r="IO9" s="308"/>
      <c r="IP9" s="308"/>
      <c r="IQ9" s="308"/>
      <c r="IR9" s="308"/>
      <c r="IS9" s="308"/>
      <c r="IT9" s="308"/>
      <c r="IU9" s="308"/>
      <c r="IV9" s="308"/>
      <c r="IW9" s="308"/>
      <c r="IX9" s="308"/>
      <c r="IY9" s="308"/>
      <c r="IZ9" s="308"/>
      <c r="JA9" s="308"/>
      <c r="JB9" s="308"/>
      <c r="JC9" s="308"/>
      <c r="JD9" s="308"/>
      <c r="JE9" s="308"/>
      <c r="JF9" s="308"/>
      <c r="JG9" s="308"/>
      <c r="JH9" s="308"/>
      <c r="JI9" s="308"/>
      <c r="JJ9" s="308"/>
      <c r="JK9" s="308"/>
      <c r="JL9" s="308"/>
      <c r="JM9" s="308"/>
      <c r="JN9" s="308"/>
      <c r="JO9" s="308"/>
      <c r="JP9" s="308"/>
      <c r="JQ9" s="308"/>
      <c r="JR9" s="308"/>
      <c r="JS9" s="308"/>
      <c r="JT9" s="308"/>
      <c r="JU9" s="308"/>
      <c r="JV9" s="308"/>
      <c r="JW9" s="308"/>
      <c r="JX9" s="308"/>
      <c r="JY9" s="308"/>
      <c r="JZ9" s="308"/>
      <c r="KA9" s="308"/>
      <c r="KB9" s="308"/>
      <c r="KC9" s="308"/>
      <c r="KD9" s="308"/>
      <c r="KE9" s="308"/>
      <c r="KF9" s="308"/>
      <c r="KG9" s="308"/>
      <c r="KH9" s="308"/>
      <c r="KI9" s="308"/>
      <c r="KJ9" s="308"/>
      <c r="KK9" s="308"/>
      <c r="KL9" s="308"/>
      <c r="KM9" s="308"/>
      <c r="KN9" s="308"/>
      <c r="KO9" s="308"/>
      <c r="KP9" s="308"/>
      <c r="KQ9" s="308"/>
      <c r="KR9" s="308"/>
      <c r="KS9" s="308"/>
      <c r="KT9" s="308"/>
      <c r="KU9" s="308"/>
      <c r="KV9" s="308"/>
      <c r="KW9" s="308"/>
      <c r="KX9" s="308"/>
      <c r="KY9" s="308"/>
      <c r="KZ9" s="308"/>
      <c r="LA9" s="308"/>
      <c r="LB9" s="308"/>
      <c r="LC9" s="308"/>
      <c r="LD9" s="308"/>
      <c r="LE9" s="308"/>
      <c r="LF9" s="308"/>
      <c r="LG9" s="308"/>
      <c r="LH9" s="308"/>
      <c r="LI9" s="308"/>
      <c r="LJ9" s="308"/>
      <c r="LK9" s="308"/>
      <c r="LL9" s="308"/>
      <c r="LM9" s="308"/>
      <c r="LN9" s="308"/>
      <c r="LO9" s="308"/>
      <c r="LP9" s="308"/>
      <c r="LQ9" s="308"/>
      <c r="LR9" s="308"/>
      <c r="LS9" s="308"/>
      <c r="LT9" s="308"/>
      <c r="LU9" s="308"/>
      <c r="LV9" s="308"/>
      <c r="LW9" s="308"/>
      <c r="LX9" s="308"/>
      <c r="LY9" s="308"/>
      <c r="LZ9" s="308"/>
      <c r="MA9" s="308"/>
      <c r="MB9" s="308"/>
      <c r="MC9" s="308"/>
      <c r="MD9" s="308"/>
      <c r="ME9" s="308"/>
      <c r="MF9" s="308"/>
      <c r="MG9" s="308"/>
      <c r="MH9" s="308"/>
      <c r="MI9" s="308"/>
      <c r="MJ9" s="308"/>
      <c r="MK9" s="308"/>
      <c r="ML9" s="308"/>
      <c r="MM9" s="308"/>
      <c r="MN9" s="308"/>
      <c r="MO9" s="308"/>
      <c r="MP9" s="308"/>
      <c r="MQ9" s="308"/>
      <c r="MR9" s="308"/>
      <c r="MS9" s="308"/>
      <c r="MT9" s="308"/>
      <c r="MU9" s="308"/>
      <c r="MV9" s="308"/>
      <c r="MW9" s="308"/>
      <c r="MX9" s="308"/>
      <c r="MY9" s="308"/>
      <c r="MZ9" s="308"/>
      <c r="NA9" s="308"/>
      <c r="NB9" s="308"/>
      <c r="NC9" s="308"/>
      <c r="ND9" s="308"/>
      <c r="NE9" s="308"/>
      <c r="NF9" s="308"/>
      <c r="NG9" s="308"/>
      <c r="NH9" s="308"/>
      <c r="NI9" s="308"/>
      <c r="NJ9" s="308"/>
      <c r="NK9" s="308"/>
      <c r="NL9" s="308"/>
      <c r="NM9" s="308"/>
      <c r="NN9" s="308"/>
      <c r="NO9" s="308"/>
      <c r="NP9" s="308"/>
      <c r="NQ9" s="308"/>
      <c r="NR9" s="308"/>
      <c r="NS9" s="308"/>
      <c r="NT9" s="308"/>
      <c r="NU9" s="308"/>
      <c r="NV9" s="308"/>
      <c r="NW9" s="308"/>
      <c r="NX9" s="308"/>
      <c r="NY9" s="308"/>
      <c r="NZ9" s="308"/>
      <c r="OA9" s="308"/>
      <c r="OB9" s="308"/>
      <c r="OC9" s="308"/>
      <c r="OD9" s="308"/>
      <c r="OE9" s="308"/>
      <c r="OF9" s="308"/>
      <c r="OG9" s="308"/>
      <c r="OH9" s="308"/>
      <c r="OI9" s="308"/>
      <c r="OJ9" s="308"/>
      <c r="OK9" s="308"/>
      <c r="OL9" s="308"/>
      <c r="OM9" s="308"/>
      <c r="ON9" s="308"/>
      <c r="OO9" s="308"/>
      <c r="OP9" s="308"/>
      <c r="OQ9" s="308"/>
      <c r="OR9" s="308"/>
      <c r="OS9" s="308"/>
      <c r="OT9" s="308"/>
      <c r="OU9" s="308"/>
      <c r="OV9" s="308"/>
      <c r="OW9" s="308"/>
      <c r="OX9" s="308"/>
      <c r="OY9" s="308"/>
      <c r="OZ9" s="308"/>
      <c r="PA9" s="308"/>
      <c r="PB9" s="308"/>
      <c r="PC9" s="308"/>
      <c r="PD9" s="308"/>
      <c r="PE9" s="308"/>
      <c r="PF9" s="308"/>
      <c r="PG9" s="308"/>
      <c r="PH9" s="308"/>
      <c r="PI9" s="308"/>
      <c r="PJ9" s="308"/>
      <c r="PK9" s="308"/>
      <c r="PL9" s="308"/>
      <c r="PM9" s="308"/>
      <c r="PN9" s="308"/>
      <c r="PO9" s="308"/>
      <c r="PP9" s="308"/>
      <c r="PQ9" s="308"/>
      <c r="PR9" s="308"/>
      <c r="PS9" s="308"/>
      <c r="PT9" s="308"/>
      <c r="PU9" s="308"/>
      <c r="PV9" s="308"/>
      <c r="PW9" s="308"/>
      <c r="PX9" s="308"/>
      <c r="PY9" s="308"/>
      <c r="PZ9" s="308"/>
      <c r="QA9" s="308"/>
      <c r="QB9" s="308"/>
      <c r="QC9" s="308"/>
      <c r="QD9" s="308"/>
      <c r="QE9" s="308"/>
      <c r="QF9" s="308"/>
      <c r="QG9" s="308"/>
      <c r="QH9" s="308"/>
      <c r="QI9" s="308"/>
      <c r="QJ9" s="308"/>
      <c r="QK9" s="308"/>
      <c r="QL9" s="308"/>
      <c r="QM9" s="308"/>
      <c r="QN9" s="308"/>
      <c r="QO9" s="308"/>
      <c r="QP9" s="308"/>
      <c r="QQ9" s="308"/>
      <c r="QR9" s="308"/>
      <c r="QS9" s="308"/>
      <c r="QT9" s="308"/>
      <c r="QU9" s="308"/>
      <c r="QV9" s="308"/>
      <c r="QW9" s="308"/>
      <c r="QX9" s="308"/>
      <c r="QY9" s="308"/>
      <c r="QZ9" s="308"/>
      <c r="RA9" s="308"/>
      <c r="RB9" s="308"/>
      <c r="RC9" s="308"/>
      <c r="RD9" s="308"/>
      <c r="RE9" s="308"/>
      <c r="RF9" s="308"/>
      <c r="RG9" s="308"/>
      <c r="RH9" s="308"/>
      <c r="RI9" s="308"/>
      <c r="RJ9" s="308"/>
      <c r="RK9" s="308"/>
      <c r="RL9" s="308"/>
      <c r="RM9" s="308"/>
      <c r="RN9" s="308"/>
      <c r="RO9" s="308"/>
      <c r="RP9" s="308"/>
      <c r="RQ9" s="308"/>
      <c r="RR9" s="308"/>
      <c r="RS9" s="308"/>
      <c r="RT9" s="308"/>
      <c r="RU9" s="308"/>
      <c r="RV9" s="308"/>
      <c r="RW9" s="308"/>
      <c r="RX9" s="308"/>
      <c r="RY9" s="308"/>
      <c r="RZ9" s="308"/>
      <c r="SA9" s="308"/>
      <c r="SB9" s="308"/>
      <c r="SC9" s="308"/>
      <c r="SD9" s="308"/>
      <c r="SE9" s="308"/>
      <c r="SF9" s="308"/>
      <c r="SG9" s="308"/>
      <c r="SH9" s="308"/>
      <c r="SI9" s="308"/>
      <c r="SJ9" s="308"/>
      <c r="SK9" s="308"/>
      <c r="SL9" s="308"/>
      <c r="SM9" s="308"/>
      <c r="SN9" s="308"/>
      <c r="SO9" s="308"/>
      <c r="SP9" s="308"/>
      <c r="SQ9" s="308"/>
      <c r="SR9" s="308"/>
      <c r="SS9" s="308"/>
      <c r="ST9" s="308"/>
      <c r="SU9" s="308"/>
      <c r="SV9" s="308"/>
      <c r="SW9" s="308"/>
      <c r="SX9" s="308"/>
      <c r="SY9" s="308"/>
      <c r="SZ9" s="308"/>
      <c r="TA9" s="308"/>
      <c r="TB9" s="308"/>
      <c r="TC9" s="308"/>
      <c r="TD9" s="308"/>
      <c r="TE9" s="308"/>
      <c r="TF9" s="308"/>
      <c r="TG9" s="308"/>
      <c r="TH9" s="308"/>
      <c r="TI9" s="308"/>
      <c r="TJ9" s="308"/>
      <c r="TK9" s="308"/>
      <c r="TL9" s="308"/>
      <c r="TM9" s="308"/>
      <c r="TN9" s="308"/>
      <c r="TO9" s="308"/>
      <c r="TP9" s="308"/>
      <c r="TQ9" s="308"/>
      <c r="TR9" s="308"/>
      <c r="TS9" s="308"/>
      <c r="TT9" s="308"/>
      <c r="TU9" s="308"/>
      <c r="TV9" s="308"/>
      <c r="TW9" s="308"/>
      <c r="TX9" s="308"/>
      <c r="TY9" s="308"/>
      <c r="TZ9" s="308"/>
      <c r="UA9" s="308"/>
      <c r="UB9" s="308"/>
      <c r="UC9" s="308"/>
      <c r="UD9" s="308"/>
      <c r="UE9" s="308"/>
      <c r="UF9" s="308"/>
      <c r="UG9" s="308"/>
      <c r="UH9" s="308"/>
      <c r="UI9" s="308"/>
      <c r="UJ9" s="308"/>
      <c r="UK9" s="308"/>
      <c r="UL9" s="308"/>
      <c r="UM9" s="308"/>
      <c r="UN9" s="308"/>
      <c r="UO9" s="308"/>
      <c r="UP9" s="308"/>
      <c r="UQ9" s="308"/>
      <c r="UR9" s="308"/>
      <c r="US9" s="308"/>
      <c r="UT9" s="308"/>
      <c r="UU9" s="308"/>
      <c r="UV9" s="308"/>
      <c r="UW9" s="308"/>
      <c r="UX9" s="308"/>
      <c r="UY9" s="308"/>
      <c r="UZ9" s="308"/>
      <c r="VA9" s="308"/>
      <c r="VB9" s="308"/>
      <c r="VC9" s="308"/>
      <c r="VD9" s="308"/>
      <c r="VE9" s="308"/>
      <c r="VF9" s="308"/>
      <c r="VG9" s="308"/>
      <c r="VH9" s="308"/>
      <c r="VI9" s="308"/>
      <c r="VJ9" s="308"/>
      <c r="VK9" s="308"/>
      <c r="VL9" s="308"/>
      <c r="VM9" s="308"/>
      <c r="VN9" s="308"/>
      <c r="VO9" s="308"/>
      <c r="VP9" s="308"/>
      <c r="VQ9" s="308"/>
      <c r="VR9" s="308"/>
      <c r="VS9" s="308"/>
      <c r="VT9" s="308"/>
      <c r="VU9" s="308"/>
      <c r="VV9" s="308"/>
      <c r="VW9" s="308"/>
      <c r="VX9" s="308"/>
      <c r="VY9" s="308"/>
      <c r="VZ9" s="308"/>
      <c r="WA9" s="308"/>
      <c r="WB9" s="308"/>
      <c r="WC9" s="308"/>
      <c r="WD9" s="308"/>
      <c r="WE9" s="308"/>
      <c r="WF9" s="308"/>
      <c r="WG9" s="308"/>
      <c r="WH9" s="308"/>
      <c r="WI9" s="308"/>
      <c r="WJ9" s="308"/>
      <c r="WK9" s="308"/>
      <c r="WL9" s="308"/>
      <c r="WM9" s="308"/>
      <c r="WN9" s="308"/>
      <c r="WO9" s="308"/>
      <c r="WP9" s="308"/>
      <c r="WQ9" s="308"/>
      <c r="WR9" s="308"/>
      <c r="WS9" s="308"/>
      <c r="WT9" s="308"/>
      <c r="WU9" s="308"/>
      <c r="WV9" s="308"/>
      <c r="WW9" s="308"/>
      <c r="WX9" s="308"/>
      <c r="WY9" s="308"/>
      <c r="WZ9" s="308"/>
      <c r="XA9" s="308"/>
      <c r="XB9" s="308"/>
      <c r="XC9" s="308"/>
      <c r="XD9" s="308"/>
      <c r="XE9" s="308"/>
      <c r="XF9" s="308"/>
      <c r="XG9" s="308"/>
      <c r="XH9" s="308"/>
      <c r="XI9" s="308"/>
      <c r="XJ9" s="308"/>
      <c r="XK9" s="308"/>
      <c r="XL9" s="308"/>
      <c r="XM9" s="308"/>
      <c r="XN9" s="308"/>
      <c r="XO9" s="308"/>
      <c r="XP9" s="308"/>
      <c r="XQ9" s="308"/>
      <c r="XR9" s="308"/>
      <c r="XS9" s="308"/>
      <c r="XT9" s="308"/>
      <c r="XU9" s="308"/>
      <c r="XV9" s="308"/>
      <c r="XW9" s="308"/>
      <c r="XX9" s="308"/>
      <c r="XY9" s="308"/>
      <c r="XZ9" s="308"/>
      <c r="YA9" s="308"/>
      <c r="YB9" s="308"/>
      <c r="YC9" s="308"/>
      <c r="YD9" s="308"/>
      <c r="YE9" s="308"/>
      <c r="YF9" s="308"/>
      <c r="YG9" s="308"/>
      <c r="YH9" s="308"/>
      <c r="YI9" s="308"/>
      <c r="YJ9" s="308"/>
      <c r="YK9" s="308"/>
      <c r="YL9" s="308"/>
      <c r="YM9" s="308"/>
      <c r="YN9" s="308"/>
      <c r="YO9" s="308"/>
      <c r="YP9" s="308"/>
      <c r="YQ9" s="308"/>
      <c r="YR9" s="308"/>
      <c r="YS9" s="308"/>
      <c r="YT9" s="308"/>
      <c r="YU9" s="308"/>
      <c r="YV9" s="308"/>
      <c r="YW9" s="308"/>
      <c r="YX9" s="308"/>
      <c r="YY9" s="308"/>
      <c r="YZ9" s="308"/>
      <c r="ZA9" s="308"/>
      <c r="ZB9" s="308"/>
      <c r="ZC9" s="308"/>
      <c r="ZD9" s="308"/>
      <c r="ZE9" s="308"/>
      <c r="ZF9" s="308"/>
      <c r="ZG9" s="308"/>
      <c r="ZH9" s="308"/>
      <c r="ZI9" s="308"/>
      <c r="ZJ9" s="308"/>
      <c r="ZK9" s="308"/>
      <c r="ZL9" s="308"/>
      <c r="ZM9" s="308"/>
      <c r="ZN9" s="308"/>
      <c r="ZO9" s="308"/>
      <c r="ZP9" s="308"/>
      <c r="ZQ9" s="308"/>
      <c r="ZR9" s="308"/>
      <c r="ZS9" s="308"/>
      <c r="ZT9" s="308"/>
      <c r="ZU9" s="308"/>
      <c r="ZV9" s="308"/>
      <c r="ZW9" s="308"/>
      <c r="ZX9" s="308"/>
      <c r="ZY9" s="308"/>
      <c r="ZZ9" s="308"/>
      <c r="AAA9" s="308"/>
      <c r="AAB9" s="308"/>
      <c r="AAC9" s="308"/>
      <c r="AAD9" s="308"/>
      <c r="AAE9" s="308"/>
      <c r="AAF9" s="308"/>
      <c r="AAG9" s="308"/>
      <c r="AAH9" s="308"/>
      <c r="AAI9" s="308"/>
      <c r="AAJ9" s="308"/>
      <c r="AAK9" s="308"/>
      <c r="AAL9" s="308"/>
      <c r="AAM9" s="308"/>
      <c r="AAN9" s="308"/>
      <c r="AAO9" s="308"/>
      <c r="AAP9" s="308"/>
      <c r="AAQ9" s="308"/>
      <c r="AAR9" s="308"/>
      <c r="AAS9" s="308"/>
      <c r="AAT9" s="308"/>
      <c r="AAU9" s="308"/>
      <c r="AAV9" s="308"/>
      <c r="AAW9" s="308"/>
      <c r="AAX9" s="308"/>
      <c r="AAY9" s="308"/>
      <c r="AAZ9" s="308"/>
      <c r="ABA9" s="308"/>
      <c r="ABB9" s="308"/>
      <c r="ABC9" s="308"/>
      <c r="ABD9" s="308"/>
      <c r="ABE9" s="308"/>
      <c r="ABF9" s="308"/>
      <c r="ABG9" s="308"/>
      <c r="ABH9" s="308"/>
      <c r="ABI9" s="308"/>
      <c r="ABJ9" s="308"/>
      <c r="ABK9" s="308"/>
      <c r="ABL9" s="308"/>
      <c r="ABM9" s="308"/>
      <c r="ABN9" s="308"/>
      <c r="ABO9" s="308"/>
      <c r="ABP9" s="308"/>
      <c r="ABQ9" s="308"/>
      <c r="ABR9" s="308"/>
      <c r="ABS9" s="308"/>
      <c r="ABT9" s="308"/>
      <c r="ABU9" s="308"/>
      <c r="ABV9" s="308"/>
      <c r="ABW9" s="308"/>
      <c r="ABX9" s="308"/>
      <c r="ABY9" s="308"/>
      <c r="ABZ9" s="308"/>
      <c r="ACA9" s="308"/>
      <c r="ACB9" s="308"/>
      <c r="ACC9" s="308"/>
      <c r="ACD9" s="308"/>
      <c r="ACE9" s="308"/>
      <c r="ACF9" s="308"/>
      <c r="ACG9" s="308"/>
      <c r="ACH9" s="308"/>
      <c r="ACI9" s="308"/>
      <c r="ACJ9" s="308"/>
      <c r="ACK9" s="308"/>
      <c r="ACL9" s="308"/>
      <c r="ACM9" s="308"/>
      <c r="ACN9" s="308"/>
      <c r="ACO9" s="308"/>
      <c r="ACP9" s="308"/>
      <c r="ACQ9" s="308"/>
      <c r="ACR9" s="308"/>
      <c r="ACS9" s="308"/>
      <c r="ACT9" s="308"/>
      <c r="ACU9" s="308"/>
      <c r="ACV9" s="308"/>
      <c r="ACW9" s="308"/>
      <c r="ACX9" s="308"/>
      <c r="ACY9" s="308"/>
      <c r="ACZ9" s="308"/>
      <c r="ADA9" s="308"/>
      <c r="ADB9" s="308"/>
      <c r="ADC9" s="308"/>
      <c r="ADD9" s="308"/>
      <c r="ADE9" s="308"/>
      <c r="ADF9" s="308"/>
      <c r="ADG9" s="308"/>
      <c r="ADH9" s="308"/>
      <c r="ADI9" s="308"/>
      <c r="ADJ9" s="308"/>
      <c r="ADK9" s="308"/>
      <c r="ADL9" s="308"/>
      <c r="ADM9" s="308"/>
      <c r="ADN9" s="308"/>
      <c r="ADO9" s="308"/>
      <c r="ADP9" s="308"/>
      <c r="ADQ9" s="308"/>
      <c r="ADR9" s="308"/>
      <c r="ADS9" s="308"/>
      <c r="ADT9" s="308"/>
      <c r="ADU9" s="308"/>
      <c r="ADV9" s="308"/>
      <c r="ADW9" s="308"/>
      <c r="ADX9" s="308"/>
      <c r="ADY9" s="308"/>
      <c r="ADZ9" s="308"/>
      <c r="AEA9" s="308"/>
      <c r="AEB9" s="308"/>
      <c r="AEC9" s="308"/>
      <c r="AED9" s="308"/>
      <c r="AEE9" s="308"/>
      <c r="AEF9" s="308"/>
      <c r="AEG9" s="308"/>
      <c r="AEH9" s="308"/>
      <c r="AEI9" s="308"/>
      <c r="AEJ9" s="308"/>
      <c r="AEK9" s="308"/>
      <c r="AEL9" s="308"/>
      <c r="AEM9" s="308"/>
      <c r="AEN9" s="308"/>
      <c r="AEO9" s="308"/>
      <c r="AEP9" s="308"/>
      <c r="AEQ9" s="308"/>
      <c r="AER9" s="308"/>
      <c r="AES9" s="308"/>
      <c r="AET9" s="308"/>
      <c r="AEU9" s="308"/>
      <c r="AEV9" s="308"/>
      <c r="AEW9" s="308"/>
      <c r="AEX9" s="308"/>
      <c r="AEY9" s="308"/>
      <c r="AEZ9" s="308"/>
      <c r="AFA9" s="308"/>
      <c r="AFB9" s="308"/>
      <c r="AFC9" s="308"/>
      <c r="AFD9" s="308"/>
      <c r="AFE9" s="308"/>
      <c r="AFF9" s="308"/>
      <c r="AFG9" s="308"/>
      <c r="AFH9" s="308"/>
      <c r="AFI9" s="308"/>
      <c r="AFJ9" s="308"/>
      <c r="AFK9" s="308"/>
      <c r="AFL9" s="308"/>
      <c r="AFM9" s="308"/>
      <c r="AFN9" s="308"/>
      <c r="AFO9" s="308"/>
      <c r="AFP9" s="308"/>
      <c r="AFQ9" s="308"/>
      <c r="AFR9" s="308"/>
      <c r="AFS9" s="308"/>
      <c r="AFT9" s="308"/>
      <c r="AFU9" s="308"/>
      <c r="AFV9" s="308"/>
      <c r="AFW9" s="308"/>
      <c r="AFX9" s="308"/>
      <c r="AFY9" s="308"/>
      <c r="AFZ9" s="308"/>
      <c r="AGA9" s="308"/>
      <c r="AGB9" s="308"/>
      <c r="AGC9" s="308"/>
      <c r="AGD9" s="308"/>
      <c r="AGE9" s="308"/>
      <c r="AGF9" s="308"/>
      <c r="AGG9" s="308"/>
      <c r="AGH9" s="308"/>
      <c r="AGI9" s="308"/>
      <c r="AGJ9" s="308"/>
      <c r="AGK9" s="308"/>
      <c r="AGL9" s="308"/>
      <c r="AGM9" s="308"/>
      <c r="AGN9" s="308"/>
      <c r="AGO9" s="308"/>
      <c r="AGP9" s="308"/>
      <c r="AGQ9" s="308"/>
      <c r="AGR9" s="308"/>
      <c r="AGS9" s="308"/>
      <c r="AGT9" s="308"/>
      <c r="AGU9" s="308"/>
      <c r="AGV9" s="308"/>
      <c r="AGW9" s="308"/>
      <c r="AGX9" s="308"/>
      <c r="AGY9" s="308"/>
      <c r="AGZ9" s="308"/>
      <c r="AHA9" s="308"/>
      <c r="AHB9" s="308"/>
      <c r="AHC9" s="308"/>
      <c r="AHD9" s="308"/>
      <c r="AHE9" s="308"/>
      <c r="AHF9" s="308"/>
      <c r="AHG9" s="308"/>
      <c r="AHH9" s="308"/>
      <c r="AHI9" s="308"/>
      <c r="AHJ9" s="308"/>
      <c r="AHK9" s="308"/>
      <c r="AHL9" s="308"/>
      <c r="AHM9" s="308"/>
      <c r="AHN9" s="308"/>
      <c r="AHO9" s="308"/>
      <c r="AHP9" s="308"/>
      <c r="AHQ9" s="308"/>
      <c r="AHR9" s="308"/>
      <c r="AHS9" s="308"/>
      <c r="AHT9" s="308"/>
      <c r="AHU9" s="308"/>
      <c r="AHV9" s="308"/>
      <c r="AHW9" s="308"/>
      <c r="AHX9" s="308"/>
      <c r="AHY9" s="308"/>
      <c r="AHZ9" s="308"/>
      <c r="AIA9" s="308"/>
      <c r="AIB9" s="308"/>
      <c r="AIC9" s="308"/>
      <c r="AID9" s="308"/>
      <c r="AIE9" s="308"/>
      <c r="AIF9" s="308"/>
      <c r="AIG9" s="308"/>
      <c r="AIH9" s="308"/>
      <c r="AII9" s="308"/>
      <c r="AIJ9" s="308"/>
      <c r="AIK9" s="308"/>
      <c r="AIL9" s="308"/>
      <c r="AIM9" s="308"/>
      <c r="AIN9" s="308"/>
      <c r="AIO9" s="308"/>
      <c r="AIP9" s="308"/>
      <c r="AIQ9" s="308"/>
      <c r="AIR9" s="308"/>
      <c r="AIS9" s="308"/>
      <c r="AIT9" s="308"/>
      <c r="AIU9" s="308"/>
      <c r="AIV9" s="308"/>
      <c r="AIW9" s="308"/>
      <c r="AIX9" s="308"/>
      <c r="AIY9" s="308"/>
      <c r="AIZ9" s="308"/>
      <c r="AJA9" s="308"/>
      <c r="AJB9" s="308"/>
      <c r="AJC9" s="308"/>
    </row>
    <row r="10" spans="1:940" s="546" customFormat="1">
      <c r="A10" s="113">
        <f t="shared" si="0"/>
        <v>3</v>
      </c>
      <c r="B10" s="113">
        <v>507</v>
      </c>
      <c r="C10" s="113" t="s">
        <v>54</v>
      </c>
      <c r="D10" s="117">
        <f>1810000+500000</f>
        <v>2310000</v>
      </c>
      <c r="E10" s="117">
        <v>1810000</v>
      </c>
      <c r="F10" s="117">
        <f t="shared" si="1"/>
        <v>500000</v>
      </c>
      <c r="G10" s="117">
        <v>1665000</v>
      </c>
      <c r="H10" s="117">
        <v>1653104.23</v>
      </c>
      <c r="I10" s="117"/>
      <c r="J10" s="117"/>
      <c r="K10" s="117">
        <f t="shared" si="2"/>
        <v>0</v>
      </c>
      <c r="L10" s="117">
        <f t="shared" si="3"/>
        <v>1653104.23</v>
      </c>
      <c r="M10" s="117">
        <f t="shared" si="9"/>
        <v>11895.770000000019</v>
      </c>
      <c r="N10" s="117">
        <f>300000-200000</f>
        <v>100000</v>
      </c>
      <c r="O10" s="117">
        <f t="shared" si="10"/>
        <v>545000</v>
      </c>
      <c r="P10" s="117">
        <f t="shared" si="4"/>
        <v>11895.770000000019</v>
      </c>
      <c r="Q10" s="117"/>
      <c r="R10" s="117"/>
      <c r="S10" s="117">
        <f t="shared" si="5"/>
        <v>0</v>
      </c>
      <c r="T10" s="117">
        <f t="shared" si="6"/>
        <v>0</v>
      </c>
      <c r="U10" s="117">
        <f t="shared" si="7"/>
        <v>100000</v>
      </c>
      <c r="V10" s="117">
        <f t="shared" si="8"/>
        <v>100000</v>
      </c>
      <c r="W10" s="543"/>
      <c r="X10" s="117"/>
      <c r="Y10" s="117"/>
      <c r="Z10" s="113"/>
      <c r="AA10" s="113">
        <v>742000</v>
      </c>
      <c r="AB10" s="117"/>
      <c r="AC10" s="117"/>
      <c r="AD10" s="117"/>
      <c r="AE10" s="117"/>
      <c r="AF10" s="117"/>
      <c r="AG10" s="117">
        <v>100000</v>
      </c>
      <c r="AH10" s="117"/>
      <c r="AI10" s="117"/>
      <c r="AJ10" s="117"/>
      <c r="AK10" s="117">
        <f t="shared" si="11"/>
        <v>100000</v>
      </c>
      <c r="AL10" s="115"/>
      <c r="AM10" s="566">
        <f t="shared" si="12"/>
        <v>100000</v>
      </c>
      <c r="AN10" s="117">
        <f t="shared" si="13"/>
        <v>0</v>
      </c>
      <c r="AO10" s="117">
        <f t="shared" si="14"/>
        <v>100000</v>
      </c>
      <c r="AP10" s="565"/>
      <c r="AQ10" s="565"/>
      <c r="AR10" s="565"/>
      <c r="AS10" s="565"/>
      <c r="AT10" s="117">
        <f t="shared" si="15"/>
        <v>0</v>
      </c>
      <c r="AU10" s="565"/>
      <c r="AV10" s="565"/>
      <c r="AW10" s="565"/>
      <c r="AX10" s="565"/>
      <c r="AY10" s="117">
        <f t="shared" si="16"/>
        <v>0</v>
      </c>
      <c r="AZ10" s="565"/>
      <c r="BA10" s="565"/>
      <c r="BB10" s="565"/>
      <c r="BC10" s="565"/>
      <c r="BD10" s="308"/>
      <c r="BE10" s="308"/>
      <c r="BF10" s="308"/>
      <c r="BG10" s="308"/>
      <c r="BH10" s="308"/>
      <c r="BI10" s="308"/>
      <c r="BJ10" s="308"/>
      <c r="BK10" s="308"/>
      <c r="BL10" s="308"/>
      <c r="BM10" s="308"/>
      <c r="BN10" s="308"/>
      <c r="BO10" s="308"/>
      <c r="BP10" s="308"/>
      <c r="BQ10" s="308"/>
      <c r="BR10" s="308"/>
      <c r="BS10" s="308"/>
      <c r="BT10" s="308"/>
      <c r="BU10" s="308"/>
      <c r="BV10" s="308"/>
      <c r="BW10" s="308"/>
      <c r="BX10" s="308"/>
      <c r="BY10" s="308"/>
      <c r="BZ10" s="308"/>
      <c r="CA10" s="308"/>
      <c r="CB10" s="308"/>
      <c r="CC10" s="308"/>
      <c r="CD10" s="308"/>
      <c r="CE10" s="308"/>
      <c r="CF10" s="308"/>
      <c r="CG10" s="308"/>
      <c r="CH10" s="308"/>
      <c r="CI10" s="308"/>
      <c r="CJ10" s="308"/>
      <c r="CK10" s="308"/>
      <c r="CL10" s="308"/>
      <c r="CM10" s="308"/>
      <c r="CN10" s="308"/>
      <c r="CO10" s="308"/>
      <c r="CP10" s="308"/>
      <c r="CQ10" s="308"/>
      <c r="CR10" s="308"/>
      <c r="CS10" s="308"/>
      <c r="CT10" s="308"/>
      <c r="CU10" s="308"/>
      <c r="CV10" s="308"/>
      <c r="CW10" s="308"/>
      <c r="CX10" s="308"/>
      <c r="CY10" s="308"/>
      <c r="CZ10" s="308"/>
      <c r="DA10" s="308"/>
      <c r="DB10" s="308"/>
      <c r="DC10" s="308"/>
      <c r="DD10" s="308"/>
      <c r="DE10" s="308"/>
      <c r="DF10" s="308"/>
      <c r="DG10" s="308"/>
      <c r="DH10" s="308"/>
      <c r="DI10" s="308"/>
      <c r="DJ10" s="308"/>
      <c r="DK10" s="308"/>
      <c r="DL10" s="308"/>
      <c r="DM10" s="308"/>
      <c r="DN10" s="308"/>
      <c r="DO10" s="308"/>
      <c r="DP10" s="308"/>
      <c r="DQ10" s="308"/>
      <c r="DR10" s="308"/>
      <c r="DS10" s="308"/>
      <c r="DT10" s="308"/>
      <c r="DU10" s="308"/>
      <c r="DV10" s="308"/>
      <c r="DW10" s="308"/>
      <c r="DX10" s="308"/>
      <c r="DY10" s="308"/>
      <c r="DZ10" s="308"/>
      <c r="EA10" s="308"/>
      <c r="EB10" s="308"/>
      <c r="EC10" s="308"/>
      <c r="ED10" s="308"/>
      <c r="EE10" s="308"/>
      <c r="EF10" s="308"/>
      <c r="EG10" s="308"/>
      <c r="EH10" s="308"/>
      <c r="EI10" s="308"/>
      <c r="EJ10" s="308"/>
      <c r="EK10" s="308"/>
      <c r="EL10" s="308"/>
      <c r="EM10" s="308"/>
      <c r="EN10" s="308"/>
      <c r="EO10" s="308"/>
      <c r="EP10" s="308"/>
      <c r="EQ10" s="308"/>
      <c r="ER10" s="308"/>
      <c r="ES10" s="308"/>
      <c r="ET10" s="308"/>
      <c r="EU10" s="308"/>
      <c r="EV10" s="308"/>
      <c r="EW10" s="308"/>
      <c r="EX10" s="308"/>
      <c r="EY10" s="308"/>
      <c r="EZ10" s="308"/>
      <c r="FA10" s="308"/>
      <c r="FB10" s="308"/>
      <c r="FC10" s="308"/>
      <c r="FD10" s="308"/>
      <c r="FE10" s="308"/>
      <c r="FF10" s="308"/>
      <c r="FG10" s="308"/>
      <c r="FH10" s="308"/>
      <c r="FI10" s="308"/>
      <c r="FJ10" s="308"/>
      <c r="FK10" s="308"/>
      <c r="FL10" s="308"/>
      <c r="FM10" s="308"/>
      <c r="FN10" s="308"/>
      <c r="FO10" s="308"/>
      <c r="FP10" s="308"/>
      <c r="FQ10" s="308"/>
      <c r="FR10" s="308"/>
      <c r="FS10" s="308"/>
      <c r="FT10" s="308"/>
      <c r="FU10" s="308"/>
      <c r="FV10" s="308"/>
      <c r="FW10" s="308"/>
      <c r="FX10" s="308"/>
      <c r="FY10" s="308"/>
      <c r="FZ10" s="308"/>
      <c r="GA10" s="308"/>
      <c r="GB10" s="308"/>
      <c r="GC10" s="308"/>
      <c r="GD10" s="308"/>
      <c r="GE10" s="308"/>
      <c r="GF10" s="308"/>
      <c r="GG10" s="308"/>
      <c r="GH10" s="308"/>
      <c r="GI10" s="308"/>
      <c r="GJ10" s="308"/>
      <c r="GK10" s="308"/>
      <c r="GL10" s="308"/>
      <c r="GM10" s="308"/>
      <c r="GN10" s="308"/>
      <c r="GO10" s="308"/>
      <c r="GP10" s="308"/>
      <c r="GQ10" s="308"/>
      <c r="GR10" s="308"/>
      <c r="GS10" s="308"/>
      <c r="GT10" s="308"/>
      <c r="GU10" s="308"/>
      <c r="GV10" s="308"/>
      <c r="GW10" s="308"/>
      <c r="GX10" s="308"/>
      <c r="GY10" s="308"/>
      <c r="GZ10" s="308"/>
      <c r="HA10" s="308"/>
      <c r="HB10" s="308"/>
      <c r="HC10" s="308"/>
      <c r="HD10" s="308"/>
      <c r="HE10" s="308"/>
      <c r="HF10" s="308"/>
      <c r="HG10" s="308"/>
      <c r="HH10" s="308"/>
      <c r="HI10" s="308"/>
      <c r="HJ10" s="308"/>
      <c r="HK10" s="308"/>
      <c r="HL10" s="308"/>
      <c r="HM10" s="308"/>
      <c r="HN10" s="308"/>
      <c r="HO10" s="308"/>
      <c r="HP10" s="308"/>
      <c r="HQ10" s="308"/>
      <c r="HR10" s="308"/>
      <c r="HS10" s="308"/>
      <c r="HT10" s="308"/>
      <c r="HU10" s="308"/>
      <c r="HV10" s="308"/>
      <c r="HW10" s="308"/>
      <c r="HX10" s="308"/>
      <c r="HY10" s="308"/>
      <c r="HZ10" s="308"/>
      <c r="IA10" s="308"/>
      <c r="IB10" s="308"/>
      <c r="IC10" s="308"/>
      <c r="ID10" s="308"/>
      <c r="IE10" s="308"/>
      <c r="IF10" s="308"/>
      <c r="IG10" s="308"/>
      <c r="IH10" s="308"/>
      <c r="II10" s="308"/>
      <c r="IJ10" s="308"/>
      <c r="IK10" s="308"/>
      <c r="IL10" s="308"/>
      <c r="IM10" s="308"/>
      <c r="IN10" s="308"/>
      <c r="IO10" s="308"/>
      <c r="IP10" s="308"/>
      <c r="IQ10" s="308"/>
      <c r="IR10" s="308"/>
      <c r="IS10" s="308"/>
      <c r="IT10" s="308"/>
      <c r="IU10" s="308"/>
      <c r="IV10" s="308"/>
      <c r="IW10" s="308"/>
      <c r="IX10" s="308"/>
      <c r="IY10" s="308"/>
      <c r="IZ10" s="308"/>
      <c r="JA10" s="308"/>
      <c r="JB10" s="308"/>
      <c r="JC10" s="308"/>
      <c r="JD10" s="308"/>
      <c r="JE10" s="308"/>
      <c r="JF10" s="308"/>
      <c r="JG10" s="308"/>
      <c r="JH10" s="308"/>
      <c r="JI10" s="308"/>
      <c r="JJ10" s="308"/>
      <c r="JK10" s="308"/>
      <c r="JL10" s="308"/>
      <c r="JM10" s="308"/>
      <c r="JN10" s="308"/>
      <c r="JO10" s="308"/>
      <c r="JP10" s="308"/>
      <c r="JQ10" s="308"/>
      <c r="JR10" s="308"/>
      <c r="JS10" s="308"/>
      <c r="JT10" s="308"/>
      <c r="JU10" s="308"/>
      <c r="JV10" s="308"/>
      <c r="JW10" s="308"/>
      <c r="JX10" s="308"/>
      <c r="JY10" s="308"/>
      <c r="JZ10" s="308"/>
      <c r="KA10" s="308"/>
      <c r="KB10" s="308"/>
      <c r="KC10" s="308"/>
      <c r="KD10" s="308"/>
      <c r="KE10" s="308"/>
      <c r="KF10" s="308"/>
      <c r="KG10" s="308"/>
      <c r="KH10" s="308"/>
      <c r="KI10" s="308"/>
      <c r="KJ10" s="308"/>
      <c r="KK10" s="308"/>
      <c r="KL10" s="308"/>
      <c r="KM10" s="308"/>
      <c r="KN10" s="308"/>
      <c r="KO10" s="308"/>
      <c r="KP10" s="308"/>
      <c r="KQ10" s="308"/>
      <c r="KR10" s="308"/>
      <c r="KS10" s="308"/>
      <c r="KT10" s="308"/>
      <c r="KU10" s="308"/>
      <c r="KV10" s="308"/>
      <c r="KW10" s="308"/>
      <c r="KX10" s="308"/>
      <c r="KY10" s="308"/>
      <c r="KZ10" s="308"/>
      <c r="LA10" s="308"/>
      <c r="LB10" s="308"/>
      <c r="LC10" s="308"/>
      <c r="LD10" s="308"/>
      <c r="LE10" s="308"/>
      <c r="LF10" s="308"/>
      <c r="LG10" s="308"/>
      <c r="LH10" s="308"/>
      <c r="LI10" s="308"/>
      <c r="LJ10" s="308"/>
      <c r="LK10" s="308"/>
      <c r="LL10" s="308"/>
      <c r="LM10" s="308"/>
      <c r="LN10" s="308"/>
      <c r="LO10" s="308"/>
      <c r="LP10" s="308"/>
      <c r="LQ10" s="308"/>
      <c r="LR10" s="308"/>
      <c r="LS10" s="308"/>
      <c r="LT10" s="308"/>
      <c r="LU10" s="308"/>
      <c r="LV10" s="308"/>
      <c r="LW10" s="308"/>
      <c r="LX10" s="308"/>
      <c r="LY10" s="308"/>
      <c r="LZ10" s="308"/>
      <c r="MA10" s="308"/>
      <c r="MB10" s="308"/>
      <c r="MC10" s="308"/>
      <c r="MD10" s="308"/>
      <c r="ME10" s="308"/>
      <c r="MF10" s="308"/>
      <c r="MG10" s="308"/>
      <c r="MH10" s="308"/>
      <c r="MI10" s="308"/>
      <c r="MJ10" s="308"/>
      <c r="MK10" s="308"/>
      <c r="ML10" s="308"/>
      <c r="MM10" s="308"/>
      <c r="MN10" s="308"/>
      <c r="MO10" s="308"/>
      <c r="MP10" s="308"/>
      <c r="MQ10" s="308"/>
      <c r="MR10" s="308"/>
      <c r="MS10" s="308"/>
      <c r="MT10" s="308"/>
      <c r="MU10" s="308"/>
      <c r="MV10" s="308"/>
      <c r="MW10" s="308"/>
      <c r="MX10" s="308"/>
      <c r="MY10" s="308"/>
      <c r="MZ10" s="308"/>
      <c r="NA10" s="308"/>
      <c r="NB10" s="308"/>
      <c r="NC10" s="308"/>
      <c r="ND10" s="308"/>
      <c r="NE10" s="308"/>
      <c r="NF10" s="308"/>
      <c r="NG10" s="308"/>
      <c r="NH10" s="308"/>
      <c r="NI10" s="308"/>
      <c r="NJ10" s="308"/>
      <c r="NK10" s="308"/>
      <c r="NL10" s="308"/>
      <c r="NM10" s="308"/>
      <c r="NN10" s="308"/>
      <c r="NO10" s="308"/>
      <c r="NP10" s="308"/>
      <c r="NQ10" s="308"/>
      <c r="NR10" s="308"/>
      <c r="NS10" s="308"/>
      <c r="NT10" s="308"/>
      <c r="NU10" s="308"/>
      <c r="NV10" s="308"/>
      <c r="NW10" s="308"/>
      <c r="NX10" s="308"/>
      <c r="NY10" s="308"/>
      <c r="NZ10" s="308"/>
      <c r="OA10" s="308"/>
      <c r="OB10" s="308"/>
      <c r="OC10" s="308"/>
      <c r="OD10" s="308"/>
      <c r="OE10" s="308"/>
      <c r="OF10" s="308"/>
      <c r="OG10" s="308"/>
      <c r="OH10" s="308"/>
      <c r="OI10" s="308"/>
      <c r="OJ10" s="308"/>
      <c r="OK10" s="308"/>
      <c r="OL10" s="308"/>
      <c r="OM10" s="308"/>
      <c r="ON10" s="308"/>
      <c r="OO10" s="308"/>
      <c r="OP10" s="308"/>
      <c r="OQ10" s="308"/>
      <c r="OR10" s="308"/>
      <c r="OS10" s="308"/>
      <c r="OT10" s="308"/>
      <c r="OU10" s="308"/>
      <c r="OV10" s="308"/>
      <c r="OW10" s="308"/>
      <c r="OX10" s="308"/>
      <c r="OY10" s="308"/>
      <c r="OZ10" s="308"/>
      <c r="PA10" s="308"/>
      <c r="PB10" s="308"/>
      <c r="PC10" s="308"/>
      <c r="PD10" s="308"/>
      <c r="PE10" s="308"/>
      <c r="PF10" s="308"/>
      <c r="PG10" s="308"/>
      <c r="PH10" s="308"/>
      <c r="PI10" s="308"/>
      <c r="PJ10" s="308"/>
      <c r="PK10" s="308"/>
      <c r="PL10" s="308"/>
      <c r="PM10" s="308"/>
      <c r="PN10" s="308"/>
      <c r="PO10" s="308"/>
      <c r="PP10" s="308"/>
      <c r="PQ10" s="308"/>
      <c r="PR10" s="308"/>
      <c r="PS10" s="308"/>
      <c r="PT10" s="308"/>
      <c r="PU10" s="308"/>
      <c r="PV10" s="308"/>
      <c r="PW10" s="308"/>
      <c r="PX10" s="308"/>
      <c r="PY10" s="308"/>
      <c r="PZ10" s="308"/>
      <c r="QA10" s="308"/>
      <c r="QB10" s="308"/>
      <c r="QC10" s="308"/>
      <c r="QD10" s="308"/>
      <c r="QE10" s="308"/>
      <c r="QF10" s="308"/>
      <c r="QG10" s="308"/>
      <c r="QH10" s="308"/>
      <c r="QI10" s="308"/>
      <c r="QJ10" s="308"/>
      <c r="QK10" s="308"/>
      <c r="QL10" s="308"/>
      <c r="QM10" s="308"/>
      <c r="QN10" s="308"/>
      <c r="QO10" s="308"/>
      <c r="QP10" s="308"/>
      <c r="QQ10" s="308"/>
      <c r="QR10" s="308"/>
      <c r="QS10" s="308"/>
      <c r="QT10" s="308"/>
      <c r="QU10" s="308"/>
      <c r="QV10" s="308"/>
      <c r="QW10" s="308"/>
      <c r="QX10" s="308"/>
      <c r="QY10" s="308"/>
      <c r="QZ10" s="308"/>
      <c r="RA10" s="308"/>
      <c r="RB10" s="308"/>
      <c r="RC10" s="308"/>
      <c r="RD10" s="308"/>
      <c r="RE10" s="308"/>
      <c r="RF10" s="308"/>
      <c r="RG10" s="308"/>
      <c r="RH10" s="308"/>
      <c r="RI10" s="308"/>
      <c r="RJ10" s="308"/>
      <c r="RK10" s="308"/>
      <c r="RL10" s="308"/>
      <c r="RM10" s="308"/>
      <c r="RN10" s="308"/>
      <c r="RO10" s="308"/>
      <c r="RP10" s="308"/>
      <c r="RQ10" s="308"/>
      <c r="RR10" s="308"/>
      <c r="RS10" s="308"/>
      <c r="RT10" s="308"/>
      <c r="RU10" s="308"/>
      <c r="RV10" s="308"/>
      <c r="RW10" s="308"/>
      <c r="RX10" s="308"/>
      <c r="RY10" s="308"/>
      <c r="RZ10" s="308"/>
      <c r="SA10" s="308"/>
      <c r="SB10" s="308"/>
      <c r="SC10" s="308"/>
      <c r="SD10" s="308"/>
      <c r="SE10" s="308"/>
      <c r="SF10" s="308"/>
      <c r="SG10" s="308"/>
      <c r="SH10" s="308"/>
      <c r="SI10" s="308"/>
      <c r="SJ10" s="308"/>
      <c r="SK10" s="308"/>
      <c r="SL10" s="308"/>
      <c r="SM10" s="308"/>
      <c r="SN10" s="308"/>
      <c r="SO10" s="308"/>
      <c r="SP10" s="308"/>
      <c r="SQ10" s="308"/>
      <c r="SR10" s="308"/>
      <c r="SS10" s="308"/>
      <c r="ST10" s="308"/>
      <c r="SU10" s="308"/>
      <c r="SV10" s="308"/>
      <c r="SW10" s="308"/>
      <c r="SX10" s="308"/>
      <c r="SY10" s="308"/>
      <c r="SZ10" s="308"/>
      <c r="TA10" s="308"/>
      <c r="TB10" s="308"/>
      <c r="TC10" s="308"/>
      <c r="TD10" s="308"/>
      <c r="TE10" s="308"/>
      <c r="TF10" s="308"/>
      <c r="TG10" s="308"/>
      <c r="TH10" s="308"/>
      <c r="TI10" s="308"/>
      <c r="TJ10" s="308"/>
      <c r="TK10" s="308"/>
      <c r="TL10" s="308"/>
      <c r="TM10" s="308"/>
      <c r="TN10" s="308"/>
      <c r="TO10" s="308"/>
      <c r="TP10" s="308"/>
      <c r="TQ10" s="308"/>
      <c r="TR10" s="308"/>
      <c r="TS10" s="308"/>
      <c r="TT10" s="308"/>
      <c r="TU10" s="308"/>
      <c r="TV10" s="308"/>
      <c r="TW10" s="308"/>
      <c r="TX10" s="308"/>
      <c r="TY10" s="308"/>
      <c r="TZ10" s="308"/>
      <c r="UA10" s="308"/>
      <c r="UB10" s="308"/>
      <c r="UC10" s="308"/>
      <c r="UD10" s="308"/>
      <c r="UE10" s="308"/>
      <c r="UF10" s="308"/>
      <c r="UG10" s="308"/>
      <c r="UH10" s="308"/>
      <c r="UI10" s="308"/>
      <c r="UJ10" s="308"/>
      <c r="UK10" s="308"/>
      <c r="UL10" s="308"/>
      <c r="UM10" s="308"/>
      <c r="UN10" s="308"/>
      <c r="UO10" s="308"/>
      <c r="UP10" s="308"/>
      <c r="UQ10" s="308"/>
      <c r="UR10" s="308"/>
      <c r="US10" s="308"/>
      <c r="UT10" s="308"/>
      <c r="UU10" s="308"/>
      <c r="UV10" s="308"/>
      <c r="UW10" s="308"/>
      <c r="UX10" s="308"/>
      <c r="UY10" s="308"/>
      <c r="UZ10" s="308"/>
      <c r="VA10" s="308"/>
      <c r="VB10" s="308"/>
      <c r="VC10" s="308"/>
      <c r="VD10" s="308"/>
      <c r="VE10" s="308"/>
      <c r="VF10" s="308"/>
      <c r="VG10" s="308"/>
      <c r="VH10" s="308"/>
      <c r="VI10" s="308"/>
      <c r="VJ10" s="308"/>
      <c r="VK10" s="308"/>
      <c r="VL10" s="308"/>
      <c r="VM10" s="308"/>
      <c r="VN10" s="308"/>
      <c r="VO10" s="308"/>
      <c r="VP10" s="308"/>
      <c r="VQ10" s="308"/>
      <c r="VR10" s="308"/>
      <c r="VS10" s="308"/>
      <c r="VT10" s="308"/>
      <c r="VU10" s="308"/>
      <c r="VV10" s="308"/>
      <c r="VW10" s="308"/>
      <c r="VX10" s="308"/>
      <c r="VY10" s="308"/>
      <c r="VZ10" s="308"/>
      <c r="WA10" s="308"/>
      <c r="WB10" s="308"/>
      <c r="WC10" s="308"/>
      <c r="WD10" s="308"/>
      <c r="WE10" s="308"/>
      <c r="WF10" s="308"/>
      <c r="WG10" s="308"/>
      <c r="WH10" s="308"/>
      <c r="WI10" s="308"/>
      <c r="WJ10" s="308"/>
      <c r="WK10" s="308"/>
      <c r="WL10" s="308"/>
      <c r="WM10" s="308"/>
      <c r="WN10" s="308"/>
      <c r="WO10" s="308"/>
      <c r="WP10" s="308"/>
      <c r="WQ10" s="308"/>
      <c r="WR10" s="308"/>
      <c r="WS10" s="308"/>
      <c r="WT10" s="308"/>
      <c r="WU10" s="308"/>
      <c r="WV10" s="308"/>
      <c r="WW10" s="308"/>
      <c r="WX10" s="308"/>
      <c r="WY10" s="308"/>
      <c r="WZ10" s="308"/>
      <c r="XA10" s="308"/>
      <c r="XB10" s="308"/>
      <c r="XC10" s="308"/>
      <c r="XD10" s="308"/>
      <c r="XE10" s="308"/>
      <c r="XF10" s="308"/>
      <c r="XG10" s="308"/>
      <c r="XH10" s="308"/>
      <c r="XI10" s="308"/>
      <c r="XJ10" s="308"/>
      <c r="XK10" s="308"/>
      <c r="XL10" s="308"/>
      <c r="XM10" s="308"/>
      <c r="XN10" s="308"/>
      <c r="XO10" s="308"/>
      <c r="XP10" s="308"/>
      <c r="XQ10" s="308"/>
      <c r="XR10" s="308"/>
      <c r="XS10" s="308"/>
      <c r="XT10" s="308"/>
      <c r="XU10" s="308"/>
      <c r="XV10" s="308"/>
      <c r="XW10" s="308"/>
      <c r="XX10" s="308"/>
      <c r="XY10" s="308"/>
      <c r="XZ10" s="308"/>
      <c r="YA10" s="308"/>
      <c r="YB10" s="308"/>
      <c r="YC10" s="308"/>
      <c r="YD10" s="308"/>
      <c r="YE10" s="308"/>
      <c r="YF10" s="308"/>
      <c r="YG10" s="308"/>
      <c r="YH10" s="308"/>
      <c r="YI10" s="308"/>
      <c r="YJ10" s="308"/>
      <c r="YK10" s="308"/>
      <c r="YL10" s="308"/>
      <c r="YM10" s="308"/>
      <c r="YN10" s="308"/>
      <c r="YO10" s="308"/>
      <c r="YP10" s="308"/>
      <c r="YQ10" s="308"/>
      <c r="YR10" s="308"/>
      <c r="YS10" s="308"/>
      <c r="YT10" s="308"/>
      <c r="YU10" s="308"/>
      <c r="YV10" s="308"/>
      <c r="YW10" s="308"/>
      <c r="YX10" s="308"/>
      <c r="YY10" s="308"/>
      <c r="YZ10" s="308"/>
      <c r="ZA10" s="308"/>
      <c r="ZB10" s="308"/>
      <c r="ZC10" s="308"/>
      <c r="ZD10" s="308"/>
      <c r="ZE10" s="308"/>
      <c r="ZF10" s="308"/>
      <c r="ZG10" s="308"/>
      <c r="ZH10" s="308"/>
      <c r="ZI10" s="308"/>
      <c r="ZJ10" s="308"/>
      <c r="ZK10" s="308"/>
      <c r="ZL10" s="308"/>
      <c r="ZM10" s="308"/>
      <c r="ZN10" s="308"/>
      <c r="ZO10" s="308"/>
      <c r="ZP10" s="308"/>
      <c r="ZQ10" s="308"/>
      <c r="ZR10" s="308"/>
      <c r="ZS10" s="308"/>
      <c r="ZT10" s="308"/>
      <c r="ZU10" s="308"/>
      <c r="ZV10" s="308"/>
      <c r="ZW10" s="308"/>
      <c r="ZX10" s="308"/>
      <c r="ZY10" s="308"/>
      <c r="ZZ10" s="308"/>
      <c r="AAA10" s="308"/>
      <c r="AAB10" s="308"/>
      <c r="AAC10" s="308"/>
      <c r="AAD10" s="308"/>
      <c r="AAE10" s="308"/>
      <c r="AAF10" s="308"/>
      <c r="AAG10" s="308"/>
      <c r="AAH10" s="308"/>
      <c r="AAI10" s="308"/>
      <c r="AAJ10" s="308"/>
      <c r="AAK10" s="308"/>
      <c r="AAL10" s="308"/>
      <c r="AAM10" s="308"/>
      <c r="AAN10" s="308"/>
      <c r="AAO10" s="308"/>
      <c r="AAP10" s="308"/>
      <c r="AAQ10" s="308"/>
      <c r="AAR10" s="308"/>
      <c r="AAS10" s="308"/>
      <c r="AAT10" s="308"/>
      <c r="AAU10" s="308"/>
      <c r="AAV10" s="308"/>
      <c r="AAW10" s="308"/>
      <c r="AAX10" s="308"/>
      <c r="AAY10" s="308"/>
      <c r="AAZ10" s="308"/>
      <c r="ABA10" s="308"/>
      <c r="ABB10" s="308"/>
      <c r="ABC10" s="308"/>
      <c r="ABD10" s="308"/>
      <c r="ABE10" s="308"/>
      <c r="ABF10" s="308"/>
      <c r="ABG10" s="308"/>
      <c r="ABH10" s="308"/>
      <c r="ABI10" s="308"/>
      <c r="ABJ10" s="308"/>
      <c r="ABK10" s="308"/>
      <c r="ABL10" s="308"/>
      <c r="ABM10" s="308"/>
      <c r="ABN10" s="308"/>
      <c r="ABO10" s="308"/>
      <c r="ABP10" s="308"/>
      <c r="ABQ10" s="308"/>
      <c r="ABR10" s="308"/>
      <c r="ABS10" s="308"/>
      <c r="ABT10" s="308"/>
      <c r="ABU10" s="308"/>
      <c r="ABV10" s="308"/>
      <c r="ABW10" s="308"/>
      <c r="ABX10" s="308"/>
      <c r="ABY10" s="308"/>
      <c r="ABZ10" s="308"/>
      <c r="ACA10" s="308"/>
      <c r="ACB10" s="308"/>
      <c r="ACC10" s="308"/>
      <c r="ACD10" s="308"/>
      <c r="ACE10" s="308"/>
      <c r="ACF10" s="308"/>
      <c r="ACG10" s="308"/>
      <c r="ACH10" s="308"/>
      <c r="ACI10" s="308"/>
      <c r="ACJ10" s="308"/>
      <c r="ACK10" s="308"/>
      <c r="ACL10" s="308"/>
      <c r="ACM10" s="308"/>
      <c r="ACN10" s="308"/>
      <c r="ACO10" s="308"/>
      <c r="ACP10" s="308"/>
      <c r="ACQ10" s="308"/>
      <c r="ACR10" s="308"/>
      <c r="ACS10" s="308"/>
      <c r="ACT10" s="308"/>
      <c r="ACU10" s="308"/>
      <c r="ACV10" s="308"/>
      <c r="ACW10" s="308"/>
      <c r="ACX10" s="308"/>
      <c r="ACY10" s="308"/>
      <c r="ACZ10" s="308"/>
      <c r="ADA10" s="308"/>
      <c r="ADB10" s="308"/>
      <c r="ADC10" s="308"/>
      <c r="ADD10" s="308"/>
      <c r="ADE10" s="308"/>
      <c r="ADF10" s="308"/>
      <c r="ADG10" s="308"/>
      <c r="ADH10" s="308"/>
      <c r="ADI10" s="308"/>
      <c r="ADJ10" s="308"/>
      <c r="ADK10" s="308"/>
      <c r="ADL10" s="308"/>
      <c r="ADM10" s="308"/>
      <c r="ADN10" s="308"/>
      <c r="ADO10" s="308"/>
      <c r="ADP10" s="308"/>
      <c r="ADQ10" s="308"/>
      <c r="ADR10" s="308"/>
      <c r="ADS10" s="308"/>
      <c r="ADT10" s="308"/>
      <c r="ADU10" s="308"/>
      <c r="ADV10" s="308"/>
      <c r="ADW10" s="308"/>
      <c r="ADX10" s="308"/>
      <c r="ADY10" s="308"/>
      <c r="ADZ10" s="308"/>
      <c r="AEA10" s="308"/>
      <c r="AEB10" s="308"/>
      <c r="AEC10" s="308"/>
      <c r="AED10" s="308"/>
      <c r="AEE10" s="308"/>
      <c r="AEF10" s="308"/>
      <c r="AEG10" s="308"/>
      <c r="AEH10" s="308"/>
      <c r="AEI10" s="308"/>
      <c r="AEJ10" s="308"/>
      <c r="AEK10" s="308"/>
      <c r="AEL10" s="308"/>
      <c r="AEM10" s="308"/>
      <c r="AEN10" s="308"/>
      <c r="AEO10" s="308"/>
      <c r="AEP10" s="308"/>
      <c r="AEQ10" s="308"/>
      <c r="AER10" s="308"/>
      <c r="AES10" s="308"/>
      <c r="AET10" s="308"/>
      <c r="AEU10" s="308"/>
      <c r="AEV10" s="308"/>
      <c r="AEW10" s="308"/>
      <c r="AEX10" s="308"/>
      <c r="AEY10" s="308"/>
      <c r="AEZ10" s="308"/>
      <c r="AFA10" s="308"/>
      <c r="AFB10" s="308"/>
      <c r="AFC10" s="308"/>
      <c r="AFD10" s="308"/>
      <c r="AFE10" s="308"/>
      <c r="AFF10" s="308"/>
      <c r="AFG10" s="308"/>
      <c r="AFH10" s="308"/>
      <c r="AFI10" s="308"/>
      <c r="AFJ10" s="308"/>
      <c r="AFK10" s="308"/>
      <c r="AFL10" s="308"/>
      <c r="AFM10" s="308"/>
      <c r="AFN10" s="308"/>
      <c r="AFO10" s="308"/>
      <c r="AFP10" s="308"/>
      <c r="AFQ10" s="308"/>
      <c r="AFR10" s="308"/>
      <c r="AFS10" s="308"/>
      <c r="AFT10" s="308"/>
      <c r="AFU10" s="308"/>
      <c r="AFV10" s="308"/>
      <c r="AFW10" s="308"/>
      <c r="AFX10" s="308"/>
      <c r="AFY10" s="308"/>
      <c r="AFZ10" s="308"/>
      <c r="AGA10" s="308"/>
      <c r="AGB10" s="308"/>
      <c r="AGC10" s="308"/>
      <c r="AGD10" s="308"/>
      <c r="AGE10" s="308"/>
      <c r="AGF10" s="308"/>
      <c r="AGG10" s="308"/>
      <c r="AGH10" s="308"/>
      <c r="AGI10" s="308"/>
      <c r="AGJ10" s="308"/>
      <c r="AGK10" s="308"/>
      <c r="AGL10" s="308"/>
      <c r="AGM10" s="308"/>
      <c r="AGN10" s="308"/>
      <c r="AGO10" s="308"/>
      <c r="AGP10" s="308"/>
      <c r="AGQ10" s="308"/>
      <c r="AGR10" s="308"/>
      <c r="AGS10" s="308"/>
      <c r="AGT10" s="308"/>
      <c r="AGU10" s="308"/>
      <c r="AGV10" s="308"/>
      <c r="AGW10" s="308"/>
      <c r="AGX10" s="308"/>
      <c r="AGY10" s="308"/>
      <c r="AGZ10" s="308"/>
      <c r="AHA10" s="308"/>
      <c r="AHB10" s="308"/>
      <c r="AHC10" s="308"/>
      <c r="AHD10" s="308"/>
      <c r="AHE10" s="308"/>
      <c r="AHF10" s="308"/>
      <c r="AHG10" s="308"/>
      <c r="AHH10" s="308"/>
      <c r="AHI10" s="308"/>
      <c r="AHJ10" s="308"/>
      <c r="AHK10" s="308"/>
      <c r="AHL10" s="308"/>
      <c r="AHM10" s="308"/>
      <c r="AHN10" s="308"/>
      <c r="AHO10" s="308"/>
      <c r="AHP10" s="308"/>
      <c r="AHQ10" s="308"/>
      <c r="AHR10" s="308"/>
      <c r="AHS10" s="308"/>
      <c r="AHT10" s="308"/>
      <c r="AHU10" s="308"/>
      <c r="AHV10" s="308"/>
      <c r="AHW10" s="308"/>
      <c r="AHX10" s="308"/>
      <c r="AHY10" s="308"/>
      <c r="AHZ10" s="308"/>
      <c r="AIA10" s="308"/>
      <c r="AIB10" s="308"/>
      <c r="AIC10" s="308"/>
      <c r="AID10" s="308"/>
      <c r="AIE10" s="308"/>
      <c r="AIF10" s="308"/>
      <c r="AIG10" s="308"/>
      <c r="AIH10" s="308"/>
      <c r="AII10" s="308"/>
      <c r="AIJ10" s="308"/>
      <c r="AIK10" s="308"/>
      <c r="AIL10" s="308"/>
      <c r="AIM10" s="308"/>
      <c r="AIN10" s="308"/>
      <c r="AIO10" s="308"/>
      <c r="AIP10" s="308"/>
      <c r="AIQ10" s="308"/>
      <c r="AIR10" s="308"/>
      <c r="AIS10" s="308"/>
      <c r="AIT10" s="308"/>
      <c r="AIU10" s="308"/>
      <c r="AIV10" s="308"/>
      <c r="AIW10" s="308"/>
      <c r="AIX10" s="308"/>
      <c r="AIY10" s="308"/>
      <c r="AIZ10" s="308"/>
      <c r="AJA10" s="308"/>
      <c r="AJB10" s="308"/>
      <c r="AJC10" s="308"/>
    </row>
    <row r="11" spans="1:940" s="546" customFormat="1">
      <c r="A11" s="113">
        <f t="shared" si="0"/>
        <v>4</v>
      </c>
      <c r="B11" s="113">
        <v>546</v>
      </c>
      <c r="C11" s="113" t="s">
        <v>55</v>
      </c>
      <c r="D11" s="117">
        <v>5850000</v>
      </c>
      <c r="E11" s="117">
        <v>5850000</v>
      </c>
      <c r="F11" s="117">
        <f t="shared" si="1"/>
        <v>0</v>
      </c>
      <c r="G11" s="117">
        <v>3550000</v>
      </c>
      <c r="H11" s="117">
        <v>2895703.4</v>
      </c>
      <c r="I11" s="117"/>
      <c r="J11" s="117">
        <v>18052.75</v>
      </c>
      <c r="K11" s="117">
        <f t="shared" si="2"/>
        <v>18052.75</v>
      </c>
      <c r="L11" s="117">
        <f t="shared" si="3"/>
        <v>2913756.15</v>
      </c>
      <c r="M11" s="117">
        <f>P11+S11-600000</f>
        <v>36243.850000000093</v>
      </c>
      <c r="N11" s="117">
        <f>600000-600000</f>
        <v>0</v>
      </c>
      <c r="O11" s="117">
        <f t="shared" si="10"/>
        <v>2900000</v>
      </c>
      <c r="P11" s="117">
        <f t="shared" si="4"/>
        <v>636243.85000000009</v>
      </c>
      <c r="Q11" s="117"/>
      <c r="R11" s="117"/>
      <c r="S11" s="117">
        <f t="shared" si="5"/>
        <v>0</v>
      </c>
      <c r="T11" s="117">
        <f t="shared" si="6"/>
        <v>600000</v>
      </c>
      <c r="U11" s="117">
        <f t="shared" si="7"/>
        <v>-600000</v>
      </c>
      <c r="V11" s="117">
        <f t="shared" si="8"/>
        <v>-600000</v>
      </c>
      <c r="W11" s="543"/>
      <c r="X11" s="117"/>
      <c r="Y11" s="117"/>
      <c r="Z11" s="113"/>
      <c r="AA11" s="113">
        <v>742000</v>
      </c>
      <c r="AB11" s="117"/>
      <c r="AC11" s="117"/>
      <c r="AD11" s="117">
        <v>-600000</v>
      </c>
      <c r="AE11" s="117"/>
      <c r="AF11" s="117"/>
      <c r="AG11" s="117"/>
      <c r="AH11" s="117"/>
      <c r="AI11" s="117"/>
      <c r="AJ11" s="117"/>
      <c r="AK11" s="117">
        <f t="shared" si="11"/>
        <v>-600000</v>
      </c>
      <c r="AL11" s="565"/>
      <c r="AM11" s="566">
        <f t="shared" si="12"/>
        <v>-600000</v>
      </c>
      <c r="AN11" s="117">
        <f t="shared" si="13"/>
        <v>0</v>
      </c>
      <c r="AO11" s="117">
        <f t="shared" si="14"/>
        <v>-600000</v>
      </c>
      <c r="AP11" s="565"/>
      <c r="AQ11" s="565"/>
      <c r="AR11" s="565"/>
      <c r="AS11" s="565"/>
      <c r="AT11" s="117">
        <f t="shared" si="15"/>
        <v>0</v>
      </c>
      <c r="AU11" s="565"/>
      <c r="AV11" s="565"/>
      <c r="AW11" s="565"/>
      <c r="AX11" s="565"/>
      <c r="AY11" s="117">
        <f t="shared" si="16"/>
        <v>0</v>
      </c>
      <c r="AZ11" s="565"/>
      <c r="BA11" s="565"/>
      <c r="BB11" s="565"/>
      <c r="BC11" s="565"/>
      <c r="BD11" s="308"/>
      <c r="BE11" s="308"/>
      <c r="BF11" s="308"/>
      <c r="BG11" s="308"/>
      <c r="BH11" s="308"/>
      <c r="BI11" s="308"/>
      <c r="BJ11" s="308"/>
      <c r="BK11" s="308"/>
      <c r="BL11" s="308"/>
      <c r="BM11" s="308"/>
      <c r="BN11" s="308"/>
      <c r="BO11" s="308"/>
      <c r="BP11" s="308"/>
      <c r="BQ11" s="308"/>
      <c r="BR11" s="308"/>
      <c r="BS11" s="308"/>
      <c r="BT11" s="308"/>
      <c r="BU11" s="308"/>
      <c r="BV11" s="308"/>
      <c r="BW11" s="308"/>
      <c r="BX11" s="308"/>
      <c r="BY11" s="308"/>
      <c r="BZ11" s="308"/>
      <c r="CA11" s="308"/>
      <c r="CB11" s="308"/>
      <c r="CC11" s="308"/>
      <c r="CD11" s="308"/>
      <c r="CE11" s="308"/>
      <c r="CF11" s="308"/>
      <c r="CG11" s="308"/>
      <c r="CH11" s="308"/>
      <c r="CI11" s="308"/>
      <c r="CJ11" s="308"/>
      <c r="CK11" s="308"/>
      <c r="CL11" s="308"/>
      <c r="CM11" s="308"/>
      <c r="CN11" s="308"/>
      <c r="CO11" s="308"/>
      <c r="CP11" s="308"/>
      <c r="CQ11" s="308"/>
      <c r="CR11" s="308"/>
      <c r="CS11" s="308"/>
      <c r="CT11" s="308"/>
      <c r="CU11" s="308"/>
      <c r="CV11" s="308"/>
      <c r="CW11" s="308"/>
      <c r="CX11" s="308"/>
      <c r="CY11" s="308"/>
      <c r="CZ11" s="308"/>
      <c r="DA11" s="308"/>
      <c r="DB11" s="308"/>
      <c r="DC11" s="308"/>
      <c r="DD11" s="308"/>
      <c r="DE11" s="308"/>
      <c r="DF11" s="308"/>
      <c r="DG11" s="308"/>
      <c r="DH11" s="308"/>
      <c r="DI11" s="308"/>
      <c r="DJ11" s="308"/>
      <c r="DK11" s="308"/>
      <c r="DL11" s="308"/>
      <c r="DM11" s="308"/>
      <c r="DN11" s="308"/>
      <c r="DO11" s="308"/>
      <c r="DP11" s="308"/>
      <c r="DQ11" s="308"/>
      <c r="DR11" s="308"/>
      <c r="DS11" s="308"/>
      <c r="DT11" s="308"/>
      <c r="DU11" s="308"/>
      <c r="DV11" s="308"/>
      <c r="DW11" s="308"/>
      <c r="DX11" s="308"/>
      <c r="DY11" s="308"/>
      <c r="DZ11" s="308"/>
      <c r="EA11" s="308"/>
      <c r="EB11" s="308"/>
      <c r="EC11" s="308"/>
      <c r="ED11" s="308"/>
      <c r="EE11" s="308"/>
      <c r="EF11" s="308"/>
      <c r="EG11" s="308"/>
      <c r="EH11" s="308"/>
      <c r="EI11" s="308"/>
      <c r="EJ11" s="308"/>
      <c r="EK11" s="308"/>
      <c r="EL11" s="308"/>
      <c r="EM11" s="308"/>
      <c r="EN11" s="308"/>
      <c r="EO11" s="308"/>
      <c r="EP11" s="308"/>
      <c r="EQ11" s="308"/>
      <c r="ER11" s="308"/>
      <c r="ES11" s="308"/>
      <c r="ET11" s="308"/>
      <c r="EU11" s="308"/>
      <c r="EV11" s="308"/>
      <c r="EW11" s="308"/>
      <c r="EX11" s="308"/>
      <c r="EY11" s="308"/>
      <c r="EZ11" s="308"/>
      <c r="FA11" s="308"/>
      <c r="FB11" s="308"/>
      <c r="FC11" s="308"/>
      <c r="FD11" s="308"/>
      <c r="FE11" s="308"/>
      <c r="FF11" s="308"/>
      <c r="FG11" s="308"/>
      <c r="FH11" s="308"/>
      <c r="FI11" s="308"/>
      <c r="FJ11" s="308"/>
      <c r="FK11" s="308"/>
      <c r="FL11" s="308"/>
      <c r="FM11" s="308"/>
      <c r="FN11" s="308"/>
      <c r="FO11" s="308"/>
      <c r="FP11" s="308"/>
      <c r="FQ11" s="308"/>
      <c r="FR11" s="308"/>
      <c r="FS11" s="308"/>
      <c r="FT11" s="308"/>
      <c r="FU11" s="308"/>
      <c r="FV11" s="308"/>
      <c r="FW11" s="308"/>
      <c r="FX11" s="308"/>
      <c r="FY11" s="308"/>
      <c r="FZ11" s="308"/>
      <c r="GA11" s="308"/>
      <c r="GB11" s="308"/>
      <c r="GC11" s="308"/>
      <c r="GD11" s="308"/>
      <c r="GE11" s="308"/>
      <c r="GF11" s="308"/>
      <c r="GG11" s="308"/>
      <c r="GH11" s="308"/>
      <c r="GI11" s="308"/>
      <c r="GJ11" s="308"/>
      <c r="GK11" s="308"/>
      <c r="GL11" s="308"/>
      <c r="GM11" s="308"/>
      <c r="GN11" s="308"/>
      <c r="GO11" s="308"/>
      <c r="GP11" s="308"/>
      <c r="GQ11" s="308"/>
      <c r="GR11" s="308"/>
      <c r="GS11" s="308"/>
      <c r="GT11" s="308"/>
      <c r="GU11" s="308"/>
      <c r="GV11" s="308"/>
      <c r="GW11" s="308"/>
      <c r="GX11" s="308"/>
      <c r="GY11" s="308"/>
      <c r="GZ11" s="308"/>
      <c r="HA11" s="308"/>
      <c r="HB11" s="308"/>
      <c r="HC11" s="308"/>
      <c r="HD11" s="308"/>
      <c r="HE11" s="308"/>
      <c r="HF11" s="308"/>
      <c r="HG11" s="308"/>
      <c r="HH11" s="308"/>
      <c r="HI11" s="308"/>
      <c r="HJ11" s="308"/>
      <c r="HK11" s="308"/>
      <c r="HL11" s="308"/>
      <c r="HM11" s="308"/>
      <c r="HN11" s="308"/>
      <c r="HO11" s="308"/>
      <c r="HP11" s="308"/>
      <c r="HQ11" s="308"/>
      <c r="HR11" s="308"/>
      <c r="HS11" s="308"/>
      <c r="HT11" s="308"/>
      <c r="HU11" s="308"/>
      <c r="HV11" s="308"/>
      <c r="HW11" s="308"/>
      <c r="HX11" s="308"/>
      <c r="HY11" s="308"/>
      <c r="HZ11" s="308"/>
      <c r="IA11" s="308"/>
      <c r="IB11" s="308"/>
      <c r="IC11" s="308"/>
      <c r="ID11" s="308"/>
      <c r="IE11" s="308"/>
      <c r="IF11" s="308"/>
      <c r="IG11" s="308"/>
      <c r="IH11" s="308"/>
      <c r="II11" s="308"/>
      <c r="IJ11" s="308"/>
      <c r="IK11" s="308"/>
      <c r="IL11" s="308"/>
      <c r="IM11" s="308"/>
      <c r="IN11" s="308"/>
      <c r="IO11" s="308"/>
      <c r="IP11" s="308"/>
      <c r="IQ11" s="308"/>
      <c r="IR11" s="308"/>
      <c r="IS11" s="308"/>
      <c r="IT11" s="308"/>
      <c r="IU11" s="308"/>
      <c r="IV11" s="308"/>
      <c r="IW11" s="308"/>
      <c r="IX11" s="308"/>
      <c r="IY11" s="308"/>
      <c r="IZ11" s="308"/>
      <c r="JA11" s="308"/>
      <c r="JB11" s="308"/>
      <c r="JC11" s="308"/>
      <c r="JD11" s="308"/>
      <c r="JE11" s="308"/>
      <c r="JF11" s="308"/>
      <c r="JG11" s="308"/>
      <c r="JH11" s="308"/>
      <c r="JI11" s="308"/>
      <c r="JJ11" s="308"/>
      <c r="JK11" s="308"/>
      <c r="JL11" s="308"/>
      <c r="JM11" s="308"/>
      <c r="JN11" s="308"/>
      <c r="JO11" s="308"/>
      <c r="JP11" s="308"/>
      <c r="JQ11" s="308"/>
      <c r="JR11" s="308"/>
      <c r="JS11" s="308"/>
      <c r="JT11" s="308"/>
      <c r="JU11" s="308"/>
      <c r="JV11" s="308"/>
      <c r="JW11" s="308"/>
      <c r="JX11" s="308"/>
      <c r="JY11" s="308"/>
      <c r="JZ11" s="308"/>
      <c r="KA11" s="308"/>
      <c r="KB11" s="308"/>
      <c r="KC11" s="308"/>
      <c r="KD11" s="308"/>
      <c r="KE11" s="308"/>
      <c r="KF11" s="308"/>
      <c r="KG11" s="308"/>
      <c r="KH11" s="308"/>
      <c r="KI11" s="308"/>
      <c r="KJ11" s="308"/>
      <c r="KK11" s="308"/>
      <c r="KL11" s="308"/>
      <c r="KM11" s="308"/>
      <c r="KN11" s="308"/>
      <c r="KO11" s="308"/>
      <c r="KP11" s="308"/>
      <c r="KQ11" s="308"/>
      <c r="KR11" s="308"/>
      <c r="KS11" s="308"/>
      <c r="KT11" s="308"/>
      <c r="KU11" s="308"/>
      <c r="KV11" s="308"/>
      <c r="KW11" s="308"/>
      <c r="KX11" s="308"/>
      <c r="KY11" s="308"/>
      <c r="KZ11" s="308"/>
      <c r="LA11" s="308"/>
      <c r="LB11" s="308"/>
      <c r="LC11" s="308"/>
      <c r="LD11" s="308"/>
      <c r="LE11" s="308"/>
      <c r="LF11" s="308"/>
      <c r="LG11" s="308"/>
      <c r="LH11" s="308"/>
      <c r="LI11" s="308"/>
      <c r="LJ11" s="308"/>
      <c r="LK11" s="308"/>
      <c r="LL11" s="308"/>
      <c r="LM11" s="308"/>
      <c r="LN11" s="308"/>
      <c r="LO11" s="308"/>
      <c r="LP11" s="308"/>
      <c r="LQ11" s="308"/>
      <c r="LR11" s="308"/>
      <c r="LS11" s="308"/>
      <c r="LT11" s="308"/>
      <c r="LU11" s="308"/>
      <c r="LV11" s="308"/>
      <c r="LW11" s="308"/>
      <c r="LX11" s="308"/>
      <c r="LY11" s="308"/>
      <c r="LZ11" s="308"/>
      <c r="MA11" s="308"/>
      <c r="MB11" s="308"/>
      <c r="MC11" s="308"/>
      <c r="MD11" s="308"/>
      <c r="ME11" s="308"/>
      <c r="MF11" s="308"/>
      <c r="MG11" s="308"/>
      <c r="MH11" s="308"/>
      <c r="MI11" s="308"/>
      <c r="MJ11" s="308"/>
      <c r="MK11" s="308"/>
      <c r="ML11" s="308"/>
      <c r="MM11" s="308"/>
      <c r="MN11" s="308"/>
      <c r="MO11" s="308"/>
      <c r="MP11" s="308"/>
      <c r="MQ11" s="308"/>
      <c r="MR11" s="308"/>
      <c r="MS11" s="308"/>
      <c r="MT11" s="308"/>
      <c r="MU11" s="308"/>
      <c r="MV11" s="308"/>
      <c r="MW11" s="308"/>
      <c r="MX11" s="308"/>
      <c r="MY11" s="308"/>
      <c r="MZ11" s="308"/>
      <c r="NA11" s="308"/>
      <c r="NB11" s="308"/>
      <c r="NC11" s="308"/>
      <c r="ND11" s="308"/>
      <c r="NE11" s="308"/>
      <c r="NF11" s="308"/>
      <c r="NG11" s="308"/>
      <c r="NH11" s="308"/>
      <c r="NI11" s="308"/>
      <c r="NJ11" s="308"/>
      <c r="NK11" s="308"/>
      <c r="NL11" s="308"/>
      <c r="NM11" s="308"/>
      <c r="NN11" s="308"/>
      <c r="NO11" s="308"/>
      <c r="NP11" s="308"/>
      <c r="NQ11" s="308"/>
      <c r="NR11" s="308"/>
      <c r="NS11" s="308"/>
      <c r="NT11" s="308"/>
      <c r="NU11" s="308"/>
      <c r="NV11" s="308"/>
      <c r="NW11" s="308"/>
      <c r="NX11" s="308"/>
      <c r="NY11" s="308"/>
      <c r="NZ11" s="308"/>
      <c r="OA11" s="308"/>
      <c r="OB11" s="308"/>
      <c r="OC11" s="308"/>
      <c r="OD11" s="308"/>
      <c r="OE11" s="308"/>
      <c r="OF11" s="308"/>
      <c r="OG11" s="308"/>
      <c r="OH11" s="308"/>
      <c r="OI11" s="308"/>
      <c r="OJ11" s="308"/>
      <c r="OK11" s="308"/>
      <c r="OL11" s="308"/>
      <c r="OM11" s="308"/>
      <c r="ON11" s="308"/>
      <c r="OO11" s="308"/>
      <c r="OP11" s="308"/>
      <c r="OQ11" s="308"/>
      <c r="OR11" s="308"/>
      <c r="OS11" s="308"/>
      <c r="OT11" s="308"/>
      <c r="OU11" s="308"/>
      <c r="OV11" s="308"/>
      <c r="OW11" s="308"/>
      <c r="OX11" s="308"/>
      <c r="OY11" s="308"/>
      <c r="OZ11" s="308"/>
      <c r="PA11" s="308"/>
      <c r="PB11" s="308"/>
      <c r="PC11" s="308"/>
      <c r="PD11" s="308"/>
      <c r="PE11" s="308"/>
      <c r="PF11" s="308"/>
      <c r="PG11" s="308"/>
      <c r="PH11" s="308"/>
      <c r="PI11" s="308"/>
      <c r="PJ11" s="308"/>
      <c r="PK11" s="308"/>
      <c r="PL11" s="308"/>
      <c r="PM11" s="308"/>
      <c r="PN11" s="308"/>
      <c r="PO11" s="308"/>
      <c r="PP11" s="308"/>
      <c r="PQ11" s="308"/>
      <c r="PR11" s="308"/>
      <c r="PS11" s="308"/>
      <c r="PT11" s="308"/>
      <c r="PU11" s="308"/>
      <c r="PV11" s="308"/>
      <c r="PW11" s="308"/>
      <c r="PX11" s="308"/>
      <c r="PY11" s="308"/>
      <c r="PZ11" s="308"/>
      <c r="QA11" s="308"/>
      <c r="QB11" s="308"/>
      <c r="QC11" s="308"/>
      <c r="QD11" s="308"/>
      <c r="QE11" s="308"/>
      <c r="QF11" s="308"/>
      <c r="QG11" s="308"/>
      <c r="QH11" s="308"/>
      <c r="QI11" s="308"/>
      <c r="QJ11" s="308"/>
      <c r="QK11" s="308"/>
      <c r="QL11" s="308"/>
      <c r="QM11" s="308"/>
      <c r="QN11" s="308"/>
      <c r="QO11" s="308"/>
      <c r="QP11" s="308"/>
      <c r="QQ11" s="308"/>
      <c r="QR11" s="308"/>
      <c r="QS11" s="308"/>
      <c r="QT11" s="308"/>
      <c r="QU11" s="308"/>
      <c r="QV11" s="308"/>
      <c r="QW11" s="308"/>
      <c r="QX11" s="308"/>
      <c r="QY11" s="308"/>
      <c r="QZ11" s="308"/>
      <c r="RA11" s="308"/>
      <c r="RB11" s="308"/>
      <c r="RC11" s="308"/>
      <c r="RD11" s="308"/>
      <c r="RE11" s="308"/>
      <c r="RF11" s="308"/>
      <c r="RG11" s="308"/>
      <c r="RH11" s="308"/>
      <c r="RI11" s="308"/>
      <c r="RJ11" s="308"/>
      <c r="RK11" s="308"/>
      <c r="RL11" s="308"/>
      <c r="RM11" s="308"/>
      <c r="RN11" s="308"/>
      <c r="RO11" s="308"/>
      <c r="RP11" s="308"/>
      <c r="RQ11" s="308"/>
      <c r="RR11" s="308"/>
      <c r="RS11" s="308"/>
      <c r="RT11" s="308"/>
      <c r="RU11" s="308"/>
      <c r="RV11" s="308"/>
      <c r="RW11" s="308"/>
      <c r="RX11" s="308"/>
      <c r="RY11" s="308"/>
      <c r="RZ11" s="308"/>
      <c r="SA11" s="308"/>
      <c r="SB11" s="308"/>
      <c r="SC11" s="308"/>
      <c r="SD11" s="308"/>
      <c r="SE11" s="308"/>
      <c r="SF11" s="308"/>
      <c r="SG11" s="308"/>
      <c r="SH11" s="308"/>
      <c r="SI11" s="308"/>
      <c r="SJ11" s="308"/>
      <c r="SK11" s="308"/>
      <c r="SL11" s="308"/>
      <c r="SM11" s="308"/>
      <c r="SN11" s="308"/>
      <c r="SO11" s="308"/>
      <c r="SP11" s="308"/>
      <c r="SQ11" s="308"/>
      <c r="SR11" s="308"/>
      <c r="SS11" s="308"/>
      <c r="ST11" s="308"/>
      <c r="SU11" s="308"/>
      <c r="SV11" s="308"/>
      <c r="SW11" s="308"/>
      <c r="SX11" s="308"/>
      <c r="SY11" s="308"/>
      <c r="SZ11" s="308"/>
      <c r="TA11" s="308"/>
      <c r="TB11" s="308"/>
      <c r="TC11" s="308"/>
      <c r="TD11" s="308"/>
      <c r="TE11" s="308"/>
      <c r="TF11" s="308"/>
      <c r="TG11" s="308"/>
      <c r="TH11" s="308"/>
      <c r="TI11" s="308"/>
      <c r="TJ11" s="308"/>
      <c r="TK11" s="308"/>
      <c r="TL11" s="308"/>
      <c r="TM11" s="308"/>
      <c r="TN11" s="308"/>
      <c r="TO11" s="308"/>
      <c r="TP11" s="308"/>
      <c r="TQ11" s="308"/>
      <c r="TR11" s="308"/>
      <c r="TS11" s="308"/>
      <c r="TT11" s="308"/>
      <c r="TU11" s="308"/>
      <c r="TV11" s="308"/>
      <c r="TW11" s="308"/>
      <c r="TX11" s="308"/>
      <c r="TY11" s="308"/>
      <c r="TZ11" s="308"/>
      <c r="UA11" s="308"/>
      <c r="UB11" s="308"/>
      <c r="UC11" s="308"/>
      <c r="UD11" s="308"/>
      <c r="UE11" s="308"/>
      <c r="UF11" s="308"/>
      <c r="UG11" s="308"/>
      <c r="UH11" s="308"/>
      <c r="UI11" s="308"/>
      <c r="UJ11" s="308"/>
      <c r="UK11" s="308"/>
      <c r="UL11" s="308"/>
      <c r="UM11" s="308"/>
      <c r="UN11" s="308"/>
      <c r="UO11" s="308"/>
      <c r="UP11" s="308"/>
      <c r="UQ11" s="308"/>
      <c r="UR11" s="308"/>
      <c r="US11" s="308"/>
      <c r="UT11" s="308"/>
      <c r="UU11" s="308"/>
      <c r="UV11" s="308"/>
      <c r="UW11" s="308"/>
      <c r="UX11" s="308"/>
      <c r="UY11" s="308"/>
      <c r="UZ11" s="308"/>
      <c r="VA11" s="308"/>
      <c r="VB11" s="308"/>
      <c r="VC11" s="308"/>
      <c r="VD11" s="308"/>
      <c r="VE11" s="308"/>
      <c r="VF11" s="308"/>
      <c r="VG11" s="308"/>
      <c r="VH11" s="308"/>
      <c r="VI11" s="308"/>
      <c r="VJ11" s="308"/>
      <c r="VK11" s="308"/>
      <c r="VL11" s="308"/>
      <c r="VM11" s="308"/>
      <c r="VN11" s="308"/>
      <c r="VO11" s="308"/>
      <c r="VP11" s="308"/>
      <c r="VQ11" s="308"/>
      <c r="VR11" s="308"/>
      <c r="VS11" s="308"/>
      <c r="VT11" s="308"/>
      <c r="VU11" s="308"/>
      <c r="VV11" s="308"/>
      <c r="VW11" s="308"/>
      <c r="VX11" s="308"/>
      <c r="VY11" s="308"/>
      <c r="VZ11" s="308"/>
      <c r="WA11" s="308"/>
      <c r="WB11" s="308"/>
      <c r="WC11" s="308"/>
      <c r="WD11" s="308"/>
      <c r="WE11" s="308"/>
      <c r="WF11" s="308"/>
      <c r="WG11" s="308"/>
      <c r="WH11" s="308"/>
      <c r="WI11" s="308"/>
      <c r="WJ11" s="308"/>
      <c r="WK11" s="308"/>
      <c r="WL11" s="308"/>
      <c r="WM11" s="308"/>
      <c r="WN11" s="308"/>
      <c r="WO11" s="308"/>
      <c r="WP11" s="308"/>
      <c r="WQ11" s="308"/>
      <c r="WR11" s="308"/>
      <c r="WS11" s="308"/>
      <c r="WT11" s="308"/>
      <c r="WU11" s="308"/>
      <c r="WV11" s="308"/>
      <c r="WW11" s="308"/>
      <c r="WX11" s="308"/>
      <c r="WY11" s="308"/>
      <c r="WZ11" s="308"/>
      <c r="XA11" s="308"/>
      <c r="XB11" s="308"/>
      <c r="XC11" s="308"/>
      <c r="XD11" s="308"/>
      <c r="XE11" s="308"/>
      <c r="XF11" s="308"/>
      <c r="XG11" s="308"/>
      <c r="XH11" s="308"/>
      <c r="XI11" s="308"/>
      <c r="XJ11" s="308"/>
      <c r="XK11" s="308"/>
      <c r="XL11" s="308"/>
      <c r="XM11" s="308"/>
      <c r="XN11" s="308"/>
      <c r="XO11" s="308"/>
      <c r="XP11" s="308"/>
      <c r="XQ11" s="308"/>
      <c r="XR11" s="308"/>
      <c r="XS11" s="308"/>
      <c r="XT11" s="308"/>
      <c r="XU11" s="308"/>
      <c r="XV11" s="308"/>
      <c r="XW11" s="308"/>
      <c r="XX11" s="308"/>
      <c r="XY11" s="308"/>
      <c r="XZ11" s="308"/>
      <c r="YA11" s="308"/>
      <c r="YB11" s="308"/>
      <c r="YC11" s="308"/>
      <c r="YD11" s="308"/>
      <c r="YE11" s="308"/>
      <c r="YF11" s="308"/>
      <c r="YG11" s="308"/>
      <c r="YH11" s="308"/>
      <c r="YI11" s="308"/>
      <c r="YJ11" s="308"/>
      <c r="YK11" s="308"/>
      <c r="YL11" s="308"/>
      <c r="YM11" s="308"/>
      <c r="YN11" s="308"/>
      <c r="YO11" s="308"/>
      <c r="YP11" s="308"/>
      <c r="YQ11" s="308"/>
      <c r="YR11" s="308"/>
      <c r="YS11" s="308"/>
      <c r="YT11" s="308"/>
      <c r="YU11" s="308"/>
      <c r="YV11" s="308"/>
      <c r="YW11" s="308"/>
      <c r="YX11" s="308"/>
      <c r="YY11" s="308"/>
      <c r="YZ11" s="308"/>
      <c r="ZA11" s="308"/>
      <c r="ZB11" s="308"/>
      <c r="ZC11" s="308"/>
      <c r="ZD11" s="308"/>
      <c r="ZE11" s="308"/>
      <c r="ZF11" s="308"/>
      <c r="ZG11" s="308"/>
      <c r="ZH11" s="308"/>
      <c r="ZI11" s="308"/>
      <c r="ZJ11" s="308"/>
      <c r="ZK11" s="308"/>
      <c r="ZL11" s="308"/>
      <c r="ZM11" s="308"/>
      <c r="ZN11" s="308"/>
      <c r="ZO11" s="308"/>
      <c r="ZP11" s="308"/>
      <c r="ZQ11" s="308"/>
      <c r="ZR11" s="308"/>
      <c r="ZS11" s="308"/>
      <c r="ZT11" s="308"/>
      <c r="ZU11" s="308"/>
      <c r="ZV11" s="308"/>
      <c r="ZW11" s="308"/>
      <c r="ZX11" s="308"/>
      <c r="ZY11" s="308"/>
      <c r="ZZ11" s="308"/>
      <c r="AAA11" s="308"/>
      <c r="AAB11" s="308"/>
      <c r="AAC11" s="308"/>
      <c r="AAD11" s="308"/>
      <c r="AAE11" s="308"/>
      <c r="AAF11" s="308"/>
      <c r="AAG11" s="308"/>
      <c r="AAH11" s="308"/>
      <c r="AAI11" s="308"/>
      <c r="AAJ11" s="308"/>
      <c r="AAK11" s="308"/>
      <c r="AAL11" s="308"/>
      <c r="AAM11" s="308"/>
      <c r="AAN11" s="308"/>
      <c r="AAO11" s="308"/>
      <c r="AAP11" s="308"/>
      <c r="AAQ11" s="308"/>
      <c r="AAR11" s="308"/>
      <c r="AAS11" s="308"/>
      <c r="AAT11" s="308"/>
      <c r="AAU11" s="308"/>
      <c r="AAV11" s="308"/>
      <c r="AAW11" s="308"/>
      <c r="AAX11" s="308"/>
      <c r="AAY11" s="308"/>
      <c r="AAZ11" s="308"/>
      <c r="ABA11" s="308"/>
      <c r="ABB11" s="308"/>
      <c r="ABC11" s="308"/>
      <c r="ABD11" s="308"/>
      <c r="ABE11" s="308"/>
      <c r="ABF11" s="308"/>
      <c r="ABG11" s="308"/>
      <c r="ABH11" s="308"/>
      <c r="ABI11" s="308"/>
      <c r="ABJ11" s="308"/>
      <c r="ABK11" s="308"/>
      <c r="ABL11" s="308"/>
      <c r="ABM11" s="308"/>
      <c r="ABN11" s="308"/>
      <c r="ABO11" s="308"/>
      <c r="ABP11" s="308"/>
      <c r="ABQ11" s="308"/>
      <c r="ABR11" s="308"/>
      <c r="ABS11" s="308"/>
      <c r="ABT11" s="308"/>
      <c r="ABU11" s="308"/>
      <c r="ABV11" s="308"/>
      <c r="ABW11" s="308"/>
      <c r="ABX11" s="308"/>
      <c r="ABY11" s="308"/>
      <c r="ABZ11" s="308"/>
      <c r="ACA11" s="308"/>
      <c r="ACB11" s="308"/>
      <c r="ACC11" s="308"/>
      <c r="ACD11" s="308"/>
      <c r="ACE11" s="308"/>
      <c r="ACF11" s="308"/>
      <c r="ACG11" s="308"/>
      <c r="ACH11" s="308"/>
      <c r="ACI11" s="308"/>
      <c r="ACJ11" s="308"/>
      <c r="ACK11" s="308"/>
      <c r="ACL11" s="308"/>
      <c r="ACM11" s="308"/>
      <c r="ACN11" s="308"/>
      <c r="ACO11" s="308"/>
      <c r="ACP11" s="308"/>
      <c r="ACQ11" s="308"/>
      <c r="ACR11" s="308"/>
      <c r="ACS11" s="308"/>
      <c r="ACT11" s="308"/>
      <c r="ACU11" s="308"/>
      <c r="ACV11" s="308"/>
      <c r="ACW11" s="308"/>
      <c r="ACX11" s="308"/>
      <c r="ACY11" s="308"/>
      <c r="ACZ11" s="308"/>
      <c r="ADA11" s="308"/>
      <c r="ADB11" s="308"/>
      <c r="ADC11" s="308"/>
      <c r="ADD11" s="308"/>
      <c r="ADE11" s="308"/>
      <c r="ADF11" s="308"/>
      <c r="ADG11" s="308"/>
      <c r="ADH11" s="308"/>
      <c r="ADI11" s="308"/>
      <c r="ADJ11" s="308"/>
      <c r="ADK11" s="308"/>
      <c r="ADL11" s="308"/>
      <c r="ADM11" s="308"/>
      <c r="ADN11" s="308"/>
      <c r="ADO11" s="308"/>
      <c r="ADP11" s="308"/>
      <c r="ADQ11" s="308"/>
      <c r="ADR11" s="308"/>
      <c r="ADS11" s="308"/>
      <c r="ADT11" s="308"/>
      <c r="ADU11" s="308"/>
      <c r="ADV11" s="308"/>
      <c r="ADW11" s="308"/>
      <c r="ADX11" s="308"/>
      <c r="ADY11" s="308"/>
      <c r="ADZ11" s="308"/>
      <c r="AEA11" s="308"/>
      <c r="AEB11" s="308"/>
      <c r="AEC11" s="308"/>
      <c r="AED11" s="308"/>
      <c r="AEE11" s="308"/>
      <c r="AEF11" s="308"/>
      <c r="AEG11" s="308"/>
      <c r="AEH11" s="308"/>
      <c r="AEI11" s="308"/>
      <c r="AEJ11" s="308"/>
      <c r="AEK11" s="308"/>
      <c r="AEL11" s="308"/>
      <c r="AEM11" s="308"/>
      <c r="AEN11" s="308"/>
      <c r="AEO11" s="308"/>
      <c r="AEP11" s="308"/>
      <c r="AEQ11" s="308"/>
      <c r="AER11" s="308"/>
      <c r="AES11" s="308"/>
      <c r="AET11" s="308"/>
      <c r="AEU11" s="308"/>
      <c r="AEV11" s="308"/>
      <c r="AEW11" s="308"/>
      <c r="AEX11" s="308"/>
      <c r="AEY11" s="308"/>
      <c r="AEZ11" s="308"/>
      <c r="AFA11" s="308"/>
      <c r="AFB11" s="308"/>
      <c r="AFC11" s="308"/>
      <c r="AFD11" s="308"/>
      <c r="AFE11" s="308"/>
      <c r="AFF11" s="308"/>
      <c r="AFG11" s="308"/>
      <c r="AFH11" s="308"/>
      <c r="AFI11" s="308"/>
      <c r="AFJ11" s="308"/>
      <c r="AFK11" s="308"/>
      <c r="AFL11" s="308"/>
      <c r="AFM11" s="308"/>
      <c r="AFN11" s="308"/>
      <c r="AFO11" s="308"/>
      <c r="AFP11" s="308"/>
      <c r="AFQ11" s="308"/>
      <c r="AFR11" s="308"/>
      <c r="AFS11" s="308"/>
      <c r="AFT11" s="308"/>
      <c r="AFU11" s="308"/>
      <c r="AFV11" s="308"/>
      <c r="AFW11" s="308"/>
      <c r="AFX11" s="308"/>
      <c r="AFY11" s="308"/>
      <c r="AFZ11" s="308"/>
      <c r="AGA11" s="308"/>
      <c r="AGB11" s="308"/>
      <c r="AGC11" s="308"/>
      <c r="AGD11" s="308"/>
      <c r="AGE11" s="308"/>
      <c r="AGF11" s="308"/>
      <c r="AGG11" s="308"/>
      <c r="AGH11" s="308"/>
      <c r="AGI11" s="308"/>
      <c r="AGJ11" s="308"/>
      <c r="AGK11" s="308"/>
      <c r="AGL11" s="308"/>
      <c r="AGM11" s="308"/>
      <c r="AGN11" s="308"/>
      <c r="AGO11" s="308"/>
      <c r="AGP11" s="308"/>
      <c r="AGQ11" s="308"/>
      <c r="AGR11" s="308"/>
      <c r="AGS11" s="308"/>
      <c r="AGT11" s="308"/>
      <c r="AGU11" s="308"/>
      <c r="AGV11" s="308"/>
      <c r="AGW11" s="308"/>
      <c r="AGX11" s="308"/>
      <c r="AGY11" s="308"/>
      <c r="AGZ11" s="308"/>
      <c r="AHA11" s="308"/>
      <c r="AHB11" s="308"/>
      <c r="AHC11" s="308"/>
      <c r="AHD11" s="308"/>
      <c r="AHE11" s="308"/>
      <c r="AHF11" s="308"/>
      <c r="AHG11" s="308"/>
      <c r="AHH11" s="308"/>
      <c r="AHI11" s="308"/>
      <c r="AHJ11" s="308"/>
      <c r="AHK11" s="308"/>
      <c r="AHL11" s="308"/>
      <c r="AHM11" s="308"/>
      <c r="AHN11" s="308"/>
      <c r="AHO11" s="308"/>
      <c r="AHP11" s="308"/>
      <c r="AHQ11" s="308"/>
      <c r="AHR11" s="308"/>
      <c r="AHS11" s="308"/>
      <c r="AHT11" s="308"/>
      <c r="AHU11" s="308"/>
      <c r="AHV11" s="308"/>
      <c r="AHW11" s="308"/>
      <c r="AHX11" s="308"/>
      <c r="AHY11" s="308"/>
      <c r="AHZ11" s="308"/>
      <c r="AIA11" s="308"/>
      <c r="AIB11" s="308"/>
      <c r="AIC11" s="308"/>
      <c r="AID11" s="308"/>
      <c r="AIE11" s="308"/>
      <c r="AIF11" s="308"/>
      <c r="AIG11" s="308"/>
      <c r="AIH11" s="308"/>
      <c r="AII11" s="308"/>
      <c r="AIJ11" s="308"/>
      <c r="AIK11" s="308"/>
      <c r="AIL11" s="308"/>
      <c r="AIM11" s="308"/>
      <c r="AIN11" s="308"/>
      <c r="AIO11" s="308"/>
      <c r="AIP11" s="308"/>
      <c r="AIQ11" s="308"/>
      <c r="AIR11" s="308"/>
      <c r="AIS11" s="308"/>
      <c r="AIT11" s="308"/>
      <c r="AIU11" s="308"/>
      <c r="AIV11" s="308"/>
      <c r="AIW11" s="308"/>
      <c r="AIX11" s="308"/>
      <c r="AIY11" s="308"/>
      <c r="AIZ11" s="308"/>
      <c r="AJA11" s="308"/>
      <c r="AJB11" s="308"/>
      <c r="AJC11" s="308"/>
    </row>
    <row r="12" spans="1:940" s="546" customFormat="1">
      <c r="A12" s="113">
        <f t="shared" si="0"/>
        <v>5</v>
      </c>
      <c r="B12" s="113">
        <v>592</v>
      </c>
      <c r="C12" s="113" t="s">
        <v>29</v>
      </c>
      <c r="D12" s="117">
        <f>40720000+14173000</f>
        <v>54893000</v>
      </c>
      <c r="E12" s="117">
        <v>40720000</v>
      </c>
      <c r="F12" s="117">
        <f t="shared" si="1"/>
        <v>14173000</v>
      </c>
      <c r="G12" s="117">
        <v>18420000</v>
      </c>
      <c r="H12" s="117">
        <v>17302170.350000001</v>
      </c>
      <c r="I12" s="117">
        <v>178639.73</v>
      </c>
      <c r="J12" s="117">
        <v>24794.65</v>
      </c>
      <c r="K12" s="117">
        <f t="shared" si="2"/>
        <v>203434.38</v>
      </c>
      <c r="L12" s="117">
        <f t="shared" si="3"/>
        <v>17505604.73</v>
      </c>
      <c r="M12" s="117">
        <f t="shared" si="9"/>
        <v>914395.26999999955</v>
      </c>
      <c r="N12" s="117">
        <f>3500000+460000-3960000</f>
        <v>0</v>
      </c>
      <c r="O12" s="117">
        <f t="shared" si="10"/>
        <v>36473000</v>
      </c>
      <c r="P12" s="117">
        <f t="shared" si="4"/>
        <v>914395.26999999955</v>
      </c>
      <c r="Q12" s="117"/>
      <c r="R12" s="117"/>
      <c r="S12" s="117">
        <f t="shared" si="5"/>
        <v>0</v>
      </c>
      <c r="T12" s="117">
        <f t="shared" si="6"/>
        <v>0</v>
      </c>
      <c r="U12" s="117">
        <f t="shared" si="7"/>
        <v>0</v>
      </c>
      <c r="V12" s="117">
        <f t="shared" si="8"/>
        <v>0</v>
      </c>
      <c r="W12" s="543"/>
      <c r="X12" s="117"/>
      <c r="Y12" s="117"/>
      <c r="Z12" s="113"/>
      <c r="AA12" s="113">
        <v>742000</v>
      </c>
      <c r="AB12" s="117"/>
      <c r="AC12" s="117"/>
      <c r="AD12" s="117"/>
      <c r="AE12" s="117"/>
      <c r="AF12" s="117"/>
      <c r="AG12" s="117"/>
      <c r="AH12" s="117"/>
      <c r="AI12" s="117"/>
      <c r="AJ12" s="117"/>
      <c r="AK12" s="117">
        <f t="shared" si="11"/>
        <v>0</v>
      </c>
      <c r="AL12" s="115"/>
      <c r="AM12" s="566">
        <f t="shared" si="12"/>
        <v>0</v>
      </c>
      <c r="AN12" s="117">
        <f t="shared" si="13"/>
        <v>0</v>
      </c>
      <c r="AO12" s="117">
        <f t="shared" si="14"/>
        <v>0</v>
      </c>
      <c r="AP12" s="565"/>
      <c r="AQ12" s="565"/>
      <c r="AR12" s="565"/>
      <c r="AS12" s="565"/>
      <c r="AT12" s="117">
        <f t="shared" si="15"/>
        <v>0</v>
      </c>
      <c r="AU12" s="565"/>
      <c r="AV12" s="565"/>
      <c r="AW12" s="565"/>
      <c r="AX12" s="565"/>
      <c r="AY12" s="117">
        <f t="shared" si="16"/>
        <v>0</v>
      </c>
      <c r="AZ12" s="565"/>
      <c r="BA12" s="565"/>
      <c r="BB12" s="565"/>
      <c r="BC12" s="565"/>
      <c r="BD12" s="308"/>
      <c r="BE12" s="308"/>
      <c r="BF12" s="308"/>
      <c r="BG12" s="308"/>
      <c r="BH12" s="308"/>
      <c r="BI12" s="308"/>
      <c r="BJ12" s="308"/>
      <c r="BK12" s="308"/>
      <c r="BL12" s="308"/>
      <c r="BM12" s="308"/>
      <c r="BN12" s="308"/>
      <c r="BO12" s="308"/>
      <c r="BP12" s="308"/>
      <c r="BQ12" s="308"/>
      <c r="BR12" s="308"/>
      <c r="BS12" s="308"/>
      <c r="BT12" s="308"/>
      <c r="BU12" s="308"/>
      <c r="BV12" s="308"/>
      <c r="BW12" s="308"/>
      <c r="BX12" s="308"/>
      <c r="BY12" s="308"/>
      <c r="BZ12" s="308"/>
      <c r="CA12" s="308"/>
      <c r="CB12" s="308"/>
      <c r="CC12" s="308"/>
      <c r="CD12" s="308"/>
      <c r="CE12" s="308"/>
      <c r="CF12" s="308"/>
      <c r="CG12" s="308"/>
      <c r="CH12" s="308"/>
      <c r="CI12" s="308"/>
      <c r="CJ12" s="308"/>
      <c r="CK12" s="308"/>
      <c r="CL12" s="308"/>
      <c r="CM12" s="308"/>
      <c r="CN12" s="308"/>
      <c r="CO12" s="308"/>
      <c r="CP12" s="308"/>
      <c r="CQ12" s="308"/>
      <c r="CR12" s="308"/>
      <c r="CS12" s="308"/>
      <c r="CT12" s="308"/>
      <c r="CU12" s="308"/>
      <c r="CV12" s="308"/>
      <c r="CW12" s="308"/>
      <c r="CX12" s="308"/>
      <c r="CY12" s="308"/>
      <c r="CZ12" s="308"/>
      <c r="DA12" s="308"/>
      <c r="DB12" s="308"/>
      <c r="DC12" s="308"/>
      <c r="DD12" s="308"/>
      <c r="DE12" s="308"/>
      <c r="DF12" s="308"/>
      <c r="DG12" s="308"/>
      <c r="DH12" s="308"/>
      <c r="DI12" s="308"/>
      <c r="DJ12" s="308"/>
      <c r="DK12" s="308"/>
      <c r="DL12" s="308"/>
      <c r="DM12" s="308"/>
      <c r="DN12" s="308"/>
      <c r="DO12" s="308"/>
      <c r="DP12" s="308"/>
      <c r="DQ12" s="308"/>
      <c r="DR12" s="308"/>
      <c r="DS12" s="308"/>
      <c r="DT12" s="308"/>
      <c r="DU12" s="308"/>
      <c r="DV12" s="308"/>
      <c r="DW12" s="308"/>
      <c r="DX12" s="308"/>
      <c r="DY12" s="308"/>
      <c r="DZ12" s="308"/>
      <c r="EA12" s="308"/>
      <c r="EB12" s="308"/>
      <c r="EC12" s="308"/>
      <c r="ED12" s="308"/>
      <c r="EE12" s="308"/>
      <c r="EF12" s="308"/>
      <c r="EG12" s="308"/>
      <c r="EH12" s="308"/>
      <c r="EI12" s="308"/>
      <c r="EJ12" s="308"/>
      <c r="EK12" s="308"/>
      <c r="EL12" s="308"/>
      <c r="EM12" s="308"/>
      <c r="EN12" s="308"/>
      <c r="EO12" s="308"/>
      <c r="EP12" s="308"/>
      <c r="EQ12" s="308"/>
      <c r="ER12" s="308"/>
      <c r="ES12" s="308"/>
      <c r="ET12" s="308"/>
      <c r="EU12" s="308"/>
      <c r="EV12" s="308"/>
      <c r="EW12" s="308"/>
      <c r="EX12" s="308"/>
      <c r="EY12" s="308"/>
      <c r="EZ12" s="308"/>
      <c r="FA12" s="308"/>
      <c r="FB12" s="308"/>
      <c r="FC12" s="308"/>
      <c r="FD12" s="308"/>
      <c r="FE12" s="308"/>
      <c r="FF12" s="308"/>
      <c r="FG12" s="308"/>
      <c r="FH12" s="308"/>
      <c r="FI12" s="308"/>
      <c r="FJ12" s="308"/>
      <c r="FK12" s="308"/>
      <c r="FL12" s="308"/>
      <c r="FM12" s="308"/>
      <c r="FN12" s="308"/>
      <c r="FO12" s="308"/>
      <c r="FP12" s="308"/>
      <c r="FQ12" s="308"/>
      <c r="FR12" s="308"/>
      <c r="FS12" s="308"/>
      <c r="FT12" s="308"/>
      <c r="FU12" s="308"/>
      <c r="FV12" s="308"/>
      <c r="FW12" s="308"/>
      <c r="FX12" s="308"/>
      <c r="FY12" s="308"/>
      <c r="FZ12" s="308"/>
      <c r="GA12" s="308"/>
      <c r="GB12" s="308"/>
      <c r="GC12" s="308"/>
      <c r="GD12" s="308"/>
      <c r="GE12" s="308"/>
      <c r="GF12" s="308"/>
      <c r="GG12" s="308"/>
      <c r="GH12" s="308"/>
      <c r="GI12" s="308"/>
      <c r="GJ12" s="308"/>
      <c r="GK12" s="308"/>
      <c r="GL12" s="308"/>
      <c r="GM12" s="308"/>
      <c r="GN12" s="308"/>
      <c r="GO12" s="308"/>
      <c r="GP12" s="308"/>
      <c r="GQ12" s="308"/>
      <c r="GR12" s="308"/>
      <c r="GS12" s="308"/>
      <c r="GT12" s="308"/>
      <c r="GU12" s="308"/>
      <c r="GV12" s="308"/>
      <c r="GW12" s="308"/>
      <c r="GX12" s="308"/>
      <c r="GY12" s="308"/>
      <c r="GZ12" s="308"/>
      <c r="HA12" s="308"/>
      <c r="HB12" s="308"/>
      <c r="HC12" s="308"/>
      <c r="HD12" s="308"/>
      <c r="HE12" s="308"/>
      <c r="HF12" s="308"/>
      <c r="HG12" s="308"/>
      <c r="HH12" s="308"/>
      <c r="HI12" s="308"/>
      <c r="HJ12" s="308"/>
      <c r="HK12" s="308"/>
      <c r="HL12" s="308"/>
      <c r="HM12" s="308"/>
      <c r="HN12" s="308"/>
      <c r="HO12" s="308"/>
      <c r="HP12" s="308"/>
      <c r="HQ12" s="308"/>
      <c r="HR12" s="308"/>
      <c r="HS12" s="308"/>
      <c r="HT12" s="308"/>
      <c r="HU12" s="308"/>
      <c r="HV12" s="308"/>
      <c r="HW12" s="308"/>
      <c r="HX12" s="308"/>
      <c r="HY12" s="308"/>
      <c r="HZ12" s="308"/>
      <c r="IA12" s="308"/>
      <c r="IB12" s="308"/>
      <c r="IC12" s="308"/>
      <c r="ID12" s="308"/>
      <c r="IE12" s="308"/>
      <c r="IF12" s="308"/>
      <c r="IG12" s="308"/>
      <c r="IH12" s="308"/>
      <c r="II12" s="308"/>
      <c r="IJ12" s="308"/>
      <c r="IK12" s="308"/>
      <c r="IL12" s="308"/>
      <c r="IM12" s="308"/>
      <c r="IN12" s="308"/>
      <c r="IO12" s="308"/>
      <c r="IP12" s="308"/>
      <c r="IQ12" s="308"/>
      <c r="IR12" s="308"/>
      <c r="IS12" s="308"/>
      <c r="IT12" s="308"/>
      <c r="IU12" s="308"/>
      <c r="IV12" s="308"/>
      <c r="IW12" s="308"/>
      <c r="IX12" s="308"/>
      <c r="IY12" s="308"/>
      <c r="IZ12" s="308"/>
      <c r="JA12" s="308"/>
      <c r="JB12" s="308"/>
      <c r="JC12" s="308"/>
      <c r="JD12" s="308"/>
      <c r="JE12" s="308"/>
      <c r="JF12" s="308"/>
      <c r="JG12" s="308"/>
      <c r="JH12" s="308"/>
      <c r="JI12" s="308"/>
      <c r="JJ12" s="308"/>
      <c r="JK12" s="308"/>
      <c r="JL12" s="308"/>
      <c r="JM12" s="308"/>
      <c r="JN12" s="308"/>
      <c r="JO12" s="308"/>
      <c r="JP12" s="308"/>
      <c r="JQ12" s="308"/>
      <c r="JR12" s="308"/>
      <c r="JS12" s="308"/>
      <c r="JT12" s="308"/>
      <c r="JU12" s="308"/>
      <c r="JV12" s="308"/>
      <c r="JW12" s="308"/>
      <c r="JX12" s="308"/>
      <c r="JY12" s="308"/>
      <c r="JZ12" s="308"/>
      <c r="KA12" s="308"/>
      <c r="KB12" s="308"/>
      <c r="KC12" s="308"/>
      <c r="KD12" s="308"/>
      <c r="KE12" s="308"/>
      <c r="KF12" s="308"/>
      <c r="KG12" s="308"/>
      <c r="KH12" s="308"/>
      <c r="KI12" s="308"/>
      <c r="KJ12" s="308"/>
      <c r="KK12" s="308"/>
      <c r="KL12" s="308"/>
      <c r="KM12" s="308"/>
      <c r="KN12" s="308"/>
      <c r="KO12" s="308"/>
      <c r="KP12" s="308"/>
      <c r="KQ12" s="308"/>
      <c r="KR12" s="308"/>
      <c r="KS12" s="308"/>
      <c r="KT12" s="308"/>
      <c r="KU12" s="308"/>
      <c r="KV12" s="308"/>
      <c r="KW12" s="308"/>
      <c r="KX12" s="308"/>
      <c r="KY12" s="308"/>
      <c r="KZ12" s="308"/>
      <c r="LA12" s="308"/>
      <c r="LB12" s="308"/>
      <c r="LC12" s="308"/>
      <c r="LD12" s="308"/>
      <c r="LE12" s="308"/>
      <c r="LF12" s="308"/>
      <c r="LG12" s="308"/>
      <c r="LH12" s="308"/>
      <c r="LI12" s="308"/>
      <c r="LJ12" s="308"/>
      <c r="LK12" s="308"/>
      <c r="LL12" s="308"/>
      <c r="LM12" s="308"/>
      <c r="LN12" s="308"/>
      <c r="LO12" s="308"/>
      <c r="LP12" s="308"/>
      <c r="LQ12" s="308"/>
      <c r="LR12" s="308"/>
      <c r="LS12" s="308"/>
      <c r="LT12" s="308"/>
      <c r="LU12" s="308"/>
      <c r="LV12" s="308"/>
      <c r="LW12" s="308"/>
      <c r="LX12" s="308"/>
      <c r="LY12" s="308"/>
      <c r="LZ12" s="308"/>
      <c r="MA12" s="308"/>
      <c r="MB12" s="308"/>
      <c r="MC12" s="308"/>
      <c r="MD12" s="308"/>
      <c r="ME12" s="308"/>
      <c r="MF12" s="308"/>
      <c r="MG12" s="308"/>
      <c r="MH12" s="308"/>
      <c r="MI12" s="308"/>
      <c r="MJ12" s="308"/>
      <c r="MK12" s="308"/>
      <c r="ML12" s="308"/>
      <c r="MM12" s="308"/>
      <c r="MN12" s="308"/>
      <c r="MO12" s="308"/>
      <c r="MP12" s="308"/>
      <c r="MQ12" s="308"/>
      <c r="MR12" s="308"/>
      <c r="MS12" s="308"/>
      <c r="MT12" s="308"/>
      <c r="MU12" s="308"/>
      <c r="MV12" s="308"/>
      <c r="MW12" s="308"/>
      <c r="MX12" s="308"/>
      <c r="MY12" s="308"/>
      <c r="MZ12" s="308"/>
      <c r="NA12" s="308"/>
      <c r="NB12" s="308"/>
      <c r="NC12" s="308"/>
      <c r="ND12" s="308"/>
      <c r="NE12" s="308"/>
      <c r="NF12" s="308"/>
      <c r="NG12" s="308"/>
      <c r="NH12" s="308"/>
      <c r="NI12" s="308"/>
      <c r="NJ12" s="308"/>
      <c r="NK12" s="308"/>
      <c r="NL12" s="308"/>
      <c r="NM12" s="308"/>
      <c r="NN12" s="308"/>
      <c r="NO12" s="308"/>
      <c r="NP12" s="308"/>
      <c r="NQ12" s="308"/>
      <c r="NR12" s="308"/>
      <c r="NS12" s="308"/>
      <c r="NT12" s="308"/>
      <c r="NU12" s="308"/>
      <c r="NV12" s="308"/>
      <c r="NW12" s="308"/>
      <c r="NX12" s="308"/>
      <c r="NY12" s="308"/>
      <c r="NZ12" s="308"/>
      <c r="OA12" s="308"/>
      <c r="OB12" s="308"/>
      <c r="OC12" s="308"/>
      <c r="OD12" s="308"/>
      <c r="OE12" s="308"/>
      <c r="OF12" s="308"/>
      <c r="OG12" s="308"/>
      <c r="OH12" s="308"/>
      <c r="OI12" s="308"/>
      <c r="OJ12" s="308"/>
      <c r="OK12" s="308"/>
      <c r="OL12" s="308"/>
      <c r="OM12" s="308"/>
      <c r="ON12" s="308"/>
      <c r="OO12" s="308"/>
      <c r="OP12" s="308"/>
      <c r="OQ12" s="308"/>
      <c r="OR12" s="308"/>
      <c r="OS12" s="308"/>
      <c r="OT12" s="308"/>
      <c r="OU12" s="308"/>
      <c r="OV12" s="308"/>
      <c r="OW12" s="308"/>
      <c r="OX12" s="308"/>
      <c r="OY12" s="308"/>
      <c r="OZ12" s="308"/>
      <c r="PA12" s="308"/>
      <c r="PB12" s="308"/>
      <c r="PC12" s="308"/>
      <c r="PD12" s="308"/>
      <c r="PE12" s="308"/>
      <c r="PF12" s="308"/>
      <c r="PG12" s="308"/>
      <c r="PH12" s="308"/>
      <c r="PI12" s="308"/>
      <c r="PJ12" s="308"/>
      <c r="PK12" s="308"/>
      <c r="PL12" s="308"/>
      <c r="PM12" s="308"/>
      <c r="PN12" s="308"/>
      <c r="PO12" s="308"/>
      <c r="PP12" s="308"/>
      <c r="PQ12" s="308"/>
      <c r="PR12" s="308"/>
      <c r="PS12" s="308"/>
      <c r="PT12" s="308"/>
      <c r="PU12" s="308"/>
      <c r="PV12" s="308"/>
      <c r="PW12" s="308"/>
      <c r="PX12" s="308"/>
      <c r="PY12" s="308"/>
      <c r="PZ12" s="308"/>
      <c r="QA12" s="308"/>
      <c r="QB12" s="308"/>
      <c r="QC12" s="308"/>
      <c r="QD12" s="308"/>
      <c r="QE12" s="308"/>
      <c r="QF12" s="308"/>
      <c r="QG12" s="308"/>
      <c r="QH12" s="308"/>
      <c r="QI12" s="308"/>
      <c r="QJ12" s="308"/>
      <c r="QK12" s="308"/>
      <c r="QL12" s="308"/>
      <c r="QM12" s="308"/>
      <c r="QN12" s="308"/>
      <c r="QO12" s="308"/>
      <c r="QP12" s="308"/>
      <c r="QQ12" s="308"/>
      <c r="QR12" s="308"/>
      <c r="QS12" s="308"/>
      <c r="QT12" s="308"/>
      <c r="QU12" s="308"/>
      <c r="QV12" s="308"/>
      <c r="QW12" s="308"/>
      <c r="QX12" s="308"/>
      <c r="QY12" s="308"/>
      <c r="QZ12" s="308"/>
      <c r="RA12" s="308"/>
      <c r="RB12" s="308"/>
      <c r="RC12" s="308"/>
      <c r="RD12" s="308"/>
      <c r="RE12" s="308"/>
      <c r="RF12" s="308"/>
      <c r="RG12" s="308"/>
      <c r="RH12" s="308"/>
      <c r="RI12" s="308"/>
      <c r="RJ12" s="308"/>
      <c r="RK12" s="308"/>
      <c r="RL12" s="308"/>
      <c r="RM12" s="308"/>
      <c r="RN12" s="308"/>
      <c r="RO12" s="308"/>
      <c r="RP12" s="308"/>
      <c r="RQ12" s="308"/>
      <c r="RR12" s="308"/>
      <c r="RS12" s="308"/>
      <c r="RT12" s="308"/>
      <c r="RU12" s="308"/>
      <c r="RV12" s="308"/>
      <c r="RW12" s="308"/>
      <c r="RX12" s="308"/>
      <c r="RY12" s="308"/>
      <c r="RZ12" s="308"/>
      <c r="SA12" s="308"/>
      <c r="SB12" s="308"/>
      <c r="SC12" s="308"/>
      <c r="SD12" s="308"/>
      <c r="SE12" s="308"/>
      <c r="SF12" s="308"/>
      <c r="SG12" s="308"/>
      <c r="SH12" s="308"/>
      <c r="SI12" s="308"/>
      <c r="SJ12" s="308"/>
      <c r="SK12" s="308"/>
      <c r="SL12" s="308"/>
      <c r="SM12" s="308"/>
      <c r="SN12" s="308"/>
      <c r="SO12" s="308"/>
      <c r="SP12" s="308"/>
      <c r="SQ12" s="308"/>
      <c r="SR12" s="308"/>
      <c r="SS12" s="308"/>
      <c r="ST12" s="308"/>
      <c r="SU12" s="308"/>
      <c r="SV12" s="308"/>
      <c r="SW12" s="308"/>
      <c r="SX12" s="308"/>
      <c r="SY12" s="308"/>
      <c r="SZ12" s="308"/>
      <c r="TA12" s="308"/>
      <c r="TB12" s="308"/>
      <c r="TC12" s="308"/>
      <c r="TD12" s="308"/>
      <c r="TE12" s="308"/>
      <c r="TF12" s="308"/>
      <c r="TG12" s="308"/>
      <c r="TH12" s="308"/>
      <c r="TI12" s="308"/>
      <c r="TJ12" s="308"/>
      <c r="TK12" s="308"/>
      <c r="TL12" s="308"/>
      <c r="TM12" s="308"/>
      <c r="TN12" s="308"/>
      <c r="TO12" s="308"/>
      <c r="TP12" s="308"/>
      <c r="TQ12" s="308"/>
      <c r="TR12" s="308"/>
      <c r="TS12" s="308"/>
      <c r="TT12" s="308"/>
      <c r="TU12" s="308"/>
      <c r="TV12" s="308"/>
      <c r="TW12" s="308"/>
      <c r="TX12" s="308"/>
      <c r="TY12" s="308"/>
      <c r="TZ12" s="308"/>
      <c r="UA12" s="308"/>
      <c r="UB12" s="308"/>
      <c r="UC12" s="308"/>
      <c r="UD12" s="308"/>
      <c r="UE12" s="308"/>
      <c r="UF12" s="308"/>
      <c r="UG12" s="308"/>
      <c r="UH12" s="308"/>
      <c r="UI12" s="308"/>
      <c r="UJ12" s="308"/>
      <c r="UK12" s="308"/>
      <c r="UL12" s="308"/>
      <c r="UM12" s="308"/>
      <c r="UN12" s="308"/>
      <c r="UO12" s="308"/>
      <c r="UP12" s="308"/>
      <c r="UQ12" s="308"/>
      <c r="UR12" s="308"/>
      <c r="US12" s="308"/>
      <c r="UT12" s="308"/>
      <c r="UU12" s="308"/>
      <c r="UV12" s="308"/>
      <c r="UW12" s="308"/>
      <c r="UX12" s="308"/>
      <c r="UY12" s="308"/>
      <c r="UZ12" s="308"/>
      <c r="VA12" s="308"/>
      <c r="VB12" s="308"/>
      <c r="VC12" s="308"/>
      <c r="VD12" s="308"/>
      <c r="VE12" s="308"/>
      <c r="VF12" s="308"/>
      <c r="VG12" s="308"/>
      <c r="VH12" s="308"/>
      <c r="VI12" s="308"/>
      <c r="VJ12" s="308"/>
      <c r="VK12" s="308"/>
      <c r="VL12" s="308"/>
      <c r="VM12" s="308"/>
      <c r="VN12" s="308"/>
      <c r="VO12" s="308"/>
      <c r="VP12" s="308"/>
      <c r="VQ12" s="308"/>
      <c r="VR12" s="308"/>
      <c r="VS12" s="308"/>
      <c r="VT12" s="308"/>
      <c r="VU12" s="308"/>
      <c r="VV12" s="308"/>
      <c r="VW12" s="308"/>
      <c r="VX12" s="308"/>
      <c r="VY12" s="308"/>
      <c r="VZ12" s="308"/>
      <c r="WA12" s="308"/>
      <c r="WB12" s="308"/>
      <c r="WC12" s="308"/>
      <c r="WD12" s="308"/>
      <c r="WE12" s="308"/>
      <c r="WF12" s="308"/>
      <c r="WG12" s="308"/>
      <c r="WH12" s="308"/>
      <c r="WI12" s="308"/>
      <c r="WJ12" s="308"/>
      <c r="WK12" s="308"/>
      <c r="WL12" s="308"/>
      <c r="WM12" s="308"/>
      <c r="WN12" s="308"/>
      <c r="WO12" s="308"/>
      <c r="WP12" s="308"/>
      <c r="WQ12" s="308"/>
      <c r="WR12" s="308"/>
      <c r="WS12" s="308"/>
      <c r="WT12" s="308"/>
      <c r="WU12" s="308"/>
      <c r="WV12" s="308"/>
      <c r="WW12" s="308"/>
      <c r="WX12" s="308"/>
      <c r="WY12" s="308"/>
      <c r="WZ12" s="308"/>
      <c r="XA12" s="308"/>
      <c r="XB12" s="308"/>
      <c r="XC12" s="308"/>
      <c r="XD12" s="308"/>
      <c r="XE12" s="308"/>
      <c r="XF12" s="308"/>
      <c r="XG12" s="308"/>
      <c r="XH12" s="308"/>
      <c r="XI12" s="308"/>
      <c r="XJ12" s="308"/>
      <c r="XK12" s="308"/>
      <c r="XL12" s="308"/>
      <c r="XM12" s="308"/>
      <c r="XN12" s="308"/>
      <c r="XO12" s="308"/>
      <c r="XP12" s="308"/>
      <c r="XQ12" s="308"/>
      <c r="XR12" s="308"/>
      <c r="XS12" s="308"/>
      <c r="XT12" s="308"/>
      <c r="XU12" s="308"/>
      <c r="XV12" s="308"/>
      <c r="XW12" s="308"/>
      <c r="XX12" s="308"/>
      <c r="XY12" s="308"/>
      <c r="XZ12" s="308"/>
      <c r="YA12" s="308"/>
      <c r="YB12" s="308"/>
      <c r="YC12" s="308"/>
      <c r="YD12" s="308"/>
      <c r="YE12" s="308"/>
      <c r="YF12" s="308"/>
      <c r="YG12" s="308"/>
      <c r="YH12" s="308"/>
      <c r="YI12" s="308"/>
      <c r="YJ12" s="308"/>
      <c r="YK12" s="308"/>
      <c r="YL12" s="308"/>
      <c r="YM12" s="308"/>
      <c r="YN12" s="308"/>
      <c r="YO12" s="308"/>
      <c r="YP12" s="308"/>
      <c r="YQ12" s="308"/>
      <c r="YR12" s="308"/>
      <c r="YS12" s="308"/>
      <c r="YT12" s="308"/>
      <c r="YU12" s="308"/>
      <c r="YV12" s="308"/>
      <c r="YW12" s="308"/>
      <c r="YX12" s="308"/>
      <c r="YY12" s="308"/>
      <c r="YZ12" s="308"/>
      <c r="ZA12" s="308"/>
      <c r="ZB12" s="308"/>
      <c r="ZC12" s="308"/>
      <c r="ZD12" s="308"/>
      <c r="ZE12" s="308"/>
      <c r="ZF12" s="308"/>
      <c r="ZG12" s="308"/>
      <c r="ZH12" s="308"/>
      <c r="ZI12" s="308"/>
      <c r="ZJ12" s="308"/>
      <c r="ZK12" s="308"/>
      <c r="ZL12" s="308"/>
      <c r="ZM12" s="308"/>
      <c r="ZN12" s="308"/>
      <c r="ZO12" s="308"/>
      <c r="ZP12" s="308"/>
      <c r="ZQ12" s="308"/>
      <c r="ZR12" s="308"/>
      <c r="ZS12" s="308"/>
      <c r="ZT12" s="308"/>
      <c r="ZU12" s="308"/>
      <c r="ZV12" s="308"/>
      <c r="ZW12" s="308"/>
      <c r="ZX12" s="308"/>
      <c r="ZY12" s="308"/>
      <c r="ZZ12" s="308"/>
      <c r="AAA12" s="308"/>
      <c r="AAB12" s="308"/>
      <c r="AAC12" s="308"/>
      <c r="AAD12" s="308"/>
      <c r="AAE12" s="308"/>
      <c r="AAF12" s="308"/>
      <c r="AAG12" s="308"/>
      <c r="AAH12" s="308"/>
      <c r="AAI12" s="308"/>
      <c r="AAJ12" s="308"/>
      <c r="AAK12" s="308"/>
      <c r="AAL12" s="308"/>
      <c r="AAM12" s="308"/>
      <c r="AAN12" s="308"/>
      <c r="AAO12" s="308"/>
      <c r="AAP12" s="308"/>
      <c r="AAQ12" s="308"/>
      <c r="AAR12" s="308"/>
      <c r="AAS12" s="308"/>
      <c r="AAT12" s="308"/>
      <c r="AAU12" s="308"/>
      <c r="AAV12" s="308"/>
      <c r="AAW12" s="308"/>
      <c r="AAX12" s="308"/>
      <c r="AAY12" s="308"/>
      <c r="AAZ12" s="308"/>
      <c r="ABA12" s="308"/>
      <c r="ABB12" s="308"/>
      <c r="ABC12" s="308"/>
      <c r="ABD12" s="308"/>
      <c r="ABE12" s="308"/>
      <c r="ABF12" s="308"/>
      <c r="ABG12" s="308"/>
      <c r="ABH12" s="308"/>
      <c r="ABI12" s="308"/>
      <c r="ABJ12" s="308"/>
      <c r="ABK12" s="308"/>
      <c r="ABL12" s="308"/>
      <c r="ABM12" s="308"/>
      <c r="ABN12" s="308"/>
      <c r="ABO12" s="308"/>
      <c r="ABP12" s="308"/>
      <c r="ABQ12" s="308"/>
      <c r="ABR12" s="308"/>
      <c r="ABS12" s="308"/>
      <c r="ABT12" s="308"/>
      <c r="ABU12" s="308"/>
      <c r="ABV12" s="308"/>
      <c r="ABW12" s="308"/>
      <c r="ABX12" s="308"/>
      <c r="ABY12" s="308"/>
      <c r="ABZ12" s="308"/>
      <c r="ACA12" s="308"/>
      <c r="ACB12" s="308"/>
      <c r="ACC12" s="308"/>
      <c r="ACD12" s="308"/>
      <c r="ACE12" s="308"/>
      <c r="ACF12" s="308"/>
      <c r="ACG12" s="308"/>
      <c r="ACH12" s="308"/>
      <c r="ACI12" s="308"/>
      <c r="ACJ12" s="308"/>
      <c r="ACK12" s="308"/>
      <c r="ACL12" s="308"/>
      <c r="ACM12" s="308"/>
      <c r="ACN12" s="308"/>
      <c r="ACO12" s="308"/>
      <c r="ACP12" s="308"/>
      <c r="ACQ12" s="308"/>
      <c r="ACR12" s="308"/>
      <c r="ACS12" s="308"/>
      <c r="ACT12" s="308"/>
      <c r="ACU12" s="308"/>
      <c r="ACV12" s="308"/>
      <c r="ACW12" s="308"/>
      <c r="ACX12" s="308"/>
      <c r="ACY12" s="308"/>
      <c r="ACZ12" s="308"/>
      <c r="ADA12" s="308"/>
      <c r="ADB12" s="308"/>
      <c r="ADC12" s="308"/>
      <c r="ADD12" s="308"/>
      <c r="ADE12" s="308"/>
      <c r="ADF12" s="308"/>
      <c r="ADG12" s="308"/>
      <c r="ADH12" s="308"/>
      <c r="ADI12" s="308"/>
      <c r="ADJ12" s="308"/>
      <c r="ADK12" s="308"/>
      <c r="ADL12" s="308"/>
      <c r="ADM12" s="308"/>
      <c r="ADN12" s="308"/>
      <c r="ADO12" s="308"/>
      <c r="ADP12" s="308"/>
      <c r="ADQ12" s="308"/>
      <c r="ADR12" s="308"/>
      <c r="ADS12" s="308"/>
      <c r="ADT12" s="308"/>
      <c r="ADU12" s="308"/>
      <c r="ADV12" s="308"/>
      <c r="ADW12" s="308"/>
      <c r="ADX12" s="308"/>
      <c r="ADY12" s="308"/>
      <c r="ADZ12" s="308"/>
      <c r="AEA12" s="308"/>
      <c r="AEB12" s="308"/>
      <c r="AEC12" s="308"/>
      <c r="AED12" s="308"/>
      <c r="AEE12" s="308"/>
      <c r="AEF12" s="308"/>
      <c r="AEG12" s="308"/>
      <c r="AEH12" s="308"/>
      <c r="AEI12" s="308"/>
      <c r="AEJ12" s="308"/>
      <c r="AEK12" s="308"/>
      <c r="AEL12" s="308"/>
      <c r="AEM12" s="308"/>
      <c r="AEN12" s="308"/>
      <c r="AEO12" s="308"/>
      <c r="AEP12" s="308"/>
      <c r="AEQ12" s="308"/>
      <c r="AER12" s="308"/>
      <c r="AES12" s="308"/>
      <c r="AET12" s="308"/>
      <c r="AEU12" s="308"/>
      <c r="AEV12" s="308"/>
      <c r="AEW12" s="308"/>
      <c r="AEX12" s="308"/>
      <c r="AEY12" s="308"/>
      <c r="AEZ12" s="308"/>
      <c r="AFA12" s="308"/>
      <c r="AFB12" s="308"/>
      <c r="AFC12" s="308"/>
      <c r="AFD12" s="308"/>
      <c r="AFE12" s="308"/>
      <c r="AFF12" s="308"/>
      <c r="AFG12" s="308"/>
      <c r="AFH12" s="308"/>
      <c r="AFI12" s="308"/>
      <c r="AFJ12" s="308"/>
      <c r="AFK12" s="308"/>
      <c r="AFL12" s="308"/>
      <c r="AFM12" s="308"/>
      <c r="AFN12" s="308"/>
      <c r="AFO12" s="308"/>
      <c r="AFP12" s="308"/>
      <c r="AFQ12" s="308"/>
      <c r="AFR12" s="308"/>
      <c r="AFS12" s="308"/>
      <c r="AFT12" s="308"/>
      <c r="AFU12" s="308"/>
      <c r="AFV12" s="308"/>
      <c r="AFW12" s="308"/>
      <c r="AFX12" s="308"/>
      <c r="AFY12" s="308"/>
      <c r="AFZ12" s="308"/>
      <c r="AGA12" s="308"/>
      <c r="AGB12" s="308"/>
      <c r="AGC12" s="308"/>
      <c r="AGD12" s="308"/>
      <c r="AGE12" s="308"/>
      <c r="AGF12" s="308"/>
      <c r="AGG12" s="308"/>
      <c r="AGH12" s="308"/>
      <c r="AGI12" s="308"/>
      <c r="AGJ12" s="308"/>
      <c r="AGK12" s="308"/>
      <c r="AGL12" s="308"/>
      <c r="AGM12" s="308"/>
      <c r="AGN12" s="308"/>
      <c r="AGO12" s="308"/>
      <c r="AGP12" s="308"/>
      <c r="AGQ12" s="308"/>
      <c r="AGR12" s="308"/>
      <c r="AGS12" s="308"/>
      <c r="AGT12" s="308"/>
      <c r="AGU12" s="308"/>
      <c r="AGV12" s="308"/>
      <c r="AGW12" s="308"/>
      <c r="AGX12" s="308"/>
      <c r="AGY12" s="308"/>
      <c r="AGZ12" s="308"/>
      <c r="AHA12" s="308"/>
      <c r="AHB12" s="308"/>
      <c r="AHC12" s="308"/>
      <c r="AHD12" s="308"/>
      <c r="AHE12" s="308"/>
      <c r="AHF12" s="308"/>
      <c r="AHG12" s="308"/>
      <c r="AHH12" s="308"/>
      <c r="AHI12" s="308"/>
      <c r="AHJ12" s="308"/>
      <c r="AHK12" s="308"/>
      <c r="AHL12" s="308"/>
      <c r="AHM12" s="308"/>
      <c r="AHN12" s="308"/>
      <c r="AHO12" s="308"/>
      <c r="AHP12" s="308"/>
      <c r="AHQ12" s="308"/>
      <c r="AHR12" s="308"/>
      <c r="AHS12" s="308"/>
      <c r="AHT12" s="308"/>
      <c r="AHU12" s="308"/>
      <c r="AHV12" s="308"/>
      <c r="AHW12" s="308"/>
      <c r="AHX12" s="308"/>
      <c r="AHY12" s="308"/>
      <c r="AHZ12" s="308"/>
      <c r="AIA12" s="308"/>
      <c r="AIB12" s="308"/>
      <c r="AIC12" s="308"/>
      <c r="AID12" s="308"/>
      <c r="AIE12" s="308"/>
      <c r="AIF12" s="308"/>
      <c r="AIG12" s="308"/>
      <c r="AIH12" s="308"/>
      <c r="AII12" s="308"/>
      <c r="AIJ12" s="308"/>
      <c r="AIK12" s="308"/>
      <c r="AIL12" s="308"/>
      <c r="AIM12" s="308"/>
      <c r="AIN12" s="308"/>
      <c r="AIO12" s="308"/>
      <c r="AIP12" s="308"/>
      <c r="AIQ12" s="308"/>
      <c r="AIR12" s="308"/>
      <c r="AIS12" s="308"/>
      <c r="AIT12" s="308"/>
      <c r="AIU12" s="308"/>
      <c r="AIV12" s="308"/>
      <c r="AIW12" s="308"/>
      <c r="AIX12" s="308"/>
      <c r="AIY12" s="308"/>
      <c r="AIZ12" s="308"/>
      <c r="AJA12" s="308"/>
      <c r="AJB12" s="308"/>
      <c r="AJC12" s="308"/>
    </row>
    <row r="13" spans="1:940" s="546" customFormat="1">
      <c r="A13" s="113">
        <f t="shared" si="0"/>
        <v>6</v>
      </c>
      <c r="B13" s="113">
        <v>608</v>
      </c>
      <c r="C13" s="113" t="s">
        <v>37</v>
      </c>
      <c r="D13" s="117">
        <f>7300000+1000000</f>
        <v>8300000</v>
      </c>
      <c r="E13" s="117">
        <v>7300000</v>
      </c>
      <c r="F13" s="117">
        <f t="shared" si="1"/>
        <v>1000000</v>
      </c>
      <c r="G13" s="117">
        <v>5300000</v>
      </c>
      <c r="H13" s="117">
        <v>5071852.38</v>
      </c>
      <c r="I13" s="117"/>
      <c r="J13" s="117">
        <v>131164.42000000001</v>
      </c>
      <c r="K13" s="117">
        <f t="shared" si="2"/>
        <v>131164.42000000001</v>
      </c>
      <c r="L13" s="117">
        <f t="shared" si="3"/>
        <v>5203016.8</v>
      </c>
      <c r="M13" s="117">
        <f t="shared" si="9"/>
        <v>96983.200000000186</v>
      </c>
      <c r="N13" s="117">
        <f>1500000-750000</f>
        <v>750000</v>
      </c>
      <c r="O13" s="117">
        <f t="shared" si="10"/>
        <v>2250000</v>
      </c>
      <c r="P13" s="117">
        <f t="shared" si="4"/>
        <v>96983.200000000186</v>
      </c>
      <c r="Q13" s="117"/>
      <c r="R13" s="117"/>
      <c r="S13" s="117">
        <f t="shared" si="5"/>
        <v>0</v>
      </c>
      <c r="T13" s="117">
        <f t="shared" si="6"/>
        <v>0</v>
      </c>
      <c r="U13" s="117">
        <f t="shared" si="7"/>
        <v>750000</v>
      </c>
      <c r="V13" s="117">
        <f t="shared" si="8"/>
        <v>750000</v>
      </c>
      <c r="W13" s="543"/>
      <c r="X13" s="117"/>
      <c r="Y13" s="117"/>
      <c r="Z13" s="113"/>
      <c r="AA13" s="113">
        <v>745000</v>
      </c>
      <c r="AB13" s="117"/>
      <c r="AC13" s="117"/>
      <c r="AD13" s="117"/>
      <c r="AE13" s="117"/>
      <c r="AF13" s="117"/>
      <c r="AG13" s="117">
        <v>250000</v>
      </c>
      <c r="AH13" s="117"/>
      <c r="AI13" s="117">
        <v>500000</v>
      </c>
      <c r="AJ13" s="117"/>
      <c r="AK13" s="117">
        <f t="shared" si="11"/>
        <v>750000</v>
      </c>
      <c r="AL13" s="565"/>
      <c r="AM13" s="566">
        <f t="shared" si="12"/>
        <v>750000</v>
      </c>
      <c r="AN13" s="117">
        <f t="shared" si="13"/>
        <v>0</v>
      </c>
      <c r="AO13" s="117">
        <f t="shared" si="14"/>
        <v>750000</v>
      </c>
      <c r="AP13" s="565"/>
      <c r="AQ13" s="565"/>
      <c r="AR13" s="565"/>
      <c r="AS13" s="565"/>
      <c r="AT13" s="117">
        <f t="shared" si="15"/>
        <v>0</v>
      </c>
      <c r="AU13" s="565"/>
      <c r="AV13" s="565"/>
      <c r="AW13" s="565"/>
      <c r="AX13" s="565"/>
      <c r="AY13" s="117">
        <f t="shared" si="16"/>
        <v>0</v>
      </c>
      <c r="AZ13" s="565"/>
      <c r="BA13" s="565"/>
      <c r="BB13" s="565"/>
      <c r="BC13" s="565"/>
      <c r="BD13" s="308"/>
      <c r="BE13" s="308"/>
      <c r="BF13" s="308"/>
      <c r="BG13" s="308"/>
      <c r="BH13" s="308"/>
      <c r="BI13" s="308"/>
      <c r="BJ13" s="308"/>
      <c r="BK13" s="308"/>
      <c r="BL13" s="308"/>
      <c r="BM13" s="308"/>
      <c r="BN13" s="308"/>
      <c r="BO13" s="308"/>
      <c r="BP13" s="308"/>
      <c r="BQ13" s="308"/>
      <c r="BR13" s="308"/>
      <c r="BS13" s="308"/>
      <c r="BT13" s="308"/>
      <c r="BU13" s="308"/>
      <c r="BV13" s="308"/>
      <c r="BW13" s="308"/>
      <c r="BX13" s="308"/>
      <c r="BY13" s="308"/>
      <c r="BZ13" s="308"/>
      <c r="CA13" s="308"/>
      <c r="CB13" s="308"/>
      <c r="CC13" s="308"/>
      <c r="CD13" s="308"/>
      <c r="CE13" s="308"/>
      <c r="CF13" s="308"/>
      <c r="CG13" s="308"/>
      <c r="CH13" s="308"/>
      <c r="CI13" s="308"/>
      <c r="CJ13" s="308"/>
      <c r="CK13" s="308"/>
      <c r="CL13" s="308"/>
      <c r="CM13" s="308"/>
      <c r="CN13" s="308"/>
      <c r="CO13" s="308"/>
      <c r="CP13" s="308"/>
      <c r="CQ13" s="308"/>
      <c r="CR13" s="308"/>
      <c r="CS13" s="308"/>
      <c r="CT13" s="308"/>
      <c r="CU13" s="308"/>
      <c r="CV13" s="308"/>
      <c r="CW13" s="308"/>
      <c r="CX13" s="308"/>
      <c r="CY13" s="308"/>
      <c r="CZ13" s="308"/>
      <c r="DA13" s="308"/>
      <c r="DB13" s="308"/>
      <c r="DC13" s="308"/>
      <c r="DD13" s="308"/>
      <c r="DE13" s="308"/>
      <c r="DF13" s="308"/>
      <c r="DG13" s="308"/>
      <c r="DH13" s="308"/>
      <c r="DI13" s="308"/>
      <c r="DJ13" s="308"/>
      <c r="DK13" s="308"/>
      <c r="DL13" s="308"/>
      <c r="DM13" s="308"/>
      <c r="DN13" s="308"/>
      <c r="DO13" s="308"/>
      <c r="DP13" s="308"/>
      <c r="DQ13" s="308"/>
      <c r="DR13" s="308"/>
      <c r="DS13" s="308"/>
      <c r="DT13" s="308"/>
      <c r="DU13" s="308"/>
      <c r="DV13" s="308"/>
      <c r="DW13" s="308"/>
      <c r="DX13" s="308"/>
      <c r="DY13" s="308"/>
      <c r="DZ13" s="308"/>
      <c r="EA13" s="308"/>
      <c r="EB13" s="308"/>
      <c r="EC13" s="308"/>
      <c r="ED13" s="308"/>
      <c r="EE13" s="308"/>
      <c r="EF13" s="308"/>
      <c r="EG13" s="308"/>
      <c r="EH13" s="308"/>
      <c r="EI13" s="308"/>
      <c r="EJ13" s="308"/>
      <c r="EK13" s="308"/>
      <c r="EL13" s="308"/>
      <c r="EM13" s="308"/>
      <c r="EN13" s="308"/>
      <c r="EO13" s="308"/>
      <c r="EP13" s="308"/>
      <c r="EQ13" s="308"/>
      <c r="ER13" s="308"/>
      <c r="ES13" s="308"/>
      <c r="ET13" s="308"/>
      <c r="EU13" s="308"/>
      <c r="EV13" s="308"/>
      <c r="EW13" s="308"/>
      <c r="EX13" s="308"/>
      <c r="EY13" s="308"/>
      <c r="EZ13" s="308"/>
      <c r="FA13" s="308"/>
      <c r="FB13" s="308"/>
      <c r="FC13" s="308"/>
      <c r="FD13" s="308"/>
      <c r="FE13" s="308"/>
      <c r="FF13" s="308"/>
      <c r="FG13" s="308"/>
      <c r="FH13" s="308"/>
      <c r="FI13" s="308"/>
      <c r="FJ13" s="308"/>
      <c r="FK13" s="308"/>
      <c r="FL13" s="308"/>
      <c r="FM13" s="308"/>
      <c r="FN13" s="308"/>
      <c r="FO13" s="308"/>
      <c r="FP13" s="308"/>
      <c r="FQ13" s="308"/>
      <c r="FR13" s="308"/>
      <c r="FS13" s="308"/>
      <c r="FT13" s="308"/>
      <c r="FU13" s="308"/>
      <c r="FV13" s="308"/>
      <c r="FW13" s="308"/>
      <c r="FX13" s="308"/>
      <c r="FY13" s="308"/>
      <c r="FZ13" s="308"/>
      <c r="GA13" s="308"/>
      <c r="GB13" s="308"/>
      <c r="GC13" s="308"/>
      <c r="GD13" s="308"/>
      <c r="GE13" s="308"/>
      <c r="GF13" s="308"/>
      <c r="GG13" s="308"/>
      <c r="GH13" s="308"/>
      <c r="GI13" s="308"/>
      <c r="GJ13" s="308"/>
      <c r="GK13" s="308"/>
      <c r="GL13" s="308"/>
      <c r="GM13" s="308"/>
      <c r="GN13" s="308"/>
      <c r="GO13" s="308"/>
      <c r="GP13" s="308"/>
      <c r="GQ13" s="308"/>
      <c r="GR13" s="308"/>
      <c r="GS13" s="308"/>
      <c r="GT13" s="308"/>
      <c r="GU13" s="308"/>
      <c r="GV13" s="308"/>
      <c r="GW13" s="308"/>
      <c r="GX13" s="308"/>
      <c r="GY13" s="308"/>
      <c r="GZ13" s="308"/>
      <c r="HA13" s="308"/>
      <c r="HB13" s="308"/>
      <c r="HC13" s="308"/>
      <c r="HD13" s="308"/>
      <c r="HE13" s="308"/>
      <c r="HF13" s="308"/>
      <c r="HG13" s="308"/>
      <c r="HH13" s="308"/>
      <c r="HI13" s="308"/>
      <c r="HJ13" s="308"/>
      <c r="HK13" s="308"/>
      <c r="HL13" s="308"/>
      <c r="HM13" s="308"/>
      <c r="HN13" s="308"/>
      <c r="HO13" s="308"/>
      <c r="HP13" s="308"/>
      <c r="HQ13" s="308"/>
      <c r="HR13" s="308"/>
      <c r="HS13" s="308"/>
      <c r="HT13" s="308"/>
      <c r="HU13" s="308"/>
      <c r="HV13" s="308"/>
      <c r="HW13" s="308"/>
      <c r="HX13" s="308"/>
      <c r="HY13" s="308"/>
      <c r="HZ13" s="308"/>
      <c r="IA13" s="308"/>
      <c r="IB13" s="308"/>
      <c r="IC13" s="308"/>
      <c r="ID13" s="308"/>
      <c r="IE13" s="308"/>
      <c r="IF13" s="308"/>
      <c r="IG13" s="308"/>
      <c r="IH13" s="308"/>
      <c r="II13" s="308"/>
      <c r="IJ13" s="308"/>
      <c r="IK13" s="308"/>
      <c r="IL13" s="308"/>
      <c r="IM13" s="308"/>
      <c r="IN13" s="308"/>
      <c r="IO13" s="308"/>
      <c r="IP13" s="308"/>
      <c r="IQ13" s="308"/>
      <c r="IR13" s="308"/>
      <c r="IS13" s="308"/>
      <c r="IT13" s="308"/>
      <c r="IU13" s="308"/>
      <c r="IV13" s="308"/>
      <c r="IW13" s="308"/>
      <c r="IX13" s="308"/>
      <c r="IY13" s="308"/>
      <c r="IZ13" s="308"/>
      <c r="JA13" s="308"/>
      <c r="JB13" s="308"/>
      <c r="JC13" s="308"/>
      <c r="JD13" s="308"/>
      <c r="JE13" s="308"/>
      <c r="JF13" s="308"/>
      <c r="JG13" s="308"/>
      <c r="JH13" s="308"/>
      <c r="JI13" s="308"/>
      <c r="JJ13" s="308"/>
      <c r="JK13" s="308"/>
      <c r="JL13" s="308"/>
      <c r="JM13" s="308"/>
      <c r="JN13" s="308"/>
      <c r="JO13" s="308"/>
      <c r="JP13" s="308"/>
      <c r="JQ13" s="308"/>
      <c r="JR13" s="308"/>
      <c r="JS13" s="308"/>
      <c r="JT13" s="308"/>
      <c r="JU13" s="308"/>
      <c r="JV13" s="308"/>
      <c r="JW13" s="308"/>
      <c r="JX13" s="308"/>
      <c r="JY13" s="308"/>
      <c r="JZ13" s="308"/>
      <c r="KA13" s="308"/>
      <c r="KB13" s="308"/>
      <c r="KC13" s="308"/>
      <c r="KD13" s="308"/>
      <c r="KE13" s="308"/>
      <c r="KF13" s="308"/>
      <c r="KG13" s="308"/>
      <c r="KH13" s="308"/>
      <c r="KI13" s="308"/>
      <c r="KJ13" s="308"/>
      <c r="KK13" s="308"/>
      <c r="KL13" s="308"/>
      <c r="KM13" s="308"/>
      <c r="KN13" s="308"/>
      <c r="KO13" s="308"/>
      <c r="KP13" s="308"/>
      <c r="KQ13" s="308"/>
      <c r="KR13" s="308"/>
      <c r="KS13" s="308"/>
      <c r="KT13" s="308"/>
      <c r="KU13" s="308"/>
      <c r="KV13" s="308"/>
      <c r="KW13" s="308"/>
      <c r="KX13" s="308"/>
      <c r="KY13" s="308"/>
      <c r="KZ13" s="308"/>
      <c r="LA13" s="308"/>
      <c r="LB13" s="308"/>
      <c r="LC13" s="308"/>
      <c r="LD13" s="308"/>
      <c r="LE13" s="308"/>
      <c r="LF13" s="308"/>
      <c r="LG13" s="308"/>
      <c r="LH13" s="308"/>
      <c r="LI13" s="308"/>
      <c r="LJ13" s="308"/>
      <c r="LK13" s="308"/>
      <c r="LL13" s="308"/>
      <c r="LM13" s="308"/>
      <c r="LN13" s="308"/>
      <c r="LO13" s="308"/>
      <c r="LP13" s="308"/>
      <c r="LQ13" s="308"/>
      <c r="LR13" s="308"/>
      <c r="LS13" s="308"/>
      <c r="LT13" s="308"/>
      <c r="LU13" s="308"/>
      <c r="LV13" s="308"/>
      <c r="LW13" s="308"/>
      <c r="LX13" s="308"/>
      <c r="LY13" s="308"/>
      <c r="LZ13" s="308"/>
      <c r="MA13" s="308"/>
      <c r="MB13" s="308"/>
      <c r="MC13" s="308"/>
      <c r="MD13" s="308"/>
      <c r="ME13" s="308"/>
      <c r="MF13" s="308"/>
      <c r="MG13" s="308"/>
      <c r="MH13" s="308"/>
      <c r="MI13" s="308"/>
      <c r="MJ13" s="308"/>
      <c r="MK13" s="308"/>
      <c r="ML13" s="308"/>
      <c r="MM13" s="308"/>
      <c r="MN13" s="308"/>
      <c r="MO13" s="308"/>
      <c r="MP13" s="308"/>
      <c r="MQ13" s="308"/>
      <c r="MR13" s="308"/>
      <c r="MS13" s="308"/>
      <c r="MT13" s="308"/>
      <c r="MU13" s="308"/>
      <c r="MV13" s="308"/>
      <c r="MW13" s="308"/>
      <c r="MX13" s="308"/>
      <c r="MY13" s="308"/>
      <c r="MZ13" s="308"/>
      <c r="NA13" s="308"/>
      <c r="NB13" s="308"/>
      <c r="NC13" s="308"/>
      <c r="ND13" s="308"/>
      <c r="NE13" s="308"/>
      <c r="NF13" s="308"/>
      <c r="NG13" s="308"/>
      <c r="NH13" s="308"/>
      <c r="NI13" s="308"/>
      <c r="NJ13" s="308"/>
      <c r="NK13" s="308"/>
      <c r="NL13" s="308"/>
      <c r="NM13" s="308"/>
      <c r="NN13" s="308"/>
      <c r="NO13" s="308"/>
      <c r="NP13" s="308"/>
      <c r="NQ13" s="308"/>
      <c r="NR13" s="308"/>
      <c r="NS13" s="308"/>
      <c r="NT13" s="308"/>
      <c r="NU13" s="308"/>
      <c r="NV13" s="308"/>
      <c r="NW13" s="308"/>
      <c r="NX13" s="308"/>
      <c r="NY13" s="308"/>
      <c r="NZ13" s="308"/>
      <c r="OA13" s="308"/>
      <c r="OB13" s="308"/>
      <c r="OC13" s="308"/>
      <c r="OD13" s="308"/>
      <c r="OE13" s="308"/>
      <c r="OF13" s="308"/>
      <c r="OG13" s="308"/>
      <c r="OH13" s="308"/>
      <c r="OI13" s="308"/>
      <c r="OJ13" s="308"/>
      <c r="OK13" s="308"/>
      <c r="OL13" s="308"/>
      <c r="OM13" s="308"/>
      <c r="ON13" s="308"/>
      <c r="OO13" s="308"/>
      <c r="OP13" s="308"/>
      <c r="OQ13" s="308"/>
      <c r="OR13" s="308"/>
      <c r="OS13" s="308"/>
      <c r="OT13" s="308"/>
      <c r="OU13" s="308"/>
      <c r="OV13" s="308"/>
      <c r="OW13" s="308"/>
      <c r="OX13" s="308"/>
      <c r="OY13" s="308"/>
      <c r="OZ13" s="308"/>
      <c r="PA13" s="308"/>
      <c r="PB13" s="308"/>
      <c r="PC13" s="308"/>
      <c r="PD13" s="308"/>
      <c r="PE13" s="308"/>
      <c r="PF13" s="308"/>
      <c r="PG13" s="308"/>
      <c r="PH13" s="308"/>
      <c r="PI13" s="308"/>
      <c r="PJ13" s="308"/>
      <c r="PK13" s="308"/>
      <c r="PL13" s="308"/>
      <c r="PM13" s="308"/>
      <c r="PN13" s="308"/>
      <c r="PO13" s="308"/>
      <c r="PP13" s="308"/>
      <c r="PQ13" s="308"/>
      <c r="PR13" s="308"/>
      <c r="PS13" s="308"/>
      <c r="PT13" s="308"/>
      <c r="PU13" s="308"/>
      <c r="PV13" s="308"/>
      <c r="PW13" s="308"/>
      <c r="PX13" s="308"/>
      <c r="PY13" s="308"/>
      <c r="PZ13" s="308"/>
      <c r="QA13" s="308"/>
      <c r="QB13" s="308"/>
      <c r="QC13" s="308"/>
      <c r="QD13" s="308"/>
      <c r="QE13" s="308"/>
      <c r="QF13" s="308"/>
      <c r="QG13" s="308"/>
      <c r="QH13" s="308"/>
      <c r="QI13" s="308"/>
      <c r="QJ13" s="308"/>
      <c r="QK13" s="308"/>
      <c r="QL13" s="308"/>
      <c r="QM13" s="308"/>
      <c r="QN13" s="308"/>
      <c r="QO13" s="308"/>
      <c r="QP13" s="308"/>
      <c r="QQ13" s="308"/>
      <c r="QR13" s="308"/>
      <c r="QS13" s="308"/>
      <c r="QT13" s="308"/>
      <c r="QU13" s="308"/>
      <c r="QV13" s="308"/>
      <c r="QW13" s="308"/>
      <c r="QX13" s="308"/>
      <c r="QY13" s="308"/>
      <c r="QZ13" s="308"/>
      <c r="RA13" s="308"/>
      <c r="RB13" s="308"/>
      <c r="RC13" s="308"/>
      <c r="RD13" s="308"/>
      <c r="RE13" s="308"/>
      <c r="RF13" s="308"/>
      <c r="RG13" s="308"/>
      <c r="RH13" s="308"/>
      <c r="RI13" s="308"/>
      <c r="RJ13" s="308"/>
      <c r="RK13" s="308"/>
      <c r="RL13" s="308"/>
      <c r="RM13" s="308"/>
      <c r="RN13" s="308"/>
      <c r="RO13" s="308"/>
      <c r="RP13" s="308"/>
      <c r="RQ13" s="308"/>
      <c r="RR13" s="308"/>
      <c r="RS13" s="308"/>
      <c r="RT13" s="308"/>
      <c r="RU13" s="308"/>
      <c r="RV13" s="308"/>
      <c r="RW13" s="308"/>
      <c r="RX13" s="308"/>
      <c r="RY13" s="308"/>
      <c r="RZ13" s="308"/>
      <c r="SA13" s="308"/>
      <c r="SB13" s="308"/>
      <c r="SC13" s="308"/>
      <c r="SD13" s="308"/>
      <c r="SE13" s="308"/>
      <c r="SF13" s="308"/>
      <c r="SG13" s="308"/>
      <c r="SH13" s="308"/>
      <c r="SI13" s="308"/>
      <c r="SJ13" s="308"/>
      <c r="SK13" s="308"/>
      <c r="SL13" s="308"/>
      <c r="SM13" s="308"/>
      <c r="SN13" s="308"/>
      <c r="SO13" s="308"/>
      <c r="SP13" s="308"/>
      <c r="SQ13" s="308"/>
      <c r="SR13" s="308"/>
      <c r="SS13" s="308"/>
      <c r="ST13" s="308"/>
      <c r="SU13" s="308"/>
      <c r="SV13" s="308"/>
      <c r="SW13" s="308"/>
      <c r="SX13" s="308"/>
      <c r="SY13" s="308"/>
      <c r="SZ13" s="308"/>
      <c r="TA13" s="308"/>
      <c r="TB13" s="308"/>
      <c r="TC13" s="308"/>
      <c r="TD13" s="308"/>
      <c r="TE13" s="308"/>
      <c r="TF13" s="308"/>
      <c r="TG13" s="308"/>
      <c r="TH13" s="308"/>
      <c r="TI13" s="308"/>
      <c r="TJ13" s="308"/>
      <c r="TK13" s="308"/>
      <c r="TL13" s="308"/>
      <c r="TM13" s="308"/>
      <c r="TN13" s="308"/>
      <c r="TO13" s="308"/>
      <c r="TP13" s="308"/>
      <c r="TQ13" s="308"/>
      <c r="TR13" s="308"/>
      <c r="TS13" s="308"/>
      <c r="TT13" s="308"/>
      <c r="TU13" s="308"/>
      <c r="TV13" s="308"/>
      <c r="TW13" s="308"/>
      <c r="TX13" s="308"/>
      <c r="TY13" s="308"/>
      <c r="TZ13" s="308"/>
      <c r="UA13" s="308"/>
      <c r="UB13" s="308"/>
      <c r="UC13" s="308"/>
      <c r="UD13" s="308"/>
      <c r="UE13" s="308"/>
      <c r="UF13" s="308"/>
      <c r="UG13" s="308"/>
      <c r="UH13" s="308"/>
      <c r="UI13" s="308"/>
      <c r="UJ13" s="308"/>
      <c r="UK13" s="308"/>
      <c r="UL13" s="308"/>
      <c r="UM13" s="308"/>
      <c r="UN13" s="308"/>
      <c r="UO13" s="308"/>
      <c r="UP13" s="308"/>
      <c r="UQ13" s="308"/>
      <c r="UR13" s="308"/>
      <c r="US13" s="308"/>
      <c r="UT13" s="308"/>
      <c r="UU13" s="308"/>
      <c r="UV13" s="308"/>
      <c r="UW13" s="308"/>
      <c r="UX13" s="308"/>
      <c r="UY13" s="308"/>
      <c r="UZ13" s="308"/>
      <c r="VA13" s="308"/>
      <c r="VB13" s="308"/>
      <c r="VC13" s="308"/>
      <c r="VD13" s="308"/>
      <c r="VE13" s="308"/>
      <c r="VF13" s="308"/>
      <c r="VG13" s="308"/>
      <c r="VH13" s="308"/>
      <c r="VI13" s="308"/>
      <c r="VJ13" s="308"/>
      <c r="VK13" s="308"/>
      <c r="VL13" s="308"/>
      <c r="VM13" s="308"/>
      <c r="VN13" s="308"/>
      <c r="VO13" s="308"/>
      <c r="VP13" s="308"/>
      <c r="VQ13" s="308"/>
      <c r="VR13" s="308"/>
      <c r="VS13" s="308"/>
      <c r="VT13" s="308"/>
      <c r="VU13" s="308"/>
      <c r="VV13" s="308"/>
      <c r="VW13" s="308"/>
      <c r="VX13" s="308"/>
      <c r="VY13" s="308"/>
      <c r="VZ13" s="308"/>
      <c r="WA13" s="308"/>
      <c r="WB13" s="308"/>
      <c r="WC13" s="308"/>
      <c r="WD13" s="308"/>
      <c r="WE13" s="308"/>
      <c r="WF13" s="308"/>
      <c r="WG13" s="308"/>
      <c r="WH13" s="308"/>
      <c r="WI13" s="308"/>
      <c r="WJ13" s="308"/>
      <c r="WK13" s="308"/>
      <c r="WL13" s="308"/>
      <c r="WM13" s="308"/>
      <c r="WN13" s="308"/>
      <c r="WO13" s="308"/>
      <c r="WP13" s="308"/>
      <c r="WQ13" s="308"/>
      <c r="WR13" s="308"/>
      <c r="WS13" s="308"/>
      <c r="WT13" s="308"/>
      <c r="WU13" s="308"/>
      <c r="WV13" s="308"/>
      <c r="WW13" s="308"/>
      <c r="WX13" s="308"/>
      <c r="WY13" s="308"/>
      <c r="WZ13" s="308"/>
      <c r="XA13" s="308"/>
      <c r="XB13" s="308"/>
      <c r="XC13" s="308"/>
      <c r="XD13" s="308"/>
      <c r="XE13" s="308"/>
      <c r="XF13" s="308"/>
      <c r="XG13" s="308"/>
      <c r="XH13" s="308"/>
      <c r="XI13" s="308"/>
      <c r="XJ13" s="308"/>
      <c r="XK13" s="308"/>
      <c r="XL13" s="308"/>
      <c r="XM13" s="308"/>
      <c r="XN13" s="308"/>
      <c r="XO13" s="308"/>
      <c r="XP13" s="308"/>
      <c r="XQ13" s="308"/>
      <c r="XR13" s="308"/>
      <c r="XS13" s="308"/>
      <c r="XT13" s="308"/>
      <c r="XU13" s="308"/>
      <c r="XV13" s="308"/>
      <c r="XW13" s="308"/>
      <c r="XX13" s="308"/>
      <c r="XY13" s="308"/>
      <c r="XZ13" s="308"/>
      <c r="YA13" s="308"/>
      <c r="YB13" s="308"/>
      <c r="YC13" s="308"/>
      <c r="YD13" s="308"/>
      <c r="YE13" s="308"/>
      <c r="YF13" s="308"/>
      <c r="YG13" s="308"/>
      <c r="YH13" s="308"/>
      <c r="YI13" s="308"/>
      <c r="YJ13" s="308"/>
      <c r="YK13" s="308"/>
      <c r="YL13" s="308"/>
      <c r="YM13" s="308"/>
      <c r="YN13" s="308"/>
      <c r="YO13" s="308"/>
      <c r="YP13" s="308"/>
      <c r="YQ13" s="308"/>
      <c r="YR13" s="308"/>
      <c r="YS13" s="308"/>
      <c r="YT13" s="308"/>
      <c r="YU13" s="308"/>
      <c r="YV13" s="308"/>
      <c r="YW13" s="308"/>
      <c r="YX13" s="308"/>
      <c r="YY13" s="308"/>
      <c r="YZ13" s="308"/>
      <c r="ZA13" s="308"/>
      <c r="ZB13" s="308"/>
      <c r="ZC13" s="308"/>
      <c r="ZD13" s="308"/>
      <c r="ZE13" s="308"/>
      <c r="ZF13" s="308"/>
      <c r="ZG13" s="308"/>
      <c r="ZH13" s="308"/>
      <c r="ZI13" s="308"/>
      <c r="ZJ13" s="308"/>
      <c r="ZK13" s="308"/>
      <c r="ZL13" s="308"/>
      <c r="ZM13" s="308"/>
      <c r="ZN13" s="308"/>
      <c r="ZO13" s="308"/>
      <c r="ZP13" s="308"/>
      <c r="ZQ13" s="308"/>
      <c r="ZR13" s="308"/>
      <c r="ZS13" s="308"/>
      <c r="ZT13" s="308"/>
      <c r="ZU13" s="308"/>
      <c r="ZV13" s="308"/>
      <c r="ZW13" s="308"/>
      <c r="ZX13" s="308"/>
      <c r="ZY13" s="308"/>
      <c r="ZZ13" s="308"/>
      <c r="AAA13" s="308"/>
      <c r="AAB13" s="308"/>
      <c r="AAC13" s="308"/>
      <c r="AAD13" s="308"/>
      <c r="AAE13" s="308"/>
      <c r="AAF13" s="308"/>
      <c r="AAG13" s="308"/>
      <c r="AAH13" s="308"/>
      <c r="AAI13" s="308"/>
      <c r="AAJ13" s="308"/>
      <c r="AAK13" s="308"/>
      <c r="AAL13" s="308"/>
      <c r="AAM13" s="308"/>
      <c r="AAN13" s="308"/>
      <c r="AAO13" s="308"/>
      <c r="AAP13" s="308"/>
      <c r="AAQ13" s="308"/>
      <c r="AAR13" s="308"/>
      <c r="AAS13" s="308"/>
      <c r="AAT13" s="308"/>
      <c r="AAU13" s="308"/>
      <c r="AAV13" s="308"/>
      <c r="AAW13" s="308"/>
      <c r="AAX13" s="308"/>
      <c r="AAY13" s="308"/>
      <c r="AAZ13" s="308"/>
      <c r="ABA13" s="308"/>
      <c r="ABB13" s="308"/>
      <c r="ABC13" s="308"/>
      <c r="ABD13" s="308"/>
      <c r="ABE13" s="308"/>
      <c r="ABF13" s="308"/>
      <c r="ABG13" s="308"/>
      <c r="ABH13" s="308"/>
      <c r="ABI13" s="308"/>
      <c r="ABJ13" s="308"/>
      <c r="ABK13" s="308"/>
      <c r="ABL13" s="308"/>
      <c r="ABM13" s="308"/>
      <c r="ABN13" s="308"/>
      <c r="ABO13" s="308"/>
      <c r="ABP13" s="308"/>
      <c r="ABQ13" s="308"/>
      <c r="ABR13" s="308"/>
      <c r="ABS13" s="308"/>
      <c r="ABT13" s="308"/>
      <c r="ABU13" s="308"/>
      <c r="ABV13" s="308"/>
      <c r="ABW13" s="308"/>
      <c r="ABX13" s="308"/>
      <c r="ABY13" s="308"/>
      <c r="ABZ13" s="308"/>
      <c r="ACA13" s="308"/>
      <c r="ACB13" s="308"/>
      <c r="ACC13" s="308"/>
      <c r="ACD13" s="308"/>
      <c r="ACE13" s="308"/>
      <c r="ACF13" s="308"/>
      <c r="ACG13" s="308"/>
      <c r="ACH13" s="308"/>
      <c r="ACI13" s="308"/>
      <c r="ACJ13" s="308"/>
      <c r="ACK13" s="308"/>
      <c r="ACL13" s="308"/>
      <c r="ACM13" s="308"/>
      <c r="ACN13" s="308"/>
      <c r="ACO13" s="308"/>
      <c r="ACP13" s="308"/>
      <c r="ACQ13" s="308"/>
      <c r="ACR13" s="308"/>
      <c r="ACS13" s="308"/>
      <c r="ACT13" s="308"/>
      <c r="ACU13" s="308"/>
      <c r="ACV13" s="308"/>
      <c r="ACW13" s="308"/>
      <c r="ACX13" s="308"/>
      <c r="ACY13" s="308"/>
      <c r="ACZ13" s="308"/>
      <c r="ADA13" s="308"/>
      <c r="ADB13" s="308"/>
      <c r="ADC13" s="308"/>
      <c r="ADD13" s="308"/>
      <c r="ADE13" s="308"/>
      <c r="ADF13" s="308"/>
      <c r="ADG13" s="308"/>
      <c r="ADH13" s="308"/>
      <c r="ADI13" s="308"/>
      <c r="ADJ13" s="308"/>
      <c r="ADK13" s="308"/>
      <c r="ADL13" s="308"/>
      <c r="ADM13" s="308"/>
      <c r="ADN13" s="308"/>
      <c r="ADO13" s="308"/>
      <c r="ADP13" s="308"/>
      <c r="ADQ13" s="308"/>
      <c r="ADR13" s="308"/>
      <c r="ADS13" s="308"/>
      <c r="ADT13" s="308"/>
      <c r="ADU13" s="308"/>
      <c r="ADV13" s="308"/>
      <c r="ADW13" s="308"/>
      <c r="ADX13" s="308"/>
      <c r="ADY13" s="308"/>
      <c r="ADZ13" s="308"/>
      <c r="AEA13" s="308"/>
      <c r="AEB13" s="308"/>
      <c r="AEC13" s="308"/>
      <c r="AED13" s="308"/>
      <c r="AEE13" s="308"/>
      <c r="AEF13" s="308"/>
      <c r="AEG13" s="308"/>
      <c r="AEH13" s="308"/>
      <c r="AEI13" s="308"/>
      <c r="AEJ13" s="308"/>
      <c r="AEK13" s="308"/>
      <c r="AEL13" s="308"/>
      <c r="AEM13" s="308"/>
      <c r="AEN13" s="308"/>
      <c r="AEO13" s="308"/>
      <c r="AEP13" s="308"/>
      <c r="AEQ13" s="308"/>
      <c r="AER13" s="308"/>
      <c r="AES13" s="308"/>
      <c r="AET13" s="308"/>
      <c r="AEU13" s="308"/>
      <c r="AEV13" s="308"/>
      <c r="AEW13" s="308"/>
      <c r="AEX13" s="308"/>
      <c r="AEY13" s="308"/>
      <c r="AEZ13" s="308"/>
      <c r="AFA13" s="308"/>
      <c r="AFB13" s="308"/>
      <c r="AFC13" s="308"/>
      <c r="AFD13" s="308"/>
      <c r="AFE13" s="308"/>
      <c r="AFF13" s="308"/>
      <c r="AFG13" s="308"/>
      <c r="AFH13" s="308"/>
      <c r="AFI13" s="308"/>
      <c r="AFJ13" s="308"/>
      <c r="AFK13" s="308"/>
      <c r="AFL13" s="308"/>
      <c r="AFM13" s="308"/>
      <c r="AFN13" s="308"/>
      <c r="AFO13" s="308"/>
      <c r="AFP13" s="308"/>
      <c r="AFQ13" s="308"/>
      <c r="AFR13" s="308"/>
      <c r="AFS13" s="308"/>
      <c r="AFT13" s="308"/>
      <c r="AFU13" s="308"/>
      <c r="AFV13" s="308"/>
      <c r="AFW13" s="308"/>
      <c r="AFX13" s="308"/>
      <c r="AFY13" s="308"/>
      <c r="AFZ13" s="308"/>
      <c r="AGA13" s="308"/>
      <c r="AGB13" s="308"/>
      <c r="AGC13" s="308"/>
      <c r="AGD13" s="308"/>
      <c r="AGE13" s="308"/>
      <c r="AGF13" s="308"/>
      <c r="AGG13" s="308"/>
      <c r="AGH13" s="308"/>
      <c r="AGI13" s="308"/>
      <c r="AGJ13" s="308"/>
      <c r="AGK13" s="308"/>
      <c r="AGL13" s="308"/>
      <c r="AGM13" s="308"/>
      <c r="AGN13" s="308"/>
      <c r="AGO13" s="308"/>
      <c r="AGP13" s="308"/>
      <c r="AGQ13" s="308"/>
      <c r="AGR13" s="308"/>
      <c r="AGS13" s="308"/>
      <c r="AGT13" s="308"/>
      <c r="AGU13" s="308"/>
      <c r="AGV13" s="308"/>
      <c r="AGW13" s="308"/>
      <c r="AGX13" s="308"/>
      <c r="AGY13" s="308"/>
      <c r="AGZ13" s="308"/>
      <c r="AHA13" s="308"/>
      <c r="AHB13" s="308"/>
      <c r="AHC13" s="308"/>
      <c r="AHD13" s="308"/>
      <c r="AHE13" s="308"/>
      <c r="AHF13" s="308"/>
      <c r="AHG13" s="308"/>
      <c r="AHH13" s="308"/>
      <c r="AHI13" s="308"/>
      <c r="AHJ13" s="308"/>
      <c r="AHK13" s="308"/>
      <c r="AHL13" s="308"/>
      <c r="AHM13" s="308"/>
      <c r="AHN13" s="308"/>
      <c r="AHO13" s="308"/>
      <c r="AHP13" s="308"/>
      <c r="AHQ13" s="308"/>
      <c r="AHR13" s="308"/>
      <c r="AHS13" s="308"/>
      <c r="AHT13" s="308"/>
      <c r="AHU13" s="308"/>
      <c r="AHV13" s="308"/>
      <c r="AHW13" s="308"/>
      <c r="AHX13" s="308"/>
      <c r="AHY13" s="308"/>
      <c r="AHZ13" s="308"/>
      <c r="AIA13" s="308"/>
      <c r="AIB13" s="308"/>
      <c r="AIC13" s="308"/>
      <c r="AID13" s="308"/>
      <c r="AIE13" s="308"/>
      <c r="AIF13" s="308"/>
      <c r="AIG13" s="308"/>
      <c r="AIH13" s="308"/>
      <c r="AII13" s="308"/>
      <c r="AIJ13" s="308"/>
      <c r="AIK13" s="308"/>
      <c r="AIL13" s="308"/>
      <c r="AIM13" s="308"/>
      <c r="AIN13" s="308"/>
      <c r="AIO13" s="308"/>
      <c r="AIP13" s="308"/>
      <c r="AIQ13" s="308"/>
      <c r="AIR13" s="308"/>
      <c r="AIS13" s="308"/>
      <c r="AIT13" s="308"/>
      <c r="AIU13" s="308"/>
      <c r="AIV13" s="308"/>
      <c r="AIW13" s="308"/>
      <c r="AIX13" s="308"/>
      <c r="AIY13" s="308"/>
      <c r="AIZ13" s="308"/>
      <c r="AJA13" s="308"/>
      <c r="AJB13" s="308"/>
      <c r="AJC13" s="308"/>
    </row>
    <row r="14" spans="1:940" s="567" customFormat="1">
      <c r="A14" s="113">
        <f t="shared" si="0"/>
        <v>7</v>
      </c>
      <c r="B14" s="113">
        <v>626</v>
      </c>
      <c r="C14" s="113" t="s">
        <v>589</v>
      </c>
      <c r="D14" s="117">
        <v>20025000</v>
      </c>
      <c r="E14" s="117">
        <v>20025000</v>
      </c>
      <c r="F14" s="117">
        <f t="shared" si="1"/>
        <v>0</v>
      </c>
      <c r="G14" s="117">
        <v>14525000</v>
      </c>
      <c r="H14" s="117">
        <v>13520762.77</v>
      </c>
      <c r="I14" s="117">
        <v>151233.85999999999</v>
      </c>
      <c r="J14" s="117">
        <v>94680.29</v>
      </c>
      <c r="K14" s="117">
        <f t="shared" si="2"/>
        <v>245914.14999999997</v>
      </c>
      <c r="L14" s="117">
        <f t="shared" si="3"/>
        <v>13766676.92</v>
      </c>
      <c r="M14" s="117">
        <f>P14+S14-500000</f>
        <v>258323.08000000007</v>
      </c>
      <c r="N14" s="117">
        <f>1500000-1000000</f>
        <v>500000</v>
      </c>
      <c r="O14" s="117">
        <f t="shared" si="10"/>
        <v>5500000</v>
      </c>
      <c r="P14" s="117">
        <f t="shared" si="4"/>
        <v>758323.08000000007</v>
      </c>
      <c r="Q14" s="117"/>
      <c r="R14" s="117"/>
      <c r="S14" s="117">
        <f t="shared" si="5"/>
        <v>0</v>
      </c>
      <c r="T14" s="117">
        <f t="shared" si="6"/>
        <v>500000</v>
      </c>
      <c r="U14" s="117">
        <f t="shared" si="7"/>
        <v>0</v>
      </c>
      <c r="V14" s="117">
        <f t="shared" si="8"/>
        <v>0</v>
      </c>
      <c r="W14" s="543"/>
      <c r="X14" s="117"/>
      <c r="Y14" s="117"/>
      <c r="Z14" s="113"/>
      <c r="AA14" s="113">
        <v>732000</v>
      </c>
      <c r="AB14" s="117"/>
      <c r="AC14" s="117"/>
      <c r="AD14" s="117"/>
      <c r="AE14" s="117"/>
      <c r="AF14" s="117"/>
      <c r="AG14" s="117"/>
      <c r="AH14" s="117"/>
      <c r="AI14" s="117"/>
      <c r="AJ14" s="117"/>
      <c r="AK14" s="117">
        <f t="shared" si="11"/>
        <v>0</v>
      </c>
      <c r="AL14" s="113"/>
      <c r="AM14" s="566">
        <f t="shared" si="12"/>
        <v>0</v>
      </c>
      <c r="AN14" s="117">
        <f t="shared" si="13"/>
        <v>0</v>
      </c>
      <c r="AO14" s="117">
        <f t="shared" si="14"/>
        <v>0</v>
      </c>
      <c r="AP14" s="565"/>
      <c r="AQ14" s="565"/>
      <c r="AR14" s="565"/>
      <c r="AS14" s="565"/>
      <c r="AT14" s="117">
        <f t="shared" si="15"/>
        <v>0</v>
      </c>
      <c r="AU14" s="565"/>
      <c r="AV14" s="565"/>
      <c r="AW14" s="565"/>
      <c r="AX14" s="565"/>
      <c r="AY14" s="117">
        <f t="shared" si="16"/>
        <v>0</v>
      </c>
      <c r="AZ14" s="565"/>
      <c r="BA14" s="565"/>
      <c r="BB14" s="565"/>
      <c r="BC14" s="565"/>
      <c r="AJD14" s="546"/>
    </row>
    <row r="15" spans="1:940" s="545" customFormat="1">
      <c r="A15" s="113">
        <f t="shared" si="0"/>
        <v>8</v>
      </c>
      <c r="B15" s="113">
        <v>631</v>
      </c>
      <c r="C15" s="113" t="s">
        <v>66</v>
      </c>
      <c r="D15" s="117">
        <f>7505000+1500000</f>
        <v>9005000</v>
      </c>
      <c r="E15" s="117">
        <v>7505000</v>
      </c>
      <c r="F15" s="117">
        <f t="shared" si="1"/>
        <v>1500000</v>
      </c>
      <c r="G15" s="117">
        <v>7105000</v>
      </c>
      <c r="H15" s="117">
        <v>7030689.3200000003</v>
      </c>
      <c r="I15" s="117"/>
      <c r="J15" s="117"/>
      <c r="K15" s="117">
        <f t="shared" si="2"/>
        <v>0</v>
      </c>
      <c r="L15" s="117">
        <f t="shared" si="3"/>
        <v>7030689.3200000003</v>
      </c>
      <c r="M15" s="117">
        <f t="shared" si="9"/>
        <v>74310.679999999702</v>
      </c>
      <c r="N15" s="117">
        <f>1500000-1000000</f>
        <v>500000</v>
      </c>
      <c r="O15" s="117">
        <f t="shared" si="10"/>
        <v>1400000</v>
      </c>
      <c r="P15" s="117">
        <f t="shared" si="4"/>
        <v>74310.679999999702</v>
      </c>
      <c r="Q15" s="117"/>
      <c r="R15" s="117"/>
      <c r="S15" s="117">
        <f t="shared" si="5"/>
        <v>0</v>
      </c>
      <c r="T15" s="117">
        <f t="shared" si="6"/>
        <v>0</v>
      </c>
      <c r="U15" s="117">
        <f t="shared" si="7"/>
        <v>500000</v>
      </c>
      <c r="V15" s="117">
        <f t="shared" si="8"/>
        <v>500000</v>
      </c>
      <c r="W15" s="543"/>
      <c r="X15" s="117"/>
      <c r="Y15" s="117"/>
      <c r="Z15" s="113"/>
      <c r="AA15" s="113">
        <v>742000</v>
      </c>
      <c r="AB15" s="117"/>
      <c r="AC15" s="117"/>
      <c r="AD15" s="117"/>
      <c r="AE15" s="117"/>
      <c r="AF15" s="117"/>
      <c r="AG15" s="117">
        <v>100000</v>
      </c>
      <c r="AH15" s="117"/>
      <c r="AI15" s="117">
        <v>100000</v>
      </c>
      <c r="AJ15" s="117"/>
      <c r="AK15" s="117">
        <f t="shared" si="11"/>
        <v>200000</v>
      </c>
      <c r="AL15" s="113"/>
      <c r="AM15" s="566">
        <f t="shared" si="12"/>
        <v>200000</v>
      </c>
      <c r="AN15" s="117">
        <f t="shared" si="13"/>
        <v>300000</v>
      </c>
      <c r="AO15" s="117">
        <f t="shared" si="14"/>
        <v>200000</v>
      </c>
      <c r="AP15" s="565"/>
      <c r="AQ15" s="565"/>
      <c r="AR15" s="565"/>
      <c r="AS15" s="565"/>
      <c r="AT15" s="117">
        <f t="shared" si="15"/>
        <v>0</v>
      </c>
      <c r="AU15" s="565"/>
      <c r="AV15" s="565"/>
      <c r="AW15" s="565"/>
      <c r="AX15" s="565"/>
      <c r="AY15" s="117">
        <f t="shared" si="16"/>
        <v>300000</v>
      </c>
      <c r="AZ15" s="565"/>
      <c r="BA15" s="565"/>
      <c r="BB15" s="565"/>
      <c r="BC15" s="565"/>
      <c r="AJD15" s="546"/>
    </row>
    <row r="16" spans="1:940" s="545" customFormat="1" ht="15" customHeight="1">
      <c r="A16" s="113">
        <f t="shared" si="0"/>
        <v>9</v>
      </c>
      <c r="B16" s="113">
        <v>638</v>
      </c>
      <c r="C16" s="113" t="s">
        <v>56</v>
      </c>
      <c r="D16" s="117">
        <v>7000000</v>
      </c>
      <c r="E16" s="117">
        <v>7000000</v>
      </c>
      <c r="F16" s="117">
        <f t="shared" si="1"/>
        <v>0</v>
      </c>
      <c r="G16" s="117">
        <v>4600000</v>
      </c>
      <c r="H16" s="117">
        <v>3454838.96</v>
      </c>
      <c r="I16" s="117">
        <v>74548.7</v>
      </c>
      <c r="J16" s="117"/>
      <c r="K16" s="117">
        <f t="shared" si="2"/>
        <v>74548.7</v>
      </c>
      <c r="L16" s="117">
        <f t="shared" si="3"/>
        <v>3529387.66</v>
      </c>
      <c r="M16" s="117">
        <f>P16+S16-1000000</f>
        <v>70612.339999999851</v>
      </c>
      <c r="N16" s="117">
        <v>1500000</v>
      </c>
      <c r="O16" s="117">
        <f t="shared" si="10"/>
        <v>1900000</v>
      </c>
      <c r="P16" s="117">
        <f t="shared" si="4"/>
        <v>1070612.3399999999</v>
      </c>
      <c r="Q16" s="117"/>
      <c r="R16" s="117"/>
      <c r="S16" s="117">
        <f t="shared" si="5"/>
        <v>0</v>
      </c>
      <c r="T16" s="117">
        <f t="shared" si="6"/>
        <v>1000000</v>
      </c>
      <c r="U16" s="117">
        <f t="shared" si="7"/>
        <v>500000</v>
      </c>
      <c r="V16" s="117">
        <f t="shared" si="8"/>
        <v>500000</v>
      </c>
      <c r="W16" s="543"/>
      <c r="X16" s="117"/>
      <c r="Y16" s="117"/>
      <c r="Z16" s="113"/>
      <c r="AA16" s="113">
        <v>742000</v>
      </c>
      <c r="AB16" s="117"/>
      <c r="AC16" s="117"/>
      <c r="AD16" s="117"/>
      <c r="AE16" s="117"/>
      <c r="AF16" s="117"/>
      <c r="AG16" s="117"/>
      <c r="AH16" s="117"/>
      <c r="AI16" s="117"/>
      <c r="AJ16" s="117"/>
      <c r="AK16" s="117">
        <f t="shared" si="11"/>
        <v>0</v>
      </c>
      <c r="AL16" s="113"/>
      <c r="AM16" s="566">
        <f t="shared" si="12"/>
        <v>0</v>
      </c>
      <c r="AN16" s="117">
        <f t="shared" si="13"/>
        <v>500000</v>
      </c>
      <c r="AO16" s="117">
        <f t="shared" si="14"/>
        <v>0</v>
      </c>
      <c r="AP16" s="565"/>
      <c r="AQ16" s="565"/>
      <c r="AR16" s="565"/>
      <c r="AS16" s="565"/>
      <c r="AT16" s="117">
        <f t="shared" si="15"/>
        <v>0</v>
      </c>
      <c r="AU16" s="565"/>
      <c r="AV16" s="565"/>
      <c r="AW16" s="565"/>
      <c r="AX16" s="565"/>
      <c r="AY16" s="117">
        <f t="shared" si="16"/>
        <v>500000</v>
      </c>
      <c r="AZ16" s="565"/>
      <c r="BA16" s="565"/>
      <c r="BB16" s="565"/>
      <c r="BC16" s="565"/>
      <c r="AJD16" s="546"/>
    </row>
    <row r="17" spans="1:940" s="545" customFormat="1">
      <c r="A17" s="113">
        <f t="shared" si="0"/>
        <v>10</v>
      </c>
      <c r="B17" s="113">
        <v>1018</v>
      </c>
      <c r="C17" s="113" t="s">
        <v>30</v>
      </c>
      <c r="D17" s="117">
        <v>31900000</v>
      </c>
      <c r="E17" s="117">
        <v>31900000</v>
      </c>
      <c r="F17" s="117">
        <f t="shared" si="1"/>
        <v>0</v>
      </c>
      <c r="G17" s="117">
        <v>6100000</v>
      </c>
      <c r="H17" s="117">
        <v>3059081.79</v>
      </c>
      <c r="I17" s="117">
        <v>84192.99</v>
      </c>
      <c r="J17" s="117">
        <v>4969.17</v>
      </c>
      <c r="K17" s="117">
        <f t="shared" si="2"/>
        <v>89162.16</v>
      </c>
      <c r="L17" s="117">
        <f t="shared" si="3"/>
        <v>3148243.95</v>
      </c>
      <c r="M17" s="117">
        <f>P17+S17-2000000</f>
        <v>951756.04999999981</v>
      </c>
      <c r="N17" s="117">
        <f>2000000-1000000</f>
        <v>1000000</v>
      </c>
      <c r="O17" s="117">
        <f t="shared" si="10"/>
        <v>26800000</v>
      </c>
      <c r="P17" s="117">
        <f t="shared" si="4"/>
        <v>2951756.05</v>
      </c>
      <c r="Q17" s="117"/>
      <c r="R17" s="117"/>
      <c r="S17" s="117">
        <f t="shared" si="5"/>
        <v>0</v>
      </c>
      <c r="T17" s="117">
        <f t="shared" si="6"/>
        <v>2000000</v>
      </c>
      <c r="U17" s="117">
        <f t="shared" si="7"/>
        <v>-1000000</v>
      </c>
      <c r="V17" s="117">
        <f t="shared" si="8"/>
        <v>-1000000</v>
      </c>
      <c r="W17" s="543"/>
      <c r="X17" s="117"/>
      <c r="Y17" s="117"/>
      <c r="Z17" s="113"/>
      <c r="AA17" s="113">
        <v>742000</v>
      </c>
      <c r="AB17" s="117"/>
      <c r="AC17" s="117"/>
      <c r="AD17" s="117">
        <v>-1000000</v>
      </c>
      <c r="AE17" s="117"/>
      <c r="AF17" s="117"/>
      <c r="AG17" s="117"/>
      <c r="AH17" s="117"/>
      <c r="AI17" s="117"/>
      <c r="AJ17" s="117"/>
      <c r="AK17" s="117">
        <f t="shared" si="11"/>
        <v>-1000000</v>
      </c>
      <c r="AL17" s="113"/>
      <c r="AM17" s="566">
        <f t="shared" si="12"/>
        <v>-1000000</v>
      </c>
      <c r="AN17" s="117">
        <f t="shared" si="13"/>
        <v>0</v>
      </c>
      <c r="AO17" s="117">
        <f t="shared" si="14"/>
        <v>-1000000</v>
      </c>
      <c r="AP17" s="565"/>
      <c r="AQ17" s="565"/>
      <c r="AR17" s="565"/>
      <c r="AS17" s="565"/>
      <c r="AT17" s="117">
        <f t="shared" si="15"/>
        <v>0</v>
      </c>
      <c r="AU17" s="565"/>
      <c r="AV17" s="565"/>
      <c r="AW17" s="565"/>
      <c r="AX17" s="565"/>
      <c r="AY17" s="117">
        <f t="shared" si="16"/>
        <v>0</v>
      </c>
      <c r="AZ17" s="565"/>
      <c r="BA17" s="565"/>
      <c r="BB17" s="565"/>
      <c r="BC17" s="565"/>
      <c r="AJD17" s="546"/>
    </row>
    <row r="18" spans="1:940" s="567" customFormat="1">
      <c r="A18" s="113">
        <f t="shared" si="0"/>
        <v>11</v>
      </c>
      <c r="B18" s="244">
        <v>1060</v>
      </c>
      <c r="C18" s="244" t="s">
        <v>1086</v>
      </c>
      <c r="D18" s="117">
        <f>2085000-1235000-125000</f>
        <v>725000</v>
      </c>
      <c r="E18" s="117">
        <v>2085000</v>
      </c>
      <c r="F18" s="117">
        <f t="shared" si="1"/>
        <v>-1360000</v>
      </c>
      <c r="G18" s="117">
        <v>850000</v>
      </c>
      <c r="H18" s="117">
        <v>718557.75</v>
      </c>
      <c r="I18" s="117"/>
      <c r="J18" s="117">
        <v>6318</v>
      </c>
      <c r="K18" s="117">
        <f t="shared" si="2"/>
        <v>6318</v>
      </c>
      <c r="L18" s="117">
        <f t="shared" si="3"/>
        <v>724875.75</v>
      </c>
      <c r="M18" s="117">
        <f>P18+S18-125000</f>
        <v>124.25</v>
      </c>
      <c r="N18" s="310">
        <v>0</v>
      </c>
      <c r="O18" s="117">
        <f t="shared" si="10"/>
        <v>0</v>
      </c>
      <c r="P18" s="117">
        <f t="shared" si="4"/>
        <v>125124.25</v>
      </c>
      <c r="Q18" s="117"/>
      <c r="R18" s="117"/>
      <c r="S18" s="117">
        <f t="shared" si="5"/>
        <v>0</v>
      </c>
      <c r="T18" s="117">
        <f t="shared" si="6"/>
        <v>125000</v>
      </c>
      <c r="U18" s="117">
        <f t="shared" si="7"/>
        <v>-125000</v>
      </c>
      <c r="V18" s="117">
        <f t="shared" si="8"/>
        <v>-125000</v>
      </c>
      <c r="W18" s="543"/>
      <c r="X18" s="117"/>
      <c r="Y18" s="117"/>
      <c r="Z18" s="113"/>
      <c r="AA18" s="113">
        <v>760000</v>
      </c>
      <c r="AB18" s="117"/>
      <c r="AC18" s="117"/>
      <c r="AD18" s="117">
        <v>-125000</v>
      </c>
      <c r="AE18" s="117"/>
      <c r="AF18" s="117"/>
      <c r="AG18" s="117"/>
      <c r="AH18" s="117"/>
      <c r="AI18" s="117"/>
      <c r="AJ18" s="117"/>
      <c r="AK18" s="117">
        <f t="shared" si="11"/>
        <v>-125000</v>
      </c>
      <c r="AL18" s="113"/>
      <c r="AM18" s="566">
        <f t="shared" si="12"/>
        <v>-125000</v>
      </c>
      <c r="AN18" s="117">
        <f t="shared" si="13"/>
        <v>0</v>
      </c>
      <c r="AO18" s="117">
        <f t="shared" si="14"/>
        <v>-125000</v>
      </c>
      <c r="AP18" s="565"/>
      <c r="AQ18" s="565"/>
      <c r="AR18" s="565"/>
      <c r="AS18" s="565"/>
      <c r="AT18" s="117">
        <f t="shared" si="15"/>
        <v>0</v>
      </c>
      <c r="AU18" s="565"/>
      <c r="AV18" s="565"/>
      <c r="AW18" s="565"/>
      <c r="AX18" s="565"/>
      <c r="AY18" s="117">
        <f t="shared" si="16"/>
        <v>0</v>
      </c>
      <c r="AZ18" s="565"/>
      <c r="BA18" s="565"/>
      <c r="BB18" s="565"/>
      <c r="BC18" s="565"/>
      <c r="AJD18" s="546"/>
    </row>
    <row r="19" spans="1:940" s="545" customFormat="1">
      <c r="A19" s="113">
        <f t="shared" si="0"/>
        <v>12</v>
      </c>
      <c r="B19" s="244">
        <v>1097</v>
      </c>
      <c r="C19" s="244" t="s">
        <v>1142</v>
      </c>
      <c r="D19" s="117">
        <f>1630000+2000000-2000000</f>
        <v>1630000</v>
      </c>
      <c r="E19" s="117">
        <v>1630000</v>
      </c>
      <c r="F19" s="117">
        <f t="shared" si="1"/>
        <v>0</v>
      </c>
      <c r="G19" s="117">
        <v>1630000</v>
      </c>
      <c r="H19" s="117">
        <v>1566884.61</v>
      </c>
      <c r="I19" s="117"/>
      <c r="J19" s="117">
        <v>63113.34</v>
      </c>
      <c r="K19" s="117">
        <f t="shared" si="2"/>
        <v>63113.34</v>
      </c>
      <c r="L19" s="117">
        <f t="shared" si="3"/>
        <v>1629997.9500000002</v>
      </c>
      <c r="M19" s="117">
        <f t="shared" ref="M19:M25" si="17">P19+S19</f>
        <v>2.0499999998137355</v>
      </c>
      <c r="N19" s="117">
        <f>1000000-1000000</f>
        <v>0</v>
      </c>
      <c r="O19" s="117">
        <f t="shared" si="10"/>
        <v>0</v>
      </c>
      <c r="P19" s="117">
        <f t="shared" si="4"/>
        <v>2.0499999998137355</v>
      </c>
      <c r="Q19" s="117"/>
      <c r="R19" s="117"/>
      <c r="S19" s="117">
        <f t="shared" si="5"/>
        <v>0</v>
      </c>
      <c r="T19" s="117">
        <f t="shared" si="6"/>
        <v>0</v>
      </c>
      <c r="U19" s="117">
        <f t="shared" si="7"/>
        <v>0</v>
      </c>
      <c r="V19" s="117">
        <f t="shared" si="8"/>
        <v>0</v>
      </c>
      <c r="W19" s="543"/>
      <c r="X19" s="117"/>
      <c r="Y19" s="117"/>
      <c r="Z19" s="113"/>
      <c r="AA19" s="113">
        <v>742000</v>
      </c>
      <c r="AB19" s="117"/>
      <c r="AC19" s="117"/>
      <c r="AD19" s="117"/>
      <c r="AE19" s="117"/>
      <c r="AF19" s="117"/>
      <c r="AG19" s="117"/>
      <c r="AH19" s="117"/>
      <c r="AI19" s="117"/>
      <c r="AJ19" s="117"/>
      <c r="AK19" s="117">
        <f t="shared" si="11"/>
        <v>0</v>
      </c>
      <c r="AL19" s="115"/>
      <c r="AM19" s="566">
        <f t="shared" si="12"/>
        <v>0</v>
      </c>
      <c r="AN19" s="117">
        <f t="shared" si="13"/>
        <v>0</v>
      </c>
      <c r="AO19" s="117">
        <f t="shared" si="14"/>
        <v>0</v>
      </c>
      <c r="AP19" s="565"/>
      <c r="AQ19" s="565"/>
      <c r="AR19" s="565"/>
      <c r="AS19" s="565"/>
      <c r="AT19" s="117">
        <f t="shared" si="15"/>
        <v>0</v>
      </c>
      <c r="AU19" s="565"/>
      <c r="AV19" s="565"/>
      <c r="AW19" s="565"/>
      <c r="AX19" s="565"/>
      <c r="AY19" s="117">
        <f t="shared" si="16"/>
        <v>0</v>
      </c>
      <c r="AZ19" s="565"/>
      <c r="BA19" s="565"/>
      <c r="BB19" s="565"/>
      <c r="BC19" s="565"/>
      <c r="AJD19" s="546"/>
    </row>
    <row r="20" spans="1:940" s="546" customFormat="1">
      <c r="A20" s="113">
        <f t="shared" si="0"/>
        <v>13</v>
      </c>
      <c r="B20" s="113">
        <v>1129</v>
      </c>
      <c r="C20" s="113" t="s">
        <v>38</v>
      </c>
      <c r="D20" s="117">
        <f>5500000+1500000</f>
        <v>7000000</v>
      </c>
      <c r="E20" s="117">
        <v>5500000</v>
      </c>
      <c r="F20" s="117">
        <f t="shared" si="1"/>
        <v>1500000</v>
      </c>
      <c r="G20" s="117">
        <v>5491771</v>
      </c>
      <c r="H20" s="117">
        <v>5015424.54</v>
      </c>
      <c r="I20" s="117"/>
      <c r="J20" s="117">
        <v>108575.5</v>
      </c>
      <c r="K20" s="117">
        <f t="shared" si="2"/>
        <v>108575.5</v>
      </c>
      <c r="L20" s="117">
        <f t="shared" si="3"/>
        <v>5124000.04</v>
      </c>
      <c r="M20" s="117">
        <f t="shared" si="17"/>
        <v>367770.95999999996</v>
      </c>
      <c r="N20" s="117">
        <f>1000000-500000</f>
        <v>500000</v>
      </c>
      <c r="O20" s="117">
        <f t="shared" si="10"/>
        <v>1008229</v>
      </c>
      <c r="P20" s="117">
        <f t="shared" si="4"/>
        <v>367770.95999999996</v>
      </c>
      <c r="Q20" s="117"/>
      <c r="R20" s="117"/>
      <c r="S20" s="117">
        <f t="shared" si="5"/>
        <v>0</v>
      </c>
      <c r="T20" s="117">
        <f t="shared" si="6"/>
        <v>0</v>
      </c>
      <c r="U20" s="117">
        <f t="shared" si="7"/>
        <v>500000</v>
      </c>
      <c r="V20" s="117">
        <f t="shared" si="8"/>
        <v>500000</v>
      </c>
      <c r="W20" s="543"/>
      <c r="X20" s="117"/>
      <c r="Y20" s="117"/>
      <c r="Z20" s="113"/>
      <c r="AA20" s="113">
        <v>742000</v>
      </c>
      <c r="AB20" s="117"/>
      <c r="AC20" s="117"/>
      <c r="AD20" s="117"/>
      <c r="AE20" s="117"/>
      <c r="AF20" s="117"/>
      <c r="AG20" s="117"/>
      <c r="AH20" s="117">
        <v>100000</v>
      </c>
      <c r="AI20" s="117">
        <v>400000</v>
      </c>
      <c r="AJ20" s="117"/>
      <c r="AK20" s="117">
        <f t="shared" si="11"/>
        <v>500000</v>
      </c>
      <c r="AL20" s="565"/>
      <c r="AM20" s="566">
        <f t="shared" si="12"/>
        <v>500000</v>
      </c>
      <c r="AN20" s="117">
        <f t="shared" si="13"/>
        <v>0</v>
      </c>
      <c r="AO20" s="117">
        <f t="shared" si="14"/>
        <v>500000</v>
      </c>
      <c r="AP20" s="565"/>
      <c r="AQ20" s="565"/>
      <c r="AR20" s="565"/>
      <c r="AS20" s="565"/>
      <c r="AT20" s="117">
        <f t="shared" si="15"/>
        <v>0</v>
      </c>
      <c r="AU20" s="565"/>
      <c r="AV20" s="565"/>
      <c r="AW20" s="565"/>
      <c r="AX20" s="565"/>
      <c r="AY20" s="117">
        <f t="shared" si="16"/>
        <v>0</v>
      </c>
      <c r="AZ20" s="565"/>
      <c r="BA20" s="565"/>
      <c r="BB20" s="565"/>
      <c r="BC20" s="565"/>
      <c r="BD20" s="308"/>
      <c r="BE20" s="308"/>
      <c r="BF20" s="308"/>
      <c r="BG20" s="308"/>
      <c r="BH20" s="308"/>
      <c r="BI20" s="308"/>
      <c r="BJ20" s="308"/>
      <c r="BK20" s="308"/>
      <c r="BL20" s="308"/>
      <c r="BM20" s="308"/>
      <c r="BN20" s="308"/>
      <c r="BO20" s="308"/>
      <c r="BP20" s="308"/>
      <c r="BQ20" s="308"/>
      <c r="BR20" s="308"/>
      <c r="BS20" s="308"/>
      <c r="BT20" s="308"/>
      <c r="BU20" s="308"/>
      <c r="BV20" s="308"/>
      <c r="BW20" s="308"/>
      <c r="BX20" s="308"/>
      <c r="BY20" s="308"/>
      <c r="BZ20" s="308"/>
      <c r="CA20" s="308"/>
      <c r="CB20" s="308"/>
      <c r="CC20" s="308"/>
      <c r="CD20" s="308"/>
      <c r="CE20" s="308"/>
      <c r="CF20" s="308"/>
      <c r="CG20" s="308"/>
      <c r="CH20" s="308"/>
      <c r="CI20" s="308"/>
      <c r="CJ20" s="308"/>
      <c r="CK20" s="308"/>
      <c r="CL20" s="308"/>
      <c r="CM20" s="308"/>
      <c r="CN20" s="308"/>
      <c r="CO20" s="308"/>
      <c r="CP20" s="308"/>
      <c r="CQ20" s="308"/>
      <c r="CR20" s="308"/>
      <c r="CS20" s="308"/>
      <c r="CT20" s="308"/>
      <c r="CU20" s="308"/>
      <c r="CV20" s="308"/>
      <c r="CW20" s="308"/>
      <c r="CX20" s="308"/>
      <c r="CY20" s="308"/>
      <c r="CZ20" s="308"/>
      <c r="DA20" s="308"/>
      <c r="DB20" s="308"/>
      <c r="DC20" s="308"/>
      <c r="DD20" s="308"/>
      <c r="DE20" s="308"/>
      <c r="DF20" s="308"/>
      <c r="DG20" s="308"/>
      <c r="DH20" s="308"/>
      <c r="DI20" s="308"/>
      <c r="DJ20" s="308"/>
      <c r="DK20" s="308"/>
      <c r="DL20" s="308"/>
      <c r="DM20" s="308"/>
      <c r="DN20" s="308"/>
      <c r="DO20" s="308"/>
      <c r="DP20" s="308"/>
      <c r="DQ20" s="308"/>
      <c r="DR20" s="308"/>
      <c r="DS20" s="308"/>
      <c r="DT20" s="308"/>
      <c r="DU20" s="308"/>
      <c r="DV20" s="308"/>
      <c r="DW20" s="308"/>
      <c r="DX20" s="308"/>
      <c r="DY20" s="308"/>
      <c r="DZ20" s="308"/>
      <c r="EA20" s="308"/>
      <c r="EB20" s="308"/>
      <c r="EC20" s="308"/>
      <c r="ED20" s="308"/>
      <c r="EE20" s="308"/>
      <c r="EF20" s="308"/>
      <c r="EG20" s="308"/>
      <c r="EH20" s="308"/>
      <c r="EI20" s="308"/>
      <c r="EJ20" s="308"/>
      <c r="EK20" s="308"/>
      <c r="EL20" s="308"/>
      <c r="EM20" s="308"/>
      <c r="EN20" s="308"/>
      <c r="EO20" s="308"/>
      <c r="EP20" s="308"/>
      <c r="EQ20" s="308"/>
      <c r="ER20" s="308"/>
      <c r="ES20" s="308"/>
      <c r="ET20" s="308"/>
      <c r="EU20" s="308"/>
      <c r="EV20" s="308"/>
      <c r="EW20" s="308"/>
      <c r="EX20" s="308"/>
      <c r="EY20" s="308"/>
      <c r="EZ20" s="308"/>
      <c r="FA20" s="308"/>
      <c r="FB20" s="308"/>
      <c r="FC20" s="308"/>
      <c r="FD20" s="308"/>
      <c r="FE20" s="308"/>
      <c r="FF20" s="308"/>
      <c r="FG20" s="308"/>
      <c r="FH20" s="308"/>
      <c r="FI20" s="308"/>
      <c r="FJ20" s="308"/>
      <c r="FK20" s="308"/>
      <c r="FL20" s="308"/>
      <c r="FM20" s="308"/>
      <c r="FN20" s="308"/>
      <c r="FO20" s="308"/>
      <c r="FP20" s="308"/>
      <c r="FQ20" s="308"/>
      <c r="FR20" s="308"/>
      <c r="FS20" s="308"/>
      <c r="FT20" s="308"/>
      <c r="FU20" s="308"/>
      <c r="FV20" s="308"/>
      <c r="FW20" s="308"/>
      <c r="FX20" s="308"/>
      <c r="FY20" s="308"/>
      <c r="FZ20" s="308"/>
      <c r="GA20" s="308"/>
      <c r="GB20" s="308"/>
      <c r="GC20" s="308"/>
      <c r="GD20" s="308"/>
      <c r="GE20" s="308"/>
      <c r="GF20" s="308"/>
      <c r="GG20" s="308"/>
      <c r="GH20" s="308"/>
      <c r="GI20" s="308"/>
      <c r="GJ20" s="308"/>
      <c r="GK20" s="308"/>
      <c r="GL20" s="308"/>
      <c r="GM20" s="308"/>
      <c r="GN20" s="308"/>
      <c r="GO20" s="308"/>
      <c r="GP20" s="308"/>
      <c r="GQ20" s="308"/>
      <c r="GR20" s="308"/>
      <c r="GS20" s="308"/>
      <c r="GT20" s="308"/>
      <c r="GU20" s="308"/>
      <c r="GV20" s="308"/>
      <c r="GW20" s="308"/>
      <c r="GX20" s="308"/>
      <c r="GY20" s="308"/>
      <c r="GZ20" s="308"/>
      <c r="HA20" s="308"/>
      <c r="HB20" s="308"/>
      <c r="HC20" s="308"/>
      <c r="HD20" s="308"/>
      <c r="HE20" s="308"/>
      <c r="HF20" s="308"/>
      <c r="HG20" s="308"/>
      <c r="HH20" s="308"/>
      <c r="HI20" s="308"/>
      <c r="HJ20" s="308"/>
      <c r="HK20" s="308"/>
      <c r="HL20" s="308"/>
      <c r="HM20" s="308"/>
      <c r="HN20" s="308"/>
      <c r="HO20" s="308"/>
      <c r="HP20" s="308"/>
      <c r="HQ20" s="308"/>
      <c r="HR20" s="308"/>
      <c r="HS20" s="308"/>
      <c r="HT20" s="308"/>
      <c r="HU20" s="308"/>
      <c r="HV20" s="308"/>
      <c r="HW20" s="308"/>
      <c r="HX20" s="308"/>
      <c r="HY20" s="308"/>
      <c r="HZ20" s="308"/>
      <c r="IA20" s="308"/>
      <c r="IB20" s="308"/>
      <c r="IC20" s="308"/>
      <c r="ID20" s="308"/>
      <c r="IE20" s="308"/>
      <c r="IF20" s="308"/>
      <c r="IG20" s="308"/>
      <c r="IH20" s="308"/>
      <c r="II20" s="308"/>
      <c r="IJ20" s="308"/>
      <c r="IK20" s="308"/>
      <c r="IL20" s="308"/>
      <c r="IM20" s="308"/>
      <c r="IN20" s="308"/>
      <c r="IO20" s="308"/>
      <c r="IP20" s="308"/>
      <c r="IQ20" s="308"/>
      <c r="IR20" s="308"/>
      <c r="IS20" s="308"/>
      <c r="IT20" s="308"/>
      <c r="IU20" s="308"/>
      <c r="IV20" s="308"/>
      <c r="IW20" s="308"/>
      <c r="IX20" s="308"/>
      <c r="IY20" s="308"/>
      <c r="IZ20" s="308"/>
      <c r="JA20" s="308"/>
      <c r="JB20" s="308"/>
      <c r="JC20" s="308"/>
      <c r="JD20" s="308"/>
      <c r="JE20" s="308"/>
      <c r="JF20" s="308"/>
      <c r="JG20" s="308"/>
      <c r="JH20" s="308"/>
      <c r="JI20" s="308"/>
      <c r="JJ20" s="308"/>
      <c r="JK20" s="308"/>
      <c r="JL20" s="308"/>
      <c r="JM20" s="308"/>
      <c r="JN20" s="308"/>
      <c r="JO20" s="308"/>
      <c r="JP20" s="308"/>
      <c r="JQ20" s="308"/>
      <c r="JR20" s="308"/>
      <c r="JS20" s="308"/>
      <c r="JT20" s="308"/>
      <c r="JU20" s="308"/>
      <c r="JV20" s="308"/>
      <c r="JW20" s="308"/>
      <c r="JX20" s="308"/>
      <c r="JY20" s="308"/>
      <c r="JZ20" s="308"/>
      <c r="KA20" s="308"/>
      <c r="KB20" s="308"/>
      <c r="KC20" s="308"/>
      <c r="KD20" s="308"/>
      <c r="KE20" s="308"/>
      <c r="KF20" s="308"/>
      <c r="KG20" s="308"/>
      <c r="KH20" s="308"/>
      <c r="KI20" s="308"/>
      <c r="KJ20" s="308"/>
      <c r="KK20" s="308"/>
      <c r="KL20" s="308"/>
      <c r="KM20" s="308"/>
      <c r="KN20" s="308"/>
      <c r="KO20" s="308"/>
      <c r="KP20" s="308"/>
      <c r="KQ20" s="308"/>
      <c r="KR20" s="308"/>
      <c r="KS20" s="308"/>
      <c r="KT20" s="308"/>
      <c r="KU20" s="308"/>
      <c r="KV20" s="308"/>
      <c r="KW20" s="308"/>
      <c r="KX20" s="308"/>
      <c r="KY20" s="308"/>
      <c r="KZ20" s="308"/>
      <c r="LA20" s="308"/>
      <c r="LB20" s="308"/>
      <c r="LC20" s="308"/>
      <c r="LD20" s="308"/>
      <c r="LE20" s="308"/>
      <c r="LF20" s="308"/>
      <c r="LG20" s="308"/>
      <c r="LH20" s="308"/>
      <c r="LI20" s="308"/>
      <c r="LJ20" s="308"/>
      <c r="LK20" s="308"/>
      <c r="LL20" s="308"/>
      <c r="LM20" s="308"/>
      <c r="LN20" s="308"/>
      <c r="LO20" s="308"/>
      <c r="LP20" s="308"/>
      <c r="LQ20" s="308"/>
      <c r="LR20" s="308"/>
      <c r="LS20" s="308"/>
      <c r="LT20" s="308"/>
      <c r="LU20" s="308"/>
      <c r="LV20" s="308"/>
      <c r="LW20" s="308"/>
      <c r="LX20" s="308"/>
      <c r="LY20" s="308"/>
      <c r="LZ20" s="308"/>
      <c r="MA20" s="308"/>
      <c r="MB20" s="308"/>
      <c r="MC20" s="308"/>
      <c r="MD20" s="308"/>
      <c r="ME20" s="308"/>
      <c r="MF20" s="308"/>
      <c r="MG20" s="308"/>
      <c r="MH20" s="308"/>
      <c r="MI20" s="308"/>
      <c r="MJ20" s="308"/>
      <c r="MK20" s="308"/>
      <c r="ML20" s="308"/>
      <c r="MM20" s="308"/>
      <c r="MN20" s="308"/>
      <c r="MO20" s="308"/>
      <c r="MP20" s="308"/>
      <c r="MQ20" s="308"/>
      <c r="MR20" s="308"/>
      <c r="MS20" s="308"/>
      <c r="MT20" s="308"/>
      <c r="MU20" s="308"/>
      <c r="MV20" s="308"/>
      <c r="MW20" s="308"/>
      <c r="MX20" s="308"/>
      <c r="MY20" s="308"/>
      <c r="MZ20" s="308"/>
      <c r="NA20" s="308"/>
      <c r="NB20" s="308"/>
      <c r="NC20" s="308"/>
      <c r="ND20" s="308"/>
      <c r="NE20" s="308"/>
      <c r="NF20" s="308"/>
      <c r="NG20" s="308"/>
      <c r="NH20" s="308"/>
      <c r="NI20" s="308"/>
      <c r="NJ20" s="308"/>
      <c r="NK20" s="308"/>
      <c r="NL20" s="308"/>
      <c r="NM20" s="308"/>
      <c r="NN20" s="308"/>
      <c r="NO20" s="308"/>
      <c r="NP20" s="308"/>
      <c r="NQ20" s="308"/>
      <c r="NR20" s="308"/>
      <c r="NS20" s="308"/>
      <c r="NT20" s="308"/>
      <c r="NU20" s="308"/>
      <c r="NV20" s="308"/>
      <c r="NW20" s="308"/>
      <c r="NX20" s="308"/>
      <c r="NY20" s="308"/>
      <c r="NZ20" s="308"/>
      <c r="OA20" s="308"/>
      <c r="OB20" s="308"/>
      <c r="OC20" s="308"/>
      <c r="OD20" s="308"/>
      <c r="OE20" s="308"/>
      <c r="OF20" s="308"/>
      <c r="OG20" s="308"/>
      <c r="OH20" s="308"/>
      <c r="OI20" s="308"/>
      <c r="OJ20" s="308"/>
      <c r="OK20" s="308"/>
      <c r="OL20" s="308"/>
      <c r="OM20" s="308"/>
      <c r="ON20" s="308"/>
      <c r="OO20" s="308"/>
      <c r="OP20" s="308"/>
      <c r="OQ20" s="308"/>
      <c r="OR20" s="308"/>
      <c r="OS20" s="308"/>
      <c r="OT20" s="308"/>
      <c r="OU20" s="308"/>
      <c r="OV20" s="308"/>
      <c r="OW20" s="308"/>
      <c r="OX20" s="308"/>
      <c r="OY20" s="308"/>
      <c r="OZ20" s="308"/>
      <c r="PA20" s="308"/>
      <c r="PB20" s="308"/>
      <c r="PC20" s="308"/>
      <c r="PD20" s="308"/>
      <c r="PE20" s="308"/>
      <c r="PF20" s="308"/>
      <c r="PG20" s="308"/>
      <c r="PH20" s="308"/>
      <c r="PI20" s="308"/>
      <c r="PJ20" s="308"/>
      <c r="PK20" s="308"/>
      <c r="PL20" s="308"/>
      <c r="PM20" s="308"/>
      <c r="PN20" s="308"/>
      <c r="PO20" s="308"/>
      <c r="PP20" s="308"/>
      <c r="PQ20" s="308"/>
      <c r="PR20" s="308"/>
      <c r="PS20" s="308"/>
      <c r="PT20" s="308"/>
      <c r="PU20" s="308"/>
      <c r="PV20" s="308"/>
      <c r="PW20" s="308"/>
      <c r="PX20" s="308"/>
      <c r="PY20" s="308"/>
      <c r="PZ20" s="308"/>
      <c r="QA20" s="308"/>
      <c r="QB20" s="308"/>
      <c r="QC20" s="308"/>
      <c r="QD20" s="308"/>
      <c r="QE20" s="308"/>
      <c r="QF20" s="308"/>
      <c r="QG20" s="308"/>
      <c r="QH20" s="308"/>
      <c r="QI20" s="308"/>
      <c r="QJ20" s="308"/>
      <c r="QK20" s="308"/>
      <c r="QL20" s="308"/>
      <c r="QM20" s="308"/>
      <c r="QN20" s="308"/>
      <c r="QO20" s="308"/>
      <c r="QP20" s="308"/>
      <c r="QQ20" s="308"/>
      <c r="QR20" s="308"/>
      <c r="QS20" s="308"/>
      <c r="QT20" s="308"/>
      <c r="QU20" s="308"/>
      <c r="QV20" s="308"/>
      <c r="QW20" s="308"/>
      <c r="QX20" s="308"/>
      <c r="QY20" s="308"/>
      <c r="QZ20" s="308"/>
      <c r="RA20" s="308"/>
      <c r="RB20" s="308"/>
      <c r="RC20" s="308"/>
      <c r="RD20" s="308"/>
      <c r="RE20" s="308"/>
      <c r="RF20" s="308"/>
      <c r="RG20" s="308"/>
      <c r="RH20" s="308"/>
      <c r="RI20" s="308"/>
      <c r="RJ20" s="308"/>
      <c r="RK20" s="308"/>
      <c r="RL20" s="308"/>
      <c r="RM20" s="308"/>
      <c r="RN20" s="308"/>
      <c r="RO20" s="308"/>
      <c r="RP20" s="308"/>
      <c r="RQ20" s="308"/>
      <c r="RR20" s="308"/>
      <c r="RS20" s="308"/>
      <c r="RT20" s="308"/>
      <c r="RU20" s="308"/>
      <c r="RV20" s="308"/>
      <c r="RW20" s="308"/>
      <c r="RX20" s="308"/>
      <c r="RY20" s="308"/>
      <c r="RZ20" s="308"/>
      <c r="SA20" s="308"/>
      <c r="SB20" s="308"/>
      <c r="SC20" s="308"/>
      <c r="SD20" s="308"/>
      <c r="SE20" s="308"/>
      <c r="SF20" s="308"/>
      <c r="SG20" s="308"/>
      <c r="SH20" s="308"/>
      <c r="SI20" s="308"/>
      <c r="SJ20" s="308"/>
      <c r="SK20" s="308"/>
      <c r="SL20" s="308"/>
      <c r="SM20" s="308"/>
      <c r="SN20" s="308"/>
      <c r="SO20" s="308"/>
      <c r="SP20" s="308"/>
      <c r="SQ20" s="308"/>
      <c r="SR20" s="308"/>
      <c r="SS20" s="308"/>
      <c r="ST20" s="308"/>
      <c r="SU20" s="308"/>
      <c r="SV20" s="308"/>
      <c r="SW20" s="308"/>
      <c r="SX20" s="308"/>
      <c r="SY20" s="308"/>
      <c r="SZ20" s="308"/>
      <c r="TA20" s="308"/>
      <c r="TB20" s="308"/>
      <c r="TC20" s="308"/>
      <c r="TD20" s="308"/>
      <c r="TE20" s="308"/>
      <c r="TF20" s="308"/>
      <c r="TG20" s="308"/>
      <c r="TH20" s="308"/>
      <c r="TI20" s="308"/>
      <c r="TJ20" s="308"/>
      <c r="TK20" s="308"/>
      <c r="TL20" s="308"/>
      <c r="TM20" s="308"/>
      <c r="TN20" s="308"/>
      <c r="TO20" s="308"/>
      <c r="TP20" s="308"/>
      <c r="TQ20" s="308"/>
      <c r="TR20" s="308"/>
      <c r="TS20" s="308"/>
      <c r="TT20" s="308"/>
      <c r="TU20" s="308"/>
      <c r="TV20" s="308"/>
      <c r="TW20" s="308"/>
      <c r="TX20" s="308"/>
      <c r="TY20" s="308"/>
      <c r="TZ20" s="308"/>
      <c r="UA20" s="308"/>
      <c r="UB20" s="308"/>
      <c r="UC20" s="308"/>
      <c r="UD20" s="308"/>
      <c r="UE20" s="308"/>
      <c r="UF20" s="308"/>
      <c r="UG20" s="308"/>
      <c r="UH20" s="308"/>
      <c r="UI20" s="308"/>
      <c r="UJ20" s="308"/>
      <c r="UK20" s="308"/>
      <c r="UL20" s="308"/>
      <c r="UM20" s="308"/>
      <c r="UN20" s="308"/>
      <c r="UO20" s="308"/>
      <c r="UP20" s="308"/>
      <c r="UQ20" s="308"/>
      <c r="UR20" s="308"/>
      <c r="US20" s="308"/>
      <c r="UT20" s="308"/>
      <c r="UU20" s="308"/>
      <c r="UV20" s="308"/>
      <c r="UW20" s="308"/>
      <c r="UX20" s="308"/>
      <c r="UY20" s="308"/>
      <c r="UZ20" s="308"/>
      <c r="VA20" s="308"/>
      <c r="VB20" s="308"/>
      <c r="VC20" s="308"/>
      <c r="VD20" s="308"/>
      <c r="VE20" s="308"/>
      <c r="VF20" s="308"/>
      <c r="VG20" s="308"/>
      <c r="VH20" s="308"/>
      <c r="VI20" s="308"/>
      <c r="VJ20" s="308"/>
      <c r="VK20" s="308"/>
      <c r="VL20" s="308"/>
      <c r="VM20" s="308"/>
      <c r="VN20" s="308"/>
      <c r="VO20" s="308"/>
      <c r="VP20" s="308"/>
      <c r="VQ20" s="308"/>
      <c r="VR20" s="308"/>
      <c r="VS20" s="308"/>
      <c r="VT20" s="308"/>
      <c r="VU20" s="308"/>
      <c r="VV20" s="308"/>
      <c r="VW20" s="308"/>
      <c r="VX20" s="308"/>
      <c r="VY20" s="308"/>
      <c r="VZ20" s="308"/>
      <c r="WA20" s="308"/>
      <c r="WB20" s="308"/>
      <c r="WC20" s="308"/>
      <c r="WD20" s="308"/>
      <c r="WE20" s="308"/>
      <c r="WF20" s="308"/>
      <c r="WG20" s="308"/>
      <c r="WH20" s="308"/>
      <c r="WI20" s="308"/>
      <c r="WJ20" s="308"/>
      <c r="WK20" s="308"/>
      <c r="WL20" s="308"/>
      <c r="WM20" s="308"/>
      <c r="WN20" s="308"/>
      <c r="WO20" s="308"/>
      <c r="WP20" s="308"/>
      <c r="WQ20" s="308"/>
      <c r="WR20" s="308"/>
      <c r="WS20" s="308"/>
      <c r="WT20" s="308"/>
      <c r="WU20" s="308"/>
      <c r="WV20" s="308"/>
      <c r="WW20" s="308"/>
      <c r="WX20" s="308"/>
      <c r="WY20" s="308"/>
      <c r="WZ20" s="308"/>
      <c r="XA20" s="308"/>
      <c r="XB20" s="308"/>
      <c r="XC20" s="308"/>
      <c r="XD20" s="308"/>
      <c r="XE20" s="308"/>
      <c r="XF20" s="308"/>
      <c r="XG20" s="308"/>
      <c r="XH20" s="308"/>
      <c r="XI20" s="308"/>
      <c r="XJ20" s="308"/>
      <c r="XK20" s="308"/>
      <c r="XL20" s="308"/>
      <c r="XM20" s="308"/>
      <c r="XN20" s="308"/>
      <c r="XO20" s="308"/>
      <c r="XP20" s="308"/>
      <c r="XQ20" s="308"/>
      <c r="XR20" s="308"/>
      <c r="XS20" s="308"/>
      <c r="XT20" s="308"/>
      <c r="XU20" s="308"/>
      <c r="XV20" s="308"/>
      <c r="XW20" s="308"/>
      <c r="XX20" s="308"/>
      <c r="XY20" s="308"/>
      <c r="XZ20" s="308"/>
      <c r="YA20" s="308"/>
      <c r="YB20" s="308"/>
      <c r="YC20" s="308"/>
      <c r="YD20" s="308"/>
      <c r="YE20" s="308"/>
      <c r="YF20" s="308"/>
      <c r="YG20" s="308"/>
      <c r="YH20" s="308"/>
      <c r="YI20" s="308"/>
      <c r="YJ20" s="308"/>
      <c r="YK20" s="308"/>
      <c r="YL20" s="308"/>
      <c r="YM20" s="308"/>
      <c r="YN20" s="308"/>
      <c r="YO20" s="308"/>
      <c r="YP20" s="308"/>
      <c r="YQ20" s="308"/>
      <c r="YR20" s="308"/>
      <c r="YS20" s="308"/>
      <c r="YT20" s="308"/>
      <c r="YU20" s="308"/>
      <c r="YV20" s="308"/>
      <c r="YW20" s="308"/>
      <c r="YX20" s="308"/>
      <c r="YY20" s="308"/>
      <c r="YZ20" s="308"/>
      <c r="ZA20" s="308"/>
      <c r="ZB20" s="308"/>
      <c r="ZC20" s="308"/>
      <c r="ZD20" s="308"/>
      <c r="ZE20" s="308"/>
      <c r="ZF20" s="308"/>
      <c r="ZG20" s="308"/>
      <c r="ZH20" s="308"/>
      <c r="ZI20" s="308"/>
      <c r="ZJ20" s="308"/>
      <c r="ZK20" s="308"/>
      <c r="ZL20" s="308"/>
      <c r="ZM20" s="308"/>
      <c r="ZN20" s="308"/>
      <c r="ZO20" s="308"/>
      <c r="ZP20" s="308"/>
      <c r="ZQ20" s="308"/>
      <c r="ZR20" s="308"/>
      <c r="ZS20" s="308"/>
      <c r="ZT20" s="308"/>
      <c r="ZU20" s="308"/>
      <c r="ZV20" s="308"/>
      <c r="ZW20" s="308"/>
      <c r="ZX20" s="308"/>
      <c r="ZY20" s="308"/>
      <c r="ZZ20" s="308"/>
      <c r="AAA20" s="308"/>
      <c r="AAB20" s="308"/>
      <c r="AAC20" s="308"/>
      <c r="AAD20" s="308"/>
      <c r="AAE20" s="308"/>
      <c r="AAF20" s="308"/>
      <c r="AAG20" s="308"/>
      <c r="AAH20" s="308"/>
      <c r="AAI20" s="308"/>
      <c r="AAJ20" s="308"/>
      <c r="AAK20" s="308"/>
      <c r="AAL20" s="308"/>
      <c r="AAM20" s="308"/>
      <c r="AAN20" s="308"/>
      <c r="AAO20" s="308"/>
      <c r="AAP20" s="308"/>
      <c r="AAQ20" s="308"/>
      <c r="AAR20" s="308"/>
      <c r="AAS20" s="308"/>
      <c r="AAT20" s="308"/>
      <c r="AAU20" s="308"/>
      <c r="AAV20" s="308"/>
      <c r="AAW20" s="308"/>
      <c r="AAX20" s="308"/>
      <c r="AAY20" s="308"/>
      <c r="AAZ20" s="308"/>
      <c r="ABA20" s="308"/>
      <c r="ABB20" s="308"/>
      <c r="ABC20" s="308"/>
      <c r="ABD20" s="308"/>
      <c r="ABE20" s="308"/>
      <c r="ABF20" s="308"/>
      <c r="ABG20" s="308"/>
      <c r="ABH20" s="308"/>
      <c r="ABI20" s="308"/>
      <c r="ABJ20" s="308"/>
      <c r="ABK20" s="308"/>
      <c r="ABL20" s="308"/>
      <c r="ABM20" s="308"/>
      <c r="ABN20" s="308"/>
      <c r="ABO20" s="308"/>
      <c r="ABP20" s="308"/>
      <c r="ABQ20" s="308"/>
      <c r="ABR20" s="308"/>
      <c r="ABS20" s="308"/>
      <c r="ABT20" s="308"/>
      <c r="ABU20" s="308"/>
      <c r="ABV20" s="308"/>
      <c r="ABW20" s="308"/>
      <c r="ABX20" s="308"/>
      <c r="ABY20" s="308"/>
      <c r="ABZ20" s="308"/>
      <c r="ACA20" s="308"/>
      <c r="ACB20" s="308"/>
      <c r="ACC20" s="308"/>
      <c r="ACD20" s="308"/>
      <c r="ACE20" s="308"/>
      <c r="ACF20" s="308"/>
      <c r="ACG20" s="308"/>
      <c r="ACH20" s="308"/>
      <c r="ACI20" s="308"/>
      <c r="ACJ20" s="308"/>
      <c r="ACK20" s="308"/>
      <c r="ACL20" s="308"/>
      <c r="ACM20" s="308"/>
      <c r="ACN20" s="308"/>
      <c r="ACO20" s="308"/>
      <c r="ACP20" s="308"/>
      <c r="ACQ20" s="308"/>
      <c r="ACR20" s="308"/>
      <c r="ACS20" s="308"/>
      <c r="ACT20" s="308"/>
      <c r="ACU20" s="308"/>
      <c r="ACV20" s="308"/>
      <c r="ACW20" s="308"/>
      <c r="ACX20" s="308"/>
      <c r="ACY20" s="308"/>
      <c r="ACZ20" s="308"/>
      <c r="ADA20" s="308"/>
      <c r="ADB20" s="308"/>
      <c r="ADC20" s="308"/>
      <c r="ADD20" s="308"/>
      <c r="ADE20" s="308"/>
      <c r="ADF20" s="308"/>
      <c r="ADG20" s="308"/>
      <c r="ADH20" s="308"/>
      <c r="ADI20" s="308"/>
      <c r="ADJ20" s="308"/>
      <c r="ADK20" s="308"/>
      <c r="ADL20" s="308"/>
      <c r="ADM20" s="308"/>
      <c r="ADN20" s="308"/>
      <c r="ADO20" s="308"/>
      <c r="ADP20" s="308"/>
      <c r="ADQ20" s="308"/>
      <c r="ADR20" s="308"/>
      <c r="ADS20" s="308"/>
      <c r="ADT20" s="308"/>
      <c r="ADU20" s="308"/>
      <c r="ADV20" s="308"/>
      <c r="ADW20" s="308"/>
      <c r="ADX20" s="308"/>
      <c r="ADY20" s="308"/>
      <c r="ADZ20" s="308"/>
      <c r="AEA20" s="308"/>
      <c r="AEB20" s="308"/>
      <c r="AEC20" s="308"/>
      <c r="AED20" s="308"/>
      <c r="AEE20" s="308"/>
      <c r="AEF20" s="308"/>
      <c r="AEG20" s="308"/>
      <c r="AEH20" s="308"/>
      <c r="AEI20" s="308"/>
      <c r="AEJ20" s="308"/>
      <c r="AEK20" s="308"/>
      <c r="AEL20" s="308"/>
      <c r="AEM20" s="308"/>
      <c r="AEN20" s="308"/>
      <c r="AEO20" s="308"/>
      <c r="AEP20" s="308"/>
      <c r="AEQ20" s="308"/>
      <c r="AER20" s="308"/>
      <c r="AES20" s="308"/>
      <c r="AET20" s="308"/>
      <c r="AEU20" s="308"/>
      <c r="AEV20" s="308"/>
      <c r="AEW20" s="308"/>
      <c r="AEX20" s="308"/>
      <c r="AEY20" s="308"/>
      <c r="AEZ20" s="308"/>
      <c r="AFA20" s="308"/>
      <c r="AFB20" s="308"/>
      <c r="AFC20" s="308"/>
      <c r="AFD20" s="308"/>
      <c r="AFE20" s="308"/>
      <c r="AFF20" s="308"/>
      <c r="AFG20" s="308"/>
      <c r="AFH20" s="308"/>
      <c r="AFI20" s="308"/>
      <c r="AFJ20" s="308"/>
      <c r="AFK20" s="308"/>
      <c r="AFL20" s="308"/>
      <c r="AFM20" s="308"/>
      <c r="AFN20" s="308"/>
      <c r="AFO20" s="308"/>
      <c r="AFP20" s="308"/>
      <c r="AFQ20" s="308"/>
      <c r="AFR20" s="308"/>
      <c r="AFS20" s="308"/>
      <c r="AFT20" s="308"/>
      <c r="AFU20" s="308"/>
      <c r="AFV20" s="308"/>
      <c r="AFW20" s="308"/>
      <c r="AFX20" s="308"/>
      <c r="AFY20" s="308"/>
      <c r="AFZ20" s="308"/>
      <c r="AGA20" s="308"/>
      <c r="AGB20" s="308"/>
      <c r="AGC20" s="308"/>
      <c r="AGD20" s="308"/>
      <c r="AGE20" s="308"/>
      <c r="AGF20" s="308"/>
      <c r="AGG20" s="308"/>
      <c r="AGH20" s="308"/>
      <c r="AGI20" s="308"/>
      <c r="AGJ20" s="308"/>
      <c r="AGK20" s="308"/>
      <c r="AGL20" s="308"/>
      <c r="AGM20" s="308"/>
      <c r="AGN20" s="308"/>
      <c r="AGO20" s="308"/>
      <c r="AGP20" s="308"/>
      <c r="AGQ20" s="308"/>
      <c r="AGR20" s="308"/>
      <c r="AGS20" s="308"/>
      <c r="AGT20" s="308"/>
      <c r="AGU20" s="308"/>
      <c r="AGV20" s="308"/>
      <c r="AGW20" s="308"/>
      <c r="AGX20" s="308"/>
      <c r="AGY20" s="308"/>
      <c r="AGZ20" s="308"/>
      <c r="AHA20" s="308"/>
      <c r="AHB20" s="308"/>
      <c r="AHC20" s="308"/>
      <c r="AHD20" s="308"/>
      <c r="AHE20" s="308"/>
      <c r="AHF20" s="308"/>
      <c r="AHG20" s="308"/>
      <c r="AHH20" s="308"/>
      <c r="AHI20" s="308"/>
      <c r="AHJ20" s="308"/>
      <c r="AHK20" s="308"/>
      <c r="AHL20" s="308"/>
      <c r="AHM20" s="308"/>
      <c r="AHN20" s="308"/>
      <c r="AHO20" s="308"/>
      <c r="AHP20" s="308"/>
      <c r="AHQ20" s="308"/>
      <c r="AHR20" s="308"/>
      <c r="AHS20" s="308"/>
      <c r="AHT20" s="308"/>
      <c r="AHU20" s="308"/>
      <c r="AHV20" s="308"/>
      <c r="AHW20" s="308"/>
      <c r="AHX20" s="308"/>
      <c r="AHY20" s="308"/>
      <c r="AHZ20" s="308"/>
      <c r="AIA20" s="308"/>
      <c r="AIB20" s="308"/>
      <c r="AIC20" s="308"/>
      <c r="AID20" s="308"/>
      <c r="AIE20" s="308"/>
      <c r="AIF20" s="308"/>
      <c r="AIG20" s="308"/>
      <c r="AIH20" s="308"/>
      <c r="AII20" s="308"/>
      <c r="AIJ20" s="308"/>
      <c r="AIK20" s="308"/>
      <c r="AIL20" s="308"/>
      <c r="AIM20" s="308"/>
      <c r="AIN20" s="308"/>
      <c r="AIO20" s="308"/>
      <c r="AIP20" s="308"/>
      <c r="AIQ20" s="308"/>
      <c r="AIR20" s="308"/>
      <c r="AIS20" s="308"/>
      <c r="AIT20" s="308"/>
      <c r="AIU20" s="308"/>
      <c r="AIV20" s="308"/>
      <c r="AIW20" s="308"/>
      <c r="AIX20" s="308"/>
      <c r="AIY20" s="308"/>
      <c r="AIZ20" s="308"/>
      <c r="AJA20" s="308"/>
      <c r="AJB20" s="308"/>
      <c r="AJC20" s="308"/>
    </row>
    <row r="21" spans="1:940" s="567" customFormat="1" ht="28">
      <c r="A21" s="113">
        <f t="shared" si="0"/>
        <v>14</v>
      </c>
      <c r="B21" s="113">
        <v>1130</v>
      </c>
      <c r="C21" s="113" t="s">
        <v>1085</v>
      </c>
      <c r="D21" s="117">
        <f>13881894+2118106</f>
        <v>16000000</v>
      </c>
      <c r="E21" s="117">
        <v>13881894</v>
      </c>
      <c r="F21" s="117">
        <f t="shared" si="1"/>
        <v>2118106</v>
      </c>
      <c r="G21" s="117">
        <f>12191894+690000</f>
        <v>12881894</v>
      </c>
      <c r="H21" s="117">
        <v>10175732.01</v>
      </c>
      <c r="I21" s="117">
        <v>4625</v>
      </c>
      <c r="J21" s="117">
        <v>1688007.72</v>
      </c>
      <c r="K21" s="117">
        <f t="shared" si="2"/>
        <v>1692632.72</v>
      </c>
      <c r="L21" s="117">
        <f t="shared" si="3"/>
        <v>11868364.73</v>
      </c>
      <c r="M21" s="117">
        <f t="shared" si="17"/>
        <v>1013529.2699999996</v>
      </c>
      <c r="N21" s="117">
        <f>2000000-1000000</f>
        <v>1000000</v>
      </c>
      <c r="O21" s="117">
        <f t="shared" si="10"/>
        <v>2118106</v>
      </c>
      <c r="P21" s="117">
        <f t="shared" si="4"/>
        <v>1013529.2699999996</v>
      </c>
      <c r="Q21" s="117"/>
      <c r="R21" s="117"/>
      <c r="S21" s="117">
        <f t="shared" si="5"/>
        <v>0</v>
      </c>
      <c r="T21" s="117">
        <f t="shared" si="6"/>
        <v>0</v>
      </c>
      <c r="U21" s="117">
        <f t="shared" si="7"/>
        <v>1000000</v>
      </c>
      <c r="V21" s="117">
        <f t="shared" si="8"/>
        <v>1000000</v>
      </c>
      <c r="W21" s="543"/>
      <c r="X21" s="117"/>
      <c r="Y21" s="117"/>
      <c r="Z21" s="113"/>
      <c r="AA21" s="113">
        <v>742000</v>
      </c>
      <c r="AB21" s="117"/>
      <c r="AC21" s="117"/>
      <c r="AD21" s="117"/>
      <c r="AE21" s="117"/>
      <c r="AF21" s="117">
        <v>300000</v>
      </c>
      <c r="AG21" s="117">
        <v>300000</v>
      </c>
      <c r="AH21" s="117"/>
      <c r="AI21" s="117"/>
      <c r="AJ21" s="117"/>
      <c r="AK21" s="117">
        <f t="shared" si="11"/>
        <v>600000</v>
      </c>
      <c r="AL21" s="113"/>
      <c r="AM21" s="117">
        <f t="shared" si="12"/>
        <v>600000</v>
      </c>
      <c r="AN21" s="117">
        <f t="shared" si="13"/>
        <v>400000</v>
      </c>
      <c r="AO21" s="117">
        <f t="shared" si="14"/>
        <v>600000</v>
      </c>
      <c r="AP21" s="565"/>
      <c r="AQ21" s="565"/>
      <c r="AR21" s="565"/>
      <c r="AS21" s="565"/>
      <c r="AT21" s="117">
        <f t="shared" si="15"/>
        <v>0</v>
      </c>
      <c r="AU21" s="565"/>
      <c r="AV21" s="565"/>
      <c r="AW21" s="565"/>
      <c r="AX21" s="565"/>
      <c r="AY21" s="117">
        <f t="shared" si="16"/>
        <v>400000</v>
      </c>
      <c r="AZ21" s="565"/>
      <c r="BA21" s="565"/>
      <c r="BB21" s="565"/>
      <c r="BC21" s="565"/>
      <c r="AJD21" s="546"/>
    </row>
    <row r="22" spans="1:940" s="546" customFormat="1">
      <c r="A22" s="113">
        <f t="shared" si="0"/>
        <v>15</v>
      </c>
      <c r="B22" s="113">
        <v>1220</v>
      </c>
      <c r="C22" s="113" t="s">
        <v>40</v>
      </c>
      <c r="D22" s="117">
        <f>5600000+1400000</f>
        <v>7000000</v>
      </c>
      <c r="E22" s="117">
        <v>5600000</v>
      </c>
      <c r="F22" s="117">
        <f t="shared" si="1"/>
        <v>1400000</v>
      </c>
      <c r="G22" s="117">
        <v>5100000</v>
      </c>
      <c r="H22" s="117">
        <v>4106025.27</v>
      </c>
      <c r="I22" s="117">
        <v>51249.4</v>
      </c>
      <c r="J22" s="117">
        <v>598009.31999999995</v>
      </c>
      <c r="K22" s="117">
        <f t="shared" si="2"/>
        <v>649258.72</v>
      </c>
      <c r="L22" s="117">
        <f t="shared" si="3"/>
        <v>4755283.99</v>
      </c>
      <c r="M22" s="117">
        <f t="shared" si="17"/>
        <v>344716.00999999978</v>
      </c>
      <c r="N22" s="117">
        <f>1000000-500000</f>
        <v>500000</v>
      </c>
      <c r="O22" s="117">
        <f t="shared" si="10"/>
        <v>1400000</v>
      </c>
      <c r="P22" s="117">
        <f t="shared" si="4"/>
        <v>344716.00999999978</v>
      </c>
      <c r="Q22" s="117"/>
      <c r="R22" s="117"/>
      <c r="S22" s="117">
        <f t="shared" si="5"/>
        <v>0</v>
      </c>
      <c r="T22" s="117">
        <f t="shared" si="6"/>
        <v>0</v>
      </c>
      <c r="U22" s="117">
        <f t="shared" si="7"/>
        <v>500000</v>
      </c>
      <c r="V22" s="117">
        <f t="shared" si="8"/>
        <v>500000</v>
      </c>
      <c r="W22" s="543"/>
      <c r="X22" s="117"/>
      <c r="Y22" s="117"/>
      <c r="Z22" s="113"/>
      <c r="AA22" s="113">
        <v>732000</v>
      </c>
      <c r="AB22" s="117"/>
      <c r="AC22" s="117"/>
      <c r="AD22" s="117"/>
      <c r="AE22" s="117"/>
      <c r="AF22" s="117"/>
      <c r="AG22" s="117"/>
      <c r="AH22" s="117"/>
      <c r="AI22" s="117">
        <v>500000</v>
      </c>
      <c r="AJ22" s="117"/>
      <c r="AK22" s="117">
        <f t="shared" si="11"/>
        <v>500000</v>
      </c>
      <c r="AL22" s="113"/>
      <c r="AM22" s="566">
        <f t="shared" si="12"/>
        <v>500000</v>
      </c>
      <c r="AN22" s="117">
        <f t="shared" si="13"/>
        <v>0</v>
      </c>
      <c r="AO22" s="117">
        <f t="shared" si="14"/>
        <v>500000</v>
      </c>
      <c r="AP22" s="565"/>
      <c r="AQ22" s="565"/>
      <c r="AR22" s="565"/>
      <c r="AS22" s="565"/>
      <c r="AT22" s="117">
        <f t="shared" si="15"/>
        <v>0</v>
      </c>
      <c r="AU22" s="565"/>
      <c r="AV22" s="565"/>
      <c r="AW22" s="565"/>
      <c r="AX22" s="565"/>
      <c r="AY22" s="117">
        <f t="shared" si="16"/>
        <v>0</v>
      </c>
      <c r="AZ22" s="565"/>
      <c r="BA22" s="565"/>
      <c r="BB22" s="565"/>
      <c r="BC22" s="565"/>
      <c r="BD22" s="308"/>
      <c r="BE22" s="308"/>
      <c r="BF22" s="308"/>
      <c r="BG22" s="308"/>
      <c r="BH22" s="308"/>
      <c r="BI22" s="308"/>
      <c r="BJ22" s="308"/>
      <c r="BK22" s="308"/>
      <c r="BL22" s="308"/>
      <c r="BM22" s="308"/>
      <c r="BN22" s="308"/>
      <c r="BO22" s="308"/>
      <c r="BP22" s="308"/>
      <c r="BQ22" s="308"/>
      <c r="BR22" s="308"/>
      <c r="BS22" s="308"/>
      <c r="BT22" s="308"/>
      <c r="BU22" s="308"/>
      <c r="BV22" s="308"/>
      <c r="BW22" s="308"/>
      <c r="BX22" s="308"/>
      <c r="BY22" s="308"/>
      <c r="BZ22" s="308"/>
      <c r="CA22" s="308"/>
      <c r="CB22" s="308"/>
      <c r="CC22" s="308"/>
      <c r="CD22" s="308"/>
      <c r="CE22" s="308"/>
      <c r="CF22" s="308"/>
      <c r="CG22" s="308"/>
      <c r="CH22" s="308"/>
      <c r="CI22" s="308"/>
      <c r="CJ22" s="308"/>
      <c r="CK22" s="308"/>
      <c r="CL22" s="308"/>
      <c r="CM22" s="308"/>
      <c r="CN22" s="308"/>
      <c r="CO22" s="308"/>
      <c r="CP22" s="308"/>
      <c r="CQ22" s="308"/>
      <c r="CR22" s="308"/>
      <c r="CS22" s="308"/>
      <c r="CT22" s="308"/>
      <c r="CU22" s="308"/>
      <c r="CV22" s="308"/>
      <c r="CW22" s="308"/>
      <c r="CX22" s="308"/>
      <c r="CY22" s="308"/>
      <c r="CZ22" s="308"/>
      <c r="DA22" s="308"/>
      <c r="DB22" s="308"/>
      <c r="DC22" s="308"/>
      <c r="DD22" s="308"/>
      <c r="DE22" s="308"/>
      <c r="DF22" s="308"/>
      <c r="DG22" s="308"/>
      <c r="DH22" s="308"/>
      <c r="DI22" s="308"/>
      <c r="DJ22" s="308"/>
      <c r="DK22" s="308"/>
      <c r="DL22" s="308"/>
      <c r="DM22" s="308"/>
      <c r="DN22" s="308"/>
      <c r="DO22" s="308"/>
      <c r="DP22" s="308"/>
      <c r="DQ22" s="308"/>
      <c r="DR22" s="308"/>
      <c r="DS22" s="308"/>
      <c r="DT22" s="308"/>
      <c r="DU22" s="308"/>
      <c r="DV22" s="308"/>
      <c r="DW22" s="308"/>
      <c r="DX22" s="308"/>
      <c r="DY22" s="308"/>
      <c r="DZ22" s="308"/>
      <c r="EA22" s="308"/>
      <c r="EB22" s="308"/>
      <c r="EC22" s="308"/>
      <c r="ED22" s="308"/>
      <c r="EE22" s="308"/>
      <c r="EF22" s="308"/>
      <c r="EG22" s="308"/>
      <c r="EH22" s="308"/>
      <c r="EI22" s="308"/>
      <c r="EJ22" s="308"/>
      <c r="EK22" s="308"/>
      <c r="EL22" s="308"/>
      <c r="EM22" s="308"/>
      <c r="EN22" s="308"/>
      <c r="EO22" s="308"/>
      <c r="EP22" s="308"/>
      <c r="EQ22" s="308"/>
      <c r="ER22" s="308"/>
      <c r="ES22" s="308"/>
      <c r="ET22" s="308"/>
      <c r="EU22" s="308"/>
      <c r="EV22" s="308"/>
      <c r="EW22" s="308"/>
      <c r="EX22" s="308"/>
      <c r="EY22" s="308"/>
      <c r="EZ22" s="308"/>
      <c r="FA22" s="308"/>
      <c r="FB22" s="308"/>
      <c r="FC22" s="308"/>
      <c r="FD22" s="308"/>
      <c r="FE22" s="308"/>
      <c r="FF22" s="308"/>
      <c r="FG22" s="308"/>
      <c r="FH22" s="308"/>
      <c r="FI22" s="308"/>
      <c r="FJ22" s="308"/>
      <c r="FK22" s="308"/>
      <c r="FL22" s="308"/>
      <c r="FM22" s="308"/>
      <c r="FN22" s="308"/>
      <c r="FO22" s="308"/>
      <c r="FP22" s="308"/>
      <c r="FQ22" s="308"/>
      <c r="FR22" s="308"/>
      <c r="FS22" s="308"/>
      <c r="FT22" s="308"/>
      <c r="FU22" s="308"/>
      <c r="FV22" s="308"/>
      <c r="FW22" s="308"/>
      <c r="FX22" s="308"/>
      <c r="FY22" s="308"/>
      <c r="FZ22" s="308"/>
      <c r="GA22" s="308"/>
      <c r="GB22" s="308"/>
      <c r="GC22" s="308"/>
      <c r="GD22" s="308"/>
      <c r="GE22" s="308"/>
      <c r="GF22" s="308"/>
      <c r="GG22" s="308"/>
      <c r="GH22" s="308"/>
      <c r="GI22" s="308"/>
      <c r="GJ22" s="308"/>
      <c r="GK22" s="308"/>
      <c r="GL22" s="308"/>
      <c r="GM22" s="308"/>
      <c r="GN22" s="308"/>
      <c r="GO22" s="308"/>
      <c r="GP22" s="308"/>
      <c r="GQ22" s="308"/>
      <c r="GR22" s="308"/>
      <c r="GS22" s="308"/>
      <c r="GT22" s="308"/>
      <c r="GU22" s="308"/>
      <c r="GV22" s="308"/>
      <c r="GW22" s="308"/>
      <c r="GX22" s="308"/>
      <c r="GY22" s="308"/>
      <c r="GZ22" s="308"/>
      <c r="HA22" s="308"/>
      <c r="HB22" s="308"/>
      <c r="HC22" s="308"/>
      <c r="HD22" s="308"/>
      <c r="HE22" s="308"/>
      <c r="HF22" s="308"/>
      <c r="HG22" s="308"/>
      <c r="HH22" s="308"/>
      <c r="HI22" s="308"/>
      <c r="HJ22" s="308"/>
      <c r="HK22" s="308"/>
      <c r="HL22" s="308"/>
      <c r="HM22" s="308"/>
      <c r="HN22" s="308"/>
      <c r="HO22" s="308"/>
      <c r="HP22" s="308"/>
      <c r="HQ22" s="308"/>
      <c r="HR22" s="308"/>
      <c r="HS22" s="308"/>
      <c r="HT22" s="308"/>
      <c r="HU22" s="308"/>
      <c r="HV22" s="308"/>
      <c r="HW22" s="308"/>
      <c r="HX22" s="308"/>
      <c r="HY22" s="308"/>
      <c r="HZ22" s="308"/>
      <c r="IA22" s="308"/>
      <c r="IB22" s="308"/>
      <c r="IC22" s="308"/>
      <c r="ID22" s="308"/>
      <c r="IE22" s="308"/>
      <c r="IF22" s="308"/>
      <c r="IG22" s="308"/>
      <c r="IH22" s="308"/>
      <c r="II22" s="308"/>
      <c r="IJ22" s="308"/>
      <c r="IK22" s="308"/>
      <c r="IL22" s="308"/>
      <c r="IM22" s="308"/>
      <c r="IN22" s="308"/>
      <c r="IO22" s="308"/>
      <c r="IP22" s="308"/>
      <c r="IQ22" s="308"/>
      <c r="IR22" s="308"/>
      <c r="IS22" s="308"/>
      <c r="IT22" s="308"/>
      <c r="IU22" s="308"/>
      <c r="IV22" s="308"/>
      <c r="IW22" s="308"/>
      <c r="IX22" s="308"/>
      <c r="IY22" s="308"/>
      <c r="IZ22" s="308"/>
      <c r="JA22" s="308"/>
      <c r="JB22" s="308"/>
      <c r="JC22" s="308"/>
      <c r="JD22" s="308"/>
      <c r="JE22" s="308"/>
      <c r="JF22" s="308"/>
      <c r="JG22" s="308"/>
      <c r="JH22" s="308"/>
      <c r="JI22" s="308"/>
      <c r="JJ22" s="308"/>
      <c r="JK22" s="308"/>
      <c r="JL22" s="308"/>
      <c r="JM22" s="308"/>
      <c r="JN22" s="308"/>
      <c r="JO22" s="308"/>
      <c r="JP22" s="308"/>
      <c r="JQ22" s="308"/>
      <c r="JR22" s="308"/>
      <c r="JS22" s="308"/>
      <c r="JT22" s="308"/>
      <c r="JU22" s="308"/>
      <c r="JV22" s="308"/>
      <c r="JW22" s="308"/>
      <c r="JX22" s="308"/>
      <c r="JY22" s="308"/>
      <c r="JZ22" s="308"/>
      <c r="KA22" s="308"/>
      <c r="KB22" s="308"/>
      <c r="KC22" s="308"/>
      <c r="KD22" s="308"/>
      <c r="KE22" s="308"/>
      <c r="KF22" s="308"/>
      <c r="KG22" s="308"/>
      <c r="KH22" s="308"/>
      <c r="KI22" s="308"/>
      <c r="KJ22" s="308"/>
      <c r="KK22" s="308"/>
      <c r="KL22" s="308"/>
      <c r="KM22" s="308"/>
      <c r="KN22" s="308"/>
      <c r="KO22" s="308"/>
      <c r="KP22" s="308"/>
      <c r="KQ22" s="308"/>
      <c r="KR22" s="308"/>
      <c r="KS22" s="308"/>
      <c r="KT22" s="308"/>
      <c r="KU22" s="308"/>
      <c r="KV22" s="308"/>
      <c r="KW22" s="308"/>
      <c r="KX22" s="308"/>
      <c r="KY22" s="308"/>
      <c r="KZ22" s="308"/>
      <c r="LA22" s="308"/>
      <c r="LB22" s="308"/>
      <c r="LC22" s="308"/>
      <c r="LD22" s="308"/>
      <c r="LE22" s="308"/>
      <c r="LF22" s="308"/>
      <c r="LG22" s="308"/>
      <c r="LH22" s="308"/>
      <c r="LI22" s="308"/>
      <c r="LJ22" s="308"/>
      <c r="LK22" s="308"/>
      <c r="LL22" s="308"/>
      <c r="LM22" s="308"/>
      <c r="LN22" s="308"/>
      <c r="LO22" s="308"/>
      <c r="LP22" s="308"/>
      <c r="LQ22" s="308"/>
      <c r="LR22" s="308"/>
      <c r="LS22" s="308"/>
      <c r="LT22" s="308"/>
      <c r="LU22" s="308"/>
      <c r="LV22" s="308"/>
      <c r="LW22" s="308"/>
      <c r="LX22" s="308"/>
      <c r="LY22" s="308"/>
      <c r="LZ22" s="308"/>
      <c r="MA22" s="308"/>
      <c r="MB22" s="308"/>
      <c r="MC22" s="308"/>
      <c r="MD22" s="308"/>
      <c r="ME22" s="308"/>
      <c r="MF22" s="308"/>
      <c r="MG22" s="308"/>
      <c r="MH22" s="308"/>
      <c r="MI22" s="308"/>
      <c r="MJ22" s="308"/>
      <c r="MK22" s="308"/>
      <c r="ML22" s="308"/>
      <c r="MM22" s="308"/>
      <c r="MN22" s="308"/>
      <c r="MO22" s="308"/>
      <c r="MP22" s="308"/>
      <c r="MQ22" s="308"/>
      <c r="MR22" s="308"/>
      <c r="MS22" s="308"/>
      <c r="MT22" s="308"/>
      <c r="MU22" s="308"/>
      <c r="MV22" s="308"/>
      <c r="MW22" s="308"/>
      <c r="MX22" s="308"/>
      <c r="MY22" s="308"/>
      <c r="MZ22" s="308"/>
      <c r="NA22" s="308"/>
      <c r="NB22" s="308"/>
      <c r="NC22" s="308"/>
      <c r="ND22" s="308"/>
      <c r="NE22" s="308"/>
      <c r="NF22" s="308"/>
      <c r="NG22" s="308"/>
      <c r="NH22" s="308"/>
      <c r="NI22" s="308"/>
      <c r="NJ22" s="308"/>
      <c r="NK22" s="308"/>
      <c r="NL22" s="308"/>
      <c r="NM22" s="308"/>
      <c r="NN22" s="308"/>
      <c r="NO22" s="308"/>
      <c r="NP22" s="308"/>
      <c r="NQ22" s="308"/>
      <c r="NR22" s="308"/>
      <c r="NS22" s="308"/>
      <c r="NT22" s="308"/>
      <c r="NU22" s="308"/>
      <c r="NV22" s="308"/>
      <c r="NW22" s="308"/>
      <c r="NX22" s="308"/>
      <c r="NY22" s="308"/>
      <c r="NZ22" s="308"/>
      <c r="OA22" s="308"/>
      <c r="OB22" s="308"/>
      <c r="OC22" s="308"/>
      <c r="OD22" s="308"/>
      <c r="OE22" s="308"/>
      <c r="OF22" s="308"/>
      <c r="OG22" s="308"/>
      <c r="OH22" s="308"/>
      <c r="OI22" s="308"/>
      <c r="OJ22" s="308"/>
      <c r="OK22" s="308"/>
      <c r="OL22" s="308"/>
      <c r="OM22" s="308"/>
      <c r="ON22" s="308"/>
      <c r="OO22" s="308"/>
      <c r="OP22" s="308"/>
      <c r="OQ22" s="308"/>
      <c r="OR22" s="308"/>
      <c r="OS22" s="308"/>
      <c r="OT22" s="308"/>
      <c r="OU22" s="308"/>
      <c r="OV22" s="308"/>
      <c r="OW22" s="308"/>
      <c r="OX22" s="308"/>
      <c r="OY22" s="308"/>
      <c r="OZ22" s="308"/>
      <c r="PA22" s="308"/>
      <c r="PB22" s="308"/>
      <c r="PC22" s="308"/>
      <c r="PD22" s="308"/>
      <c r="PE22" s="308"/>
      <c r="PF22" s="308"/>
      <c r="PG22" s="308"/>
      <c r="PH22" s="308"/>
      <c r="PI22" s="308"/>
      <c r="PJ22" s="308"/>
      <c r="PK22" s="308"/>
      <c r="PL22" s="308"/>
      <c r="PM22" s="308"/>
      <c r="PN22" s="308"/>
      <c r="PO22" s="308"/>
      <c r="PP22" s="308"/>
      <c r="PQ22" s="308"/>
      <c r="PR22" s="308"/>
      <c r="PS22" s="308"/>
      <c r="PT22" s="308"/>
      <c r="PU22" s="308"/>
      <c r="PV22" s="308"/>
      <c r="PW22" s="308"/>
      <c r="PX22" s="308"/>
      <c r="PY22" s="308"/>
      <c r="PZ22" s="308"/>
      <c r="QA22" s="308"/>
      <c r="QB22" s="308"/>
      <c r="QC22" s="308"/>
      <c r="QD22" s="308"/>
      <c r="QE22" s="308"/>
      <c r="QF22" s="308"/>
      <c r="QG22" s="308"/>
      <c r="QH22" s="308"/>
      <c r="QI22" s="308"/>
      <c r="QJ22" s="308"/>
      <c r="QK22" s="308"/>
      <c r="QL22" s="308"/>
      <c r="QM22" s="308"/>
      <c r="QN22" s="308"/>
      <c r="QO22" s="308"/>
      <c r="QP22" s="308"/>
      <c r="QQ22" s="308"/>
      <c r="QR22" s="308"/>
      <c r="QS22" s="308"/>
      <c r="QT22" s="308"/>
      <c r="QU22" s="308"/>
      <c r="QV22" s="308"/>
      <c r="QW22" s="308"/>
      <c r="QX22" s="308"/>
      <c r="QY22" s="308"/>
      <c r="QZ22" s="308"/>
      <c r="RA22" s="308"/>
      <c r="RB22" s="308"/>
      <c r="RC22" s="308"/>
      <c r="RD22" s="308"/>
      <c r="RE22" s="308"/>
      <c r="RF22" s="308"/>
      <c r="RG22" s="308"/>
      <c r="RH22" s="308"/>
      <c r="RI22" s="308"/>
      <c r="RJ22" s="308"/>
      <c r="RK22" s="308"/>
      <c r="RL22" s="308"/>
      <c r="RM22" s="308"/>
      <c r="RN22" s="308"/>
      <c r="RO22" s="308"/>
      <c r="RP22" s="308"/>
      <c r="RQ22" s="308"/>
      <c r="RR22" s="308"/>
      <c r="RS22" s="308"/>
      <c r="RT22" s="308"/>
      <c r="RU22" s="308"/>
      <c r="RV22" s="308"/>
      <c r="RW22" s="308"/>
      <c r="RX22" s="308"/>
      <c r="RY22" s="308"/>
      <c r="RZ22" s="308"/>
      <c r="SA22" s="308"/>
      <c r="SB22" s="308"/>
      <c r="SC22" s="308"/>
      <c r="SD22" s="308"/>
      <c r="SE22" s="308"/>
      <c r="SF22" s="308"/>
      <c r="SG22" s="308"/>
      <c r="SH22" s="308"/>
      <c r="SI22" s="308"/>
      <c r="SJ22" s="308"/>
      <c r="SK22" s="308"/>
      <c r="SL22" s="308"/>
      <c r="SM22" s="308"/>
      <c r="SN22" s="308"/>
      <c r="SO22" s="308"/>
      <c r="SP22" s="308"/>
      <c r="SQ22" s="308"/>
      <c r="SR22" s="308"/>
      <c r="SS22" s="308"/>
      <c r="ST22" s="308"/>
      <c r="SU22" s="308"/>
      <c r="SV22" s="308"/>
      <c r="SW22" s="308"/>
      <c r="SX22" s="308"/>
      <c r="SY22" s="308"/>
      <c r="SZ22" s="308"/>
      <c r="TA22" s="308"/>
      <c r="TB22" s="308"/>
      <c r="TC22" s="308"/>
      <c r="TD22" s="308"/>
      <c r="TE22" s="308"/>
      <c r="TF22" s="308"/>
      <c r="TG22" s="308"/>
      <c r="TH22" s="308"/>
      <c r="TI22" s="308"/>
      <c r="TJ22" s="308"/>
      <c r="TK22" s="308"/>
      <c r="TL22" s="308"/>
      <c r="TM22" s="308"/>
      <c r="TN22" s="308"/>
      <c r="TO22" s="308"/>
      <c r="TP22" s="308"/>
      <c r="TQ22" s="308"/>
      <c r="TR22" s="308"/>
      <c r="TS22" s="308"/>
      <c r="TT22" s="308"/>
      <c r="TU22" s="308"/>
      <c r="TV22" s="308"/>
      <c r="TW22" s="308"/>
      <c r="TX22" s="308"/>
      <c r="TY22" s="308"/>
      <c r="TZ22" s="308"/>
      <c r="UA22" s="308"/>
      <c r="UB22" s="308"/>
      <c r="UC22" s="308"/>
      <c r="UD22" s="308"/>
      <c r="UE22" s="308"/>
      <c r="UF22" s="308"/>
      <c r="UG22" s="308"/>
      <c r="UH22" s="308"/>
      <c r="UI22" s="308"/>
      <c r="UJ22" s="308"/>
      <c r="UK22" s="308"/>
      <c r="UL22" s="308"/>
      <c r="UM22" s="308"/>
      <c r="UN22" s="308"/>
      <c r="UO22" s="308"/>
      <c r="UP22" s="308"/>
      <c r="UQ22" s="308"/>
      <c r="UR22" s="308"/>
      <c r="US22" s="308"/>
      <c r="UT22" s="308"/>
      <c r="UU22" s="308"/>
      <c r="UV22" s="308"/>
      <c r="UW22" s="308"/>
      <c r="UX22" s="308"/>
      <c r="UY22" s="308"/>
      <c r="UZ22" s="308"/>
      <c r="VA22" s="308"/>
      <c r="VB22" s="308"/>
      <c r="VC22" s="308"/>
      <c r="VD22" s="308"/>
      <c r="VE22" s="308"/>
      <c r="VF22" s="308"/>
      <c r="VG22" s="308"/>
      <c r="VH22" s="308"/>
      <c r="VI22" s="308"/>
      <c r="VJ22" s="308"/>
      <c r="VK22" s="308"/>
      <c r="VL22" s="308"/>
      <c r="VM22" s="308"/>
      <c r="VN22" s="308"/>
      <c r="VO22" s="308"/>
      <c r="VP22" s="308"/>
      <c r="VQ22" s="308"/>
      <c r="VR22" s="308"/>
      <c r="VS22" s="308"/>
      <c r="VT22" s="308"/>
      <c r="VU22" s="308"/>
      <c r="VV22" s="308"/>
      <c r="VW22" s="308"/>
      <c r="VX22" s="308"/>
      <c r="VY22" s="308"/>
      <c r="VZ22" s="308"/>
      <c r="WA22" s="308"/>
      <c r="WB22" s="308"/>
      <c r="WC22" s="308"/>
      <c r="WD22" s="308"/>
      <c r="WE22" s="308"/>
      <c r="WF22" s="308"/>
      <c r="WG22" s="308"/>
      <c r="WH22" s="308"/>
      <c r="WI22" s="308"/>
      <c r="WJ22" s="308"/>
      <c r="WK22" s="308"/>
      <c r="WL22" s="308"/>
      <c r="WM22" s="308"/>
      <c r="WN22" s="308"/>
      <c r="WO22" s="308"/>
      <c r="WP22" s="308"/>
      <c r="WQ22" s="308"/>
      <c r="WR22" s="308"/>
      <c r="WS22" s="308"/>
      <c r="WT22" s="308"/>
      <c r="WU22" s="308"/>
      <c r="WV22" s="308"/>
      <c r="WW22" s="308"/>
      <c r="WX22" s="308"/>
      <c r="WY22" s="308"/>
      <c r="WZ22" s="308"/>
      <c r="XA22" s="308"/>
      <c r="XB22" s="308"/>
      <c r="XC22" s="308"/>
      <c r="XD22" s="308"/>
      <c r="XE22" s="308"/>
      <c r="XF22" s="308"/>
      <c r="XG22" s="308"/>
      <c r="XH22" s="308"/>
      <c r="XI22" s="308"/>
      <c r="XJ22" s="308"/>
      <c r="XK22" s="308"/>
      <c r="XL22" s="308"/>
      <c r="XM22" s="308"/>
      <c r="XN22" s="308"/>
      <c r="XO22" s="308"/>
      <c r="XP22" s="308"/>
      <c r="XQ22" s="308"/>
      <c r="XR22" s="308"/>
      <c r="XS22" s="308"/>
      <c r="XT22" s="308"/>
      <c r="XU22" s="308"/>
      <c r="XV22" s="308"/>
      <c r="XW22" s="308"/>
      <c r="XX22" s="308"/>
      <c r="XY22" s="308"/>
      <c r="XZ22" s="308"/>
      <c r="YA22" s="308"/>
      <c r="YB22" s="308"/>
      <c r="YC22" s="308"/>
      <c r="YD22" s="308"/>
      <c r="YE22" s="308"/>
      <c r="YF22" s="308"/>
      <c r="YG22" s="308"/>
      <c r="YH22" s="308"/>
      <c r="YI22" s="308"/>
      <c r="YJ22" s="308"/>
      <c r="YK22" s="308"/>
      <c r="YL22" s="308"/>
      <c r="YM22" s="308"/>
      <c r="YN22" s="308"/>
      <c r="YO22" s="308"/>
      <c r="YP22" s="308"/>
      <c r="YQ22" s="308"/>
      <c r="YR22" s="308"/>
      <c r="YS22" s="308"/>
      <c r="YT22" s="308"/>
      <c r="YU22" s="308"/>
      <c r="YV22" s="308"/>
      <c r="YW22" s="308"/>
      <c r="YX22" s="308"/>
      <c r="YY22" s="308"/>
      <c r="YZ22" s="308"/>
      <c r="ZA22" s="308"/>
      <c r="ZB22" s="308"/>
      <c r="ZC22" s="308"/>
      <c r="ZD22" s="308"/>
      <c r="ZE22" s="308"/>
      <c r="ZF22" s="308"/>
      <c r="ZG22" s="308"/>
      <c r="ZH22" s="308"/>
      <c r="ZI22" s="308"/>
      <c r="ZJ22" s="308"/>
      <c r="ZK22" s="308"/>
      <c r="ZL22" s="308"/>
      <c r="ZM22" s="308"/>
      <c r="ZN22" s="308"/>
      <c r="ZO22" s="308"/>
      <c r="ZP22" s="308"/>
      <c r="ZQ22" s="308"/>
      <c r="ZR22" s="308"/>
      <c r="ZS22" s="308"/>
      <c r="ZT22" s="308"/>
      <c r="ZU22" s="308"/>
      <c r="ZV22" s="308"/>
      <c r="ZW22" s="308"/>
      <c r="ZX22" s="308"/>
      <c r="ZY22" s="308"/>
      <c r="ZZ22" s="308"/>
      <c r="AAA22" s="308"/>
      <c r="AAB22" s="308"/>
      <c r="AAC22" s="308"/>
      <c r="AAD22" s="308"/>
      <c r="AAE22" s="308"/>
      <c r="AAF22" s="308"/>
      <c r="AAG22" s="308"/>
      <c r="AAH22" s="308"/>
      <c r="AAI22" s="308"/>
      <c r="AAJ22" s="308"/>
      <c r="AAK22" s="308"/>
      <c r="AAL22" s="308"/>
      <c r="AAM22" s="308"/>
      <c r="AAN22" s="308"/>
      <c r="AAO22" s="308"/>
      <c r="AAP22" s="308"/>
      <c r="AAQ22" s="308"/>
      <c r="AAR22" s="308"/>
      <c r="AAS22" s="308"/>
      <c r="AAT22" s="308"/>
      <c r="AAU22" s="308"/>
      <c r="AAV22" s="308"/>
      <c r="AAW22" s="308"/>
      <c r="AAX22" s="308"/>
      <c r="AAY22" s="308"/>
      <c r="AAZ22" s="308"/>
      <c r="ABA22" s="308"/>
      <c r="ABB22" s="308"/>
      <c r="ABC22" s="308"/>
      <c r="ABD22" s="308"/>
      <c r="ABE22" s="308"/>
      <c r="ABF22" s="308"/>
      <c r="ABG22" s="308"/>
      <c r="ABH22" s="308"/>
      <c r="ABI22" s="308"/>
      <c r="ABJ22" s="308"/>
      <c r="ABK22" s="308"/>
      <c r="ABL22" s="308"/>
      <c r="ABM22" s="308"/>
      <c r="ABN22" s="308"/>
      <c r="ABO22" s="308"/>
      <c r="ABP22" s="308"/>
      <c r="ABQ22" s="308"/>
      <c r="ABR22" s="308"/>
      <c r="ABS22" s="308"/>
      <c r="ABT22" s="308"/>
      <c r="ABU22" s="308"/>
      <c r="ABV22" s="308"/>
      <c r="ABW22" s="308"/>
      <c r="ABX22" s="308"/>
      <c r="ABY22" s="308"/>
      <c r="ABZ22" s="308"/>
      <c r="ACA22" s="308"/>
      <c r="ACB22" s="308"/>
      <c r="ACC22" s="308"/>
      <c r="ACD22" s="308"/>
      <c r="ACE22" s="308"/>
      <c r="ACF22" s="308"/>
      <c r="ACG22" s="308"/>
      <c r="ACH22" s="308"/>
      <c r="ACI22" s="308"/>
      <c r="ACJ22" s="308"/>
      <c r="ACK22" s="308"/>
      <c r="ACL22" s="308"/>
      <c r="ACM22" s="308"/>
      <c r="ACN22" s="308"/>
      <c r="ACO22" s="308"/>
      <c r="ACP22" s="308"/>
      <c r="ACQ22" s="308"/>
      <c r="ACR22" s="308"/>
      <c r="ACS22" s="308"/>
      <c r="ACT22" s="308"/>
      <c r="ACU22" s="308"/>
      <c r="ACV22" s="308"/>
      <c r="ACW22" s="308"/>
      <c r="ACX22" s="308"/>
      <c r="ACY22" s="308"/>
      <c r="ACZ22" s="308"/>
      <c r="ADA22" s="308"/>
      <c r="ADB22" s="308"/>
      <c r="ADC22" s="308"/>
      <c r="ADD22" s="308"/>
      <c r="ADE22" s="308"/>
      <c r="ADF22" s="308"/>
      <c r="ADG22" s="308"/>
      <c r="ADH22" s="308"/>
      <c r="ADI22" s="308"/>
      <c r="ADJ22" s="308"/>
      <c r="ADK22" s="308"/>
      <c r="ADL22" s="308"/>
      <c r="ADM22" s="308"/>
      <c r="ADN22" s="308"/>
      <c r="ADO22" s="308"/>
      <c r="ADP22" s="308"/>
      <c r="ADQ22" s="308"/>
      <c r="ADR22" s="308"/>
      <c r="ADS22" s="308"/>
      <c r="ADT22" s="308"/>
      <c r="ADU22" s="308"/>
      <c r="ADV22" s="308"/>
      <c r="ADW22" s="308"/>
      <c r="ADX22" s="308"/>
      <c r="ADY22" s="308"/>
      <c r="ADZ22" s="308"/>
      <c r="AEA22" s="308"/>
      <c r="AEB22" s="308"/>
      <c r="AEC22" s="308"/>
      <c r="AED22" s="308"/>
      <c r="AEE22" s="308"/>
      <c r="AEF22" s="308"/>
      <c r="AEG22" s="308"/>
      <c r="AEH22" s="308"/>
      <c r="AEI22" s="308"/>
      <c r="AEJ22" s="308"/>
      <c r="AEK22" s="308"/>
      <c r="AEL22" s="308"/>
      <c r="AEM22" s="308"/>
      <c r="AEN22" s="308"/>
      <c r="AEO22" s="308"/>
      <c r="AEP22" s="308"/>
      <c r="AEQ22" s="308"/>
      <c r="AER22" s="308"/>
      <c r="AES22" s="308"/>
      <c r="AET22" s="308"/>
      <c r="AEU22" s="308"/>
      <c r="AEV22" s="308"/>
      <c r="AEW22" s="308"/>
      <c r="AEX22" s="308"/>
      <c r="AEY22" s="308"/>
      <c r="AEZ22" s="308"/>
      <c r="AFA22" s="308"/>
      <c r="AFB22" s="308"/>
      <c r="AFC22" s="308"/>
      <c r="AFD22" s="308"/>
      <c r="AFE22" s="308"/>
      <c r="AFF22" s="308"/>
      <c r="AFG22" s="308"/>
      <c r="AFH22" s="308"/>
      <c r="AFI22" s="308"/>
      <c r="AFJ22" s="308"/>
      <c r="AFK22" s="308"/>
      <c r="AFL22" s="308"/>
      <c r="AFM22" s="308"/>
      <c r="AFN22" s="308"/>
      <c r="AFO22" s="308"/>
      <c r="AFP22" s="308"/>
      <c r="AFQ22" s="308"/>
      <c r="AFR22" s="308"/>
      <c r="AFS22" s="308"/>
      <c r="AFT22" s="308"/>
      <c r="AFU22" s="308"/>
      <c r="AFV22" s="308"/>
      <c r="AFW22" s="308"/>
      <c r="AFX22" s="308"/>
      <c r="AFY22" s="308"/>
      <c r="AFZ22" s="308"/>
      <c r="AGA22" s="308"/>
      <c r="AGB22" s="308"/>
      <c r="AGC22" s="308"/>
      <c r="AGD22" s="308"/>
      <c r="AGE22" s="308"/>
      <c r="AGF22" s="308"/>
      <c r="AGG22" s="308"/>
      <c r="AGH22" s="308"/>
      <c r="AGI22" s="308"/>
      <c r="AGJ22" s="308"/>
      <c r="AGK22" s="308"/>
      <c r="AGL22" s="308"/>
      <c r="AGM22" s="308"/>
      <c r="AGN22" s="308"/>
      <c r="AGO22" s="308"/>
      <c r="AGP22" s="308"/>
      <c r="AGQ22" s="308"/>
      <c r="AGR22" s="308"/>
      <c r="AGS22" s="308"/>
      <c r="AGT22" s="308"/>
      <c r="AGU22" s="308"/>
      <c r="AGV22" s="308"/>
      <c r="AGW22" s="308"/>
      <c r="AGX22" s="308"/>
      <c r="AGY22" s="308"/>
      <c r="AGZ22" s="308"/>
      <c r="AHA22" s="308"/>
      <c r="AHB22" s="308"/>
      <c r="AHC22" s="308"/>
      <c r="AHD22" s="308"/>
      <c r="AHE22" s="308"/>
      <c r="AHF22" s="308"/>
      <c r="AHG22" s="308"/>
      <c r="AHH22" s="308"/>
      <c r="AHI22" s="308"/>
      <c r="AHJ22" s="308"/>
      <c r="AHK22" s="308"/>
      <c r="AHL22" s="308"/>
      <c r="AHM22" s="308"/>
      <c r="AHN22" s="308"/>
      <c r="AHO22" s="308"/>
      <c r="AHP22" s="308"/>
      <c r="AHQ22" s="308"/>
      <c r="AHR22" s="308"/>
      <c r="AHS22" s="308"/>
      <c r="AHT22" s="308"/>
      <c r="AHU22" s="308"/>
      <c r="AHV22" s="308"/>
      <c r="AHW22" s="308"/>
      <c r="AHX22" s="308"/>
      <c r="AHY22" s="308"/>
      <c r="AHZ22" s="308"/>
      <c r="AIA22" s="308"/>
      <c r="AIB22" s="308"/>
      <c r="AIC22" s="308"/>
      <c r="AID22" s="308"/>
      <c r="AIE22" s="308"/>
      <c r="AIF22" s="308"/>
      <c r="AIG22" s="308"/>
      <c r="AIH22" s="308"/>
      <c r="AII22" s="308"/>
      <c r="AIJ22" s="308"/>
      <c r="AIK22" s="308"/>
      <c r="AIL22" s="308"/>
      <c r="AIM22" s="308"/>
      <c r="AIN22" s="308"/>
      <c r="AIO22" s="308"/>
      <c r="AIP22" s="308"/>
      <c r="AIQ22" s="308"/>
      <c r="AIR22" s="308"/>
      <c r="AIS22" s="308"/>
      <c r="AIT22" s="308"/>
      <c r="AIU22" s="308"/>
      <c r="AIV22" s="308"/>
      <c r="AIW22" s="308"/>
      <c r="AIX22" s="308"/>
      <c r="AIY22" s="308"/>
      <c r="AIZ22" s="308"/>
      <c r="AJA22" s="308"/>
      <c r="AJB22" s="308"/>
      <c r="AJC22" s="308"/>
    </row>
    <row r="23" spans="1:940" s="567" customFormat="1">
      <c r="A23" s="113">
        <f t="shared" si="0"/>
        <v>16</v>
      </c>
      <c r="B23" s="244">
        <v>1268</v>
      </c>
      <c r="C23" s="244" t="s">
        <v>918</v>
      </c>
      <c r="D23" s="117">
        <v>10800000</v>
      </c>
      <c r="E23" s="117">
        <v>10800000</v>
      </c>
      <c r="F23" s="117">
        <f t="shared" si="1"/>
        <v>0</v>
      </c>
      <c r="G23" s="117">
        <v>10800000</v>
      </c>
      <c r="H23" s="117">
        <v>10764946.49</v>
      </c>
      <c r="I23" s="117"/>
      <c r="J23" s="117">
        <v>19091.88</v>
      </c>
      <c r="K23" s="117">
        <f t="shared" si="2"/>
        <v>19091.88</v>
      </c>
      <c r="L23" s="117">
        <f t="shared" si="3"/>
        <v>10784038.370000001</v>
      </c>
      <c r="M23" s="117">
        <f t="shared" si="17"/>
        <v>15961.629999998957</v>
      </c>
      <c r="N23" s="310">
        <v>0</v>
      </c>
      <c r="O23" s="117">
        <f t="shared" si="10"/>
        <v>0</v>
      </c>
      <c r="P23" s="117">
        <f t="shared" si="4"/>
        <v>15961.629999998957</v>
      </c>
      <c r="Q23" s="117"/>
      <c r="R23" s="117"/>
      <c r="S23" s="117">
        <f t="shared" si="5"/>
        <v>0</v>
      </c>
      <c r="T23" s="117">
        <f t="shared" si="6"/>
        <v>0</v>
      </c>
      <c r="U23" s="117">
        <f t="shared" si="7"/>
        <v>0</v>
      </c>
      <c r="V23" s="117">
        <f t="shared" si="8"/>
        <v>0</v>
      </c>
      <c r="W23" s="543"/>
      <c r="X23" s="117"/>
      <c r="Y23" s="117"/>
      <c r="Z23" s="113"/>
      <c r="AA23" s="113">
        <v>813200</v>
      </c>
      <c r="AB23" s="117"/>
      <c r="AC23" s="117"/>
      <c r="AD23" s="117"/>
      <c r="AE23" s="117"/>
      <c r="AF23" s="117"/>
      <c r="AG23" s="117"/>
      <c r="AH23" s="117"/>
      <c r="AI23" s="117"/>
      <c r="AJ23" s="117"/>
      <c r="AK23" s="117">
        <f t="shared" si="11"/>
        <v>0</v>
      </c>
      <c r="AL23" s="113"/>
      <c r="AM23" s="566">
        <f t="shared" si="12"/>
        <v>0</v>
      </c>
      <c r="AN23" s="117">
        <f t="shared" si="13"/>
        <v>0</v>
      </c>
      <c r="AO23" s="117">
        <f t="shared" si="14"/>
        <v>0</v>
      </c>
      <c r="AP23" s="565"/>
      <c r="AQ23" s="565"/>
      <c r="AR23" s="565"/>
      <c r="AS23" s="565"/>
      <c r="AT23" s="117">
        <f t="shared" si="15"/>
        <v>0</v>
      </c>
      <c r="AU23" s="565"/>
      <c r="AV23" s="565"/>
      <c r="AW23" s="565"/>
      <c r="AX23" s="565"/>
      <c r="AY23" s="117">
        <f t="shared" si="16"/>
        <v>0</v>
      </c>
      <c r="AZ23" s="565"/>
      <c r="BA23" s="565"/>
      <c r="BB23" s="565"/>
      <c r="BC23" s="565"/>
      <c r="AJD23" s="546"/>
    </row>
    <row r="24" spans="1:940" s="545" customFormat="1">
      <c r="A24" s="113">
        <f t="shared" si="0"/>
        <v>17</v>
      </c>
      <c r="B24" s="113">
        <v>1314</v>
      </c>
      <c r="C24" s="113" t="s">
        <v>57</v>
      </c>
      <c r="D24" s="117">
        <v>3200000</v>
      </c>
      <c r="E24" s="117">
        <v>3200000</v>
      </c>
      <c r="F24" s="117">
        <f t="shared" si="1"/>
        <v>0</v>
      </c>
      <c r="G24" s="117">
        <v>400000</v>
      </c>
      <c r="H24" s="117">
        <v>359314.49</v>
      </c>
      <c r="I24" s="117"/>
      <c r="J24" s="117"/>
      <c r="K24" s="117">
        <f t="shared" si="2"/>
        <v>0</v>
      </c>
      <c r="L24" s="117">
        <f t="shared" si="3"/>
        <v>359314.49</v>
      </c>
      <c r="M24" s="117">
        <f t="shared" si="17"/>
        <v>40685.510000000009</v>
      </c>
      <c r="N24" s="117"/>
      <c r="O24" s="117">
        <f t="shared" si="10"/>
        <v>2800000</v>
      </c>
      <c r="P24" s="117">
        <f t="shared" si="4"/>
        <v>40685.510000000009</v>
      </c>
      <c r="Q24" s="117"/>
      <c r="R24" s="117"/>
      <c r="S24" s="117">
        <f t="shared" si="5"/>
        <v>0</v>
      </c>
      <c r="T24" s="117">
        <f t="shared" si="6"/>
        <v>0</v>
      </c>
      <c r="U24" s="117">
        <f t="shared" si="7"/>
        <v>0</v>
      </c>
      <c r="V24" s="117">
        <f t="shared" si="8"/>
        <v>0</v>
      </c>
      <c r="W24" s="543"/>
      <c r="X24" s="117"/>
      <c r="Y24" s="117"/>
      <c r="Z24" s="113"/>
      <c r="AA24" s="113">
        <v>742000</v>
      </c>
      <c r="AB24" s="117"/>
      <c r="AC24" s="117"/>
      <c r="AD24" s="117"/>
      <c r="AE24" s="117"/>
      <c r="AF24" s="117"/>
      <c r="AG24" s="117"/>
      <c r="AH24" s="117"/>
      <c r="AI24" s="117"/>
      <c r="AJ24" s="117"/>
      <c r="AK24" s="117">
        <f t="shared" si="11"/>
        <v>0</v>
      </c>
      <c r="AL24" s="113"/>
      <c r="AM24" s="566">
        <f t="shared" si="12"/>
        <v>0</v>
      </c>
      <c r="AN24" s="117">
        <f t="shared" si="13"/>
        <v>0</v>
      </c>
      <c r="AO24" s="117">
        <f t="shared" si="14"/>
        <v>0</v>
      </c>
      <c r="AP24" s="565"/>
      <c r="AQ24" s="565"/>
      <c r="AR24" s="565"/>
      <c r="AS24" s="565"/>
      <c r="AT24" s="117">
        <f t="shared" si="15"/>
        <v>0</v>
      </c>
      <c r="AU24" s="565"/>
      <c r="AV24" s="565"/>
      <c r="AW24" s="565"/>
      <c r="AX24" s="565"/>
      <c r="AY24" s="117">
        <f t="shared" si="16"/>
        <v>0</v>
      </c>
      <c r="AZ24" s="565"/>
      <c r="BA24" s="565"/>
      <c r="BB24" s="565"/>
      <c r="BC24" s="565"/>
      <c r="AJD24" s="546"/>
    </row>
    <row r="25" spans="1:940" s="546" customFormat="1">
      <c r="A25" s="113">
        <f t="shared" si="0"/>
        <v>18</v>
      </c>
      <c r="B25" s="113">
        <v>1320</v>
      </c>
      <c r="C25" s="113" t="s">
        <v>531</v>
      </c>
      <c r="D25" s="117">
        <v>23500000</v>
      </c>
      <c r="E25" s="117">
        <v>23500000</v>
      </c>
      <c r="F25" s="117">
        <f t="shared" si="1"/>
        <v>0</v>
      </c>
      <c r="G25" s="117">
        <v>21700000</v>
      </c>
      <c r="H25" s="117">
        <v>21332933.5</v>
      </c>
      <c r="I25" s="117">
        <v>204226.2</v>
      </c>
      <c r="J25" s="117">
        <v>12607.92</v>
      </c>
      <c r="K25" s="117">
        <f t="shared" si="2"/>
        <v>216834.12000000002</v>
      </c>
      <c r="L25" s="117">
        <f t="shared" si="3"/>
        <v>21549767.620000001</v>
      </c>
      <c r="M25" s="117">
        <f t="shared" si="17"/>
        <v>150232.37999999896</v>
      </c>
      <c r="N25" s="117">
        <f>1800000-1800000</f>
        <v>0</v>
      </c>
      <c r="O25" s="117">
        <f t="shared" si="10"/>
        <v>1800000</v>
      </c>
      <c r="P25" s="117">
        <f t="shared" si="4"/>
        <v>150232.37999999896</v>
      </c>
      <c r="Q25" s="117"/>
      <c r="R25" s="117"/>
      <c r="S25" s="117">
        <f t="shared" si="5"/>
        <v>0</v>
      </c>
      <c r="T25" s="117">
        <f t="shared" si="6"/>
        <v>0</v>
      </c>
      <c r="U25" s="117">
        <f t="shared" si="7"/>
        <v>0</v>
      </c>
      <c r="V25" s="117">
        <f t="shared" si="8"/>
        <v>0</v>
      </c>
      <c r="W25" s="543"/>
      <c r="X25" s="117"/>
      <c r="Y25" s="117"/>
      <c r="Z25" s="113"/>
      <c r="AA25" s="113">
        <v>746000</v>
      </c>
      <c r="AB25" s="117"/>
      <c r="AC25" s="117"/>
      <c r="AD25" s="117"/>
      <c r="AE25" s="117"/>
      <c r="AF25" s="117"/>
      <c r="AG25" s="117"/>
      <c r="AH25" s="117"/>
      <c r="AI25" s="117"/>
      <c r="AJ25" s="117"/>
      <c r="AK25" s="117">
        <f t="shared" si="11"/>
        <v>0</v>
      </c>
      <c r="AL25" s="115"/>
      <c r="AM25" s="566">
        <f t="shared" si="12"/>
        <v>0</v>
      </c>
      <c r="AN25" s="117">
        <f t="shared" si="13"/>
        <v>0</v>
      </c>
      <c r="AO25" s="117">
        <f t="shared" si="14"/>
        <v>0</v>
      </c>
      <c r="AP25" s="565"/>
      <c r="AQ25" s="565"/>
      <c r="AR25" s="565"/>
      <c r="AS25" s="565"/>
      <c r="AT25" s="117">
        <f t="shared" si="15"/>
        <v>0</v>
      </c>
      <c r="AU25" s="565"/>
      <c r="AV25" s="565"/>
      <c r="AW25" s="565"/>
      <c r="AX25" s="565"/>
      <c r="AY25" s="117">
        <f t="shared" si="16"/>
        <v>0</v>
      </c>
      <c r="AZ25" s="565"/>
      <c r="BA25" s="565"/>
      <c r="BB25" s="565"/>
      <c r="BC25" s="565"/>
      <c r="BD25" s="308"/>
      <c r="BE25" s="308"/>
      <c r="BF25" s="308"/>
      <c r="BG25" s="308"/>
      <c r="BH25" s="308"/>
      <c r="BI25" s="308"/>
      <c r="BJ25" s="308"/>
      <c r="BK25" s="308"/>
      <c r="BL25" s="308"/>
      <c r="BM25" s="308"/>
      <c r="BN25" s="308"/>
      <c r="BO25" s="308"/>
      <c r="BP25" s="308"/>
      <c r="BQ25" s="308"/>
      <c r="BR25" s="308"/>
      <c r="BS25" s="308"/>
      <c r="BT25" s="308"/>
      <c r="BU25" s="308"/>
      <c r="BV25" s="308"/>
      <c r="BW25" s="308"/>
      <c r="BX25" s="308"/>
      <c r="BY25" s="308"/>
      <c r="BZ25" s="308"/>
      <c r="CA25" s="308"/>
      <c r="CB25" s="308"/>
      <c r="CC25" s="308"/>
      <c r="CD25" s="308"/>
      <c r="CE25" s="308"/>
      <c r="CF25" s="308"/>
      <c r="CG25" s="308"/>
      <c r="CH25" s="308"/>
      <c r="CI25" s="308"/>
      <c r="CJ25" s="308"/>
      <c r="CK25" s="308"/>
      <c r="CL25" s="308"/>
      <c r="CM25" s="308"/>
      <c r="CN25" s="308"/>
      <c r="CO25" s="308"/>
      <c r="CP25" s="308"/>
      <c r="CQ25" s="308"/>
      <c r="CR25" s="308"/>
      <c r="CS25" s="308"/>
      <c r="CT25" s="308"/>
      <c r="CU25" s="308"/>
      <c r="CV25" s="308"/>
      <c r="CW25" s="308"/>
      <c r="CX25" s="308"/>
      <c r="CY25" s="308"/>
      <c r="CZ25" s="308"/>
      <c r="DA25" s="308"/>
      <c r="DB25" s="308"/>
      <c r="DC25" s="308"/>
      <c r="DD25" s="308"/>
      <c r="DE25" s="308"/>
      <c r="DF25" s="308"/>
      <c r="DG25" s="308"/>
      <c r="DH25" s="308"/>
      <c r="DI25" s="308"/>
      <c r="DJ25" s="308"/>
      <c r="DK25" s="308"/>
      <c r="DL25" s="308"/>
      <c r="DM25" s="308"/>
      <c r="DN25" s="308"/>
      <c r="DO25" s="308"/>
      <c r="DP25" s="308"/>
      <c r="DQ25" s="308"/>
      <c r="DR25" s="308"/>
      <c r="DS25" s="308"/>
      <c r="DT25" s="308"/>
      <c r="DU25" s="308"/>
      <c r="DV25" s="308"/>
      <c r="DW25" s="308"/>
      <c r="DX25" s="308"/>
      <c r="DY25" s="308"/>
      <c r="DZ25" s="308"/>
      <c r="EA25" s="308"/>
      <c r="EB25" s="308"/>
      <c r="EC25" s="308"/>
      <c r="ED25" s="308"/>
      <c r="EE25" s="308"/>
      <c r="EF25" s="308"/>
      <c r="EG25" s="308"/>
      <c r="EH25" s="308"/>
      <c r="EI25" s="308"/>
      <c r="EJ25" s="308"/>
      <c r="EK25" s="308"/>
      <c r="EL25" s="308"/>
      <c r="EM25" s="308"/>
      <c r="EN25" s="308"/>
      <c r="EO25" s="308"/>
      <c r="EP25" s="308"/>
      <c r="EQ25" s="308"/>
      <c r="ER25" s="308"/>
      <c r="ES25" s="308"/>
      <c r="ET25" s="308"/>
      <c r="EU25" s="308"/>
      <c r="EV25" s="308"/>
      <c r="EW25" s="308"/>
      <c r="EX25" s="308"/>
      <c r="EY25" s="308"/>
      <c r="EZ25" s="308"/>
      <c r="FA25" s="308"/>
      <c r="FB25" s="308"/>
      <c r="FC25" s="308"/>
      <c r="FD25" s="308"/>
      <c r="FE25" s="308"/>
      <c r="FF25" s="308"/>
      <c r="FG25" s="308"/>
      <c r="FH25" s="308"/>
      <c r="FI25" s="308"/>
      <c r="FJ25" s="308"/>
      <c r="FK25" s="308"/>
      <c r="FL25" s="308"/>
      <c r="FM25" s="308"/>
      <c r="FN25" s="308"/>
      <c r="FO25" s="308"/>
      <c r="FP25" s="308"/>
      <c r="FQ25" s="308"/>
      <c r="FR25" s="308"/>
      <c r="FS25" s="308"/>
      <c r="FT25" s="308"/>
      <c r="FU25" s="308"/>
      <c r="FV25" s="308"/>
      <c r="FW25" s="308"/>
      <c r="FX25" s="308"/>
      <c r="FY25" s="308"/>
      <c r="FZ25" s="308"/>
      <c r="GA25" s="308"/>
      <c r="GB25" s="308"/>
      <c r="GC25" s="308"/>
      <c r="GD25" s="308"/>
      <c r="GE25" s="308"/>
      <c r="GF25" s="308"/>
      <c r="GG25" s="308"/>
      <c r="GH25" s="308"/>
      <c r="GI25" s="308"/>
      <c r="GJ25" s="308"/>
      <c r="GK25" s="308"/>
      <c r="GL25" s="308"/>
      <c r="GM25" s="308"/>
      <c r="GN25" s="308"/>
      <c r="GO25" s="308"/>
      <c r="GP25" s="308"/>
      <c r="GQ25" s="308"/>
      <c r="GR25" s="308"/>
      <c r="GS25" s="308"/>
      <c r="GT25" s="308"/>
      <c r="GU25" s="308"/>
      <c r="GV25" s="308"/>
      <c r="GW25" s="308"/>
      <c r="GX25" s="308"/>
      <c r="GY25" s="308"/>
      <c r="GZ25" s="308"/>
      <c r="HA25" s="308"/>
      <c r="HB25" s="308"/>
      <c r="HC25" s="308"/>
      <c r="HD25" s="308"/>
      <c r="HE25" s="308"/>
      <c r="HF25" s="308"/>
      <c r="HG25" s="308"/>
      <c r="HH25" s="308"/>
      <c r="HI25" s="308"/>
      <c r="HJ25" s="308"/>
      <c r="HK25" s="308"/>
      <c r="HL25" s="308"/>
      <c r="HM25" s="308"/>
      <c r="HN25" s="308"/>
      <c r="HO25" s="308"/>
      <c r="HP25" s="308"/>
      <c r="HQ25" s="308"/>
      <c r="HR25" s="308"/>
      <c r="HS25" s="308"/>
      <c r="HT25" s="308"/>
      <c r="HU25" s="308"/>
      <c r="HV25" s="308"/>
      <c r="HW25" s="308"/>
      <c r="HX25" s="308"/>
      <c r="HY25" s="308"/>
      <c r="HZ25" s="308"/>
      <c r="IA25" s="308"/>
      <c r="IB25" s="308"/>
      <c r="IC25" s="308"/>
      <c r="ID25" s="308"/>
      <c r="IE25" s="308"/>
      <c r="IF25" s="308"/>
      <c r="IG25" s="308"/>
      <c r="IH25" s="308"/>
      <c r="II25" s="308"/>
      <c r="IJ25" s="308"/>
      <c r="IK25" s="308"/>
      <c r="IL25" s="308"/>
      <c r="IM25" s="308"/>
      <c r="IN25" s="308"/>
      <c r="IO25" s="308"/>
      <c r="IP25" s="308"/>
      <c r="IQ25" s="308"/>
      <c r="IR25" s="308"/>
      <c r="IS25" s="308"/>
      <c r="IT25" s="308"/>
      <c r="IU25" s="308"/>
      <c r="IV25" s="308"/>
      <c r="IW25" s="308"/>
      <c r="IX25" s="308"/>
      <c r="IY25" s="308"/>
      <c r="IZ25" s="308"/>
      <c r="JA25" s="308"/>
      <c r="JB25" s="308"/>
      <c r="JC25" s="308"/>
      <c r="JD25" s="308"/>
      <c r="JE25" s="308"/>
      <c r="JF25" s="308"/>
      <c r="JG25" s="308"/>
      <c r="JH25" s="308"/>
      <c r="JI25" s="308"/>
      <c r="JJ25" s="308"/>
      <c r="JK25" s="308"/>
      <c r="JL25" s="308"/>
      <c r="JM25" s="308"/>
      <c r="JN25" s="308"/>
      <c r="JO25" s="308"/>
      <c r="JP25" s="308"/>
      <c r="JQ25" s="308"/>
      <c r="JR25" s="308"/>
      <c r="JS25" s="308"/>
      <c r="JT25" s="308"/>
      <c r="JU25" s="308"/>
      <c r="JV25" s="308"/>
      <c r="JW25" s="308"/>
      <c r="JX25" s="308"/>
      <c r="JY25" s="308"/>
      <c r="JZ25" s="308"/>
      <c r="KA25" s="308"/>
      <c r="KB25" s="308"/>
      <c r="KC25" s="308"/>
      <c r="KD25" s="308"/>
      <c r="KE25" s="308"/>
      <c r="KF25" s="308"/>
      <c r="KG25" s="308"/>
      <c r="KH25" s="308"/>
      <c r="KI25" s="308"/>
      <c r="KJ25" s="308"/>
      <c r="KK25" s="308"/>
      <c r="KL25" s="308"/>
      <c r="KM25" s="308"/>
      <c r="KN25" s="308"/>
      <c r="KO25" s="308"/>
      <c r="KP25" s="308"/>
      <c r="KQ25" s="308"/>
      <c r="KR25" s="308"/>
      <c r="KS25" s="308"/>
      <c r="KT25" s="308"/>
      <c r="KU25" s="308"/>
      <c r="KV25" s="308"/>
      <c r="KW25" s="308"/>
      <c r="KX25" s="308"/>
      <c r="KY25" s="308"/>
      <c r="KZ25" s="308"/>
      <c r="LA25" s="308"/>
      <c r="LB25" s="308"/>
      <c r="LC25" s="308"/>
      <c r="LD25" s="308"/>
      <c r="LE25" s="308"/>
      <c r="LF25" s="308"/>
      <c r="LG25" s="308"/>
      <c r="LH25" s="308"/>
      <c r="LI25" s="308"/>
      <c r="LJ25" s="308"/>
      <c r="LK25" s="308"/>
      <c r="LL25" s="308"/>
      <c r="LM25" s="308"/>
      <c r="LN25" s="308"/>
      <c r="LO25" s="308"/>
      <c r="LP25" s="308"/>
      <c r="LQ25" s="308"/>
      <c r="LR25" s="308"/>
      <c r="LS25" s="308"/>
      <c r="LT25" s="308"/>
      <c r="LU25" s="308"/>
      <c r="LV25" s="308"/>
      <c r="LW25" s="308"/>
      <c r="LX25" s="308"/>
      <c r="LY25" s="308"/>
      <c r="LZ25" s="308"/>
      <c r="MA25" s="308"/>
      <c r="MB25" s="308"/>
      <c r="MC25" s="308"/>
      <c r="MD25" s="308"/>
      <c r="ME25" s="308"/>
      <c r="MF25" s="308"/>
      <c r="MG25" s="308"/>
      <c r="MH25" s="308"/>
      <c r="MI25" s="308"/>
      <c r="MJ25" s="308"/>
      <c r="MK25" s="308"/>
      <c r="ML25" s="308"/>
      <c r="MM25" s="308"/>
      <c r="MN25" s="308"/>
      <c r="MO25" s="308"/>
      <c r="MP25" s="308"/>
      <c r="MQ25" s="308"/>
      <c r="MR25" s="308"/>
      <c r="MS25" s="308"/>
      <c r="MT25" s="308"/>
      <c r="MU25" s="308"/>
      <c r="MV25" s="308"/>
      <c r="MW25" s="308"/>
      <c r="MX25" s="308"/>
      <c r="MY25" s="308"/>
      <c r="MZ25" s="308"/>
      <c r="NA25" s="308"/>
      <c r="NB25" s="308"/>
      <c r="NC25" s="308"/>
      <c r="ND25" s="308"/>
      <c r="NE25" s="308"/>
      <c r="NF25" s="308"/>
      <c r="NG25" s="308"/>
      <c r="NH25" s="308"/>
      <c r="NI25" s="308"/>
      <c r="NJ25" s="308"/>
      <c r="NK25" s="308"/>
      <c r="NL25" s="308"/>
      <c r="NM25" s="308"/>
      <c r="NN25" s="308"/>
      <c r="NO25" s="308"/>
      <c r="NP25" s="308"/>
      <c r="NQ25" s="308"/>
      <c r="NR25" s="308"/>
      <c r="NS25" s="308"/>
      <c r="NT25" s="308"/>
      <c r="NU25" s="308"/>
      <c r="NV25" s="308"/>
      <c r="NW25" s="308"/>
      <c r="NX25" s="308"/>
      <c r="NY25" s="308"/>
      <c r="NZ25" s="308"/>
      <c r="OA25" s="308"/>
      <c r="OB25" s="308"/>
      <c r="OC25" s="308"/>
      <c r="OD25" s="308"/>
      <c r="OE25" s="308"/>
      <c r="OF25" s="308"/>
      <c r="OG25" s="308"/>
      <c r="OH25" s="308"/>
      <c r="OI25" s="308"/>
      <c r="OJ25" s="308"/>
      <c r="OK25" s="308"/>
      <c r="OL25" s="308"/>
      <c r="OM25" s="308"/>
      <c r="ON25" s="308"/>
      <c r="OO25" s="308"/>
      <c r="OP25" s="308"/>
      <c r="OQ25" s="308"/>
      <c r="OR25" s="308"/>
      <c r="OS25" s="308"/>
      <c r="OT25" s="308"/>
      <c r="OU25" s="308"/>
      <c r="OV25" s="308"/>
      <c r="OW25" s="308"/>
      <c r="OX25" s="308"/>
      <c r="OY25" s="308"/>
      <c r="OZ25" s="308"/>
      <c r="PA25" s="308"/>
      <c r="PB25" s="308"/>
      <c r="PC25" s="308"/>
      <c r="PD25" s="308"/>
      <c r="PE25" s="308"/>
      <c r="PF25" s="308"/>
      <c r="PG25" s="308"/>
      <c r="PH25" s="308"/>
      <c r="PI25" s="308"/>
      <c r="PJ25" s="308"/>
      <c r="PK25" s="308"/>
      <c r="PL25" s="308"/>
      <c r="PM25" s="308"/>
      <c r="PN25" s="308"/>
      <c r="PO25" s="308"/>
      <c r="PP25" s="308"/>
      <c r="PQ25" s="308"/>
      <c r="PR25" s="308"/>
      <c r="PS25" s="308"/>
      <c r="PT25" s="308"/>
      <c r="PU25" s="308"/>
      <c r="PV25" s="308"/>
      <c r="PW25" s="308"/>
      <c r="PX25" s="308"/>
      <c r="PY25" s="308"/>
      <c r="PZ25" s="308"/>
      <c r="QA25" s="308"/>
      <c r="QB25" s="308"/>
      <c r="QC25" s="308"/>
      <c r="QD25" s="308"/>
      <c r="QE25" s="308"/>
      <c r="QF25" s="308"/>
      <c r="QG25" s="308"/>
      <c r="QH25" s="308"/>
      <c r="QI25" s="308"/>
      <c r="QJ25" s="308"/>
      <c r="QK25" s="308"/>
      <c r="QL25" s="308"/>
      <c r="QM25" s="308"/>
      <c r="QN25" s="308"/>
      <c r="QO25" s="308"/>
      <c r="QP25" s="308"/>
      <c r="QQ25" s="308"/>
      <c r="QR25" s="308"/>
      <c r="QS25" s="308"/>
      <c r="QT25" s="308"/>
      <c r="QU25" s="308"/>
      <c r="QV25" s="308"/>
      <c r="QW25" s="308"/>
      <c r="QX25" s="308"/>
      <c r="QY25" s="308"/>
      <c r="QZ25" s="308"/>
      <c r="RA25" s="308"/>
      <c r="RB25" s="308"/>
      <c r="RC25" s="308"/>
      <c r="RD25" s="308"/>
      <c r="RE25" s="308"/>
      <c r="RF25" s="308"/>
      <c r="RG25" s="308"/>
      <c r="RH25" s="308"/>
      <c r="RI25" s="308"/>
      <c r="RJ25" s="308"/>
      <c r="RK25" s="308"/>
      <c r="RL25" s="308"/>
      <c r="RM25" s="308"/>
      <c r="RN25" s="308"/>
      <c r="RO25" s="308"/>
      <c r="RP25" s="308"/>
      <c r="RQ25" s="308"/>
      <c r="RR25" s="308"/>
      <c r="RS25" s="308"/>
      <c r="RT25" s="308"/>
      <c r="RU25" s="308"/>
      <c r="RV25" s="308"/>
      <c r="RW25" s="308"/>
      <c r="RX25" s="308"/>
      <c r="RY25" s="308"/>
      <c r="RZ25" s="308"/>
      <c r="SA25" s="308"/>
      <c r="SB25" s="308"/>
      <c r="SC25" s="308"/>
      <c r="SD25" s="308"/>
      <c r="SE25" s="308"/>
      <c r="SF25" s="308"/>
      <c r="SG25" s="308"/>
      <c r="SH25" s="308"/>
      <c r="SI25" s="308"/>
      <c r="SJ25" s="308"/>
      <c r="SK25" s="308"/>
      <c r="SL25" s="308"/>
      <c r="SM25" s="308"/>
      <c r="SN25" s="308"/>
      <c r="SO25" s="308"/>
      <c r="SP25" s="308"/>
      <c r="SQ25" s="308"/>
      <c r="SR25" s="308"/>
      <c r="SS25" s="308"/>
      <c r="ST25" s="308"/>
      <c r="SU25" s="308"/>
      <c r="SV25" s="308"/>
      <c r="SW25" s="308"/>
      <c r="SX25" s="308"/>
      <c r="SY25" s="308"/>
      <c r="SZ25" s="308"/>
      <c r="TA25" s="308"/>
      <c r="TB25" s="308"/>
      <c r="TC25" s="308"/>
      <c r="TD25" s="308"/>
      <c r="TE25" s="308"/>
      <c r="TF25" s="308"/>
      <c r="TG25" s="308"/>
      <c r="TH25" s="308"/>
      <c r="TI25" s="308"/>
      <c r="TJ25" s="308"/>
      <c r="TK25" s="308"/>
      <c r="TL25" s="308"/>
      <c r="TM25" s="308"/>
      <c r="TN25" s="308"/>
      <c r="TO25" s="308"/>
      <c r="TP25" s="308"/>
      <c r="TQ25" s="308"/>
      <c r="TR25" s="308"/>
      <c r="TS25" s="308"/>
      <c r="TT25" s="308"/>
      <c r="TU25" s="308"/>
      <c r="TV25" s="308"/>
      <c r="TW25" s="308"/>
      <c r="TX25" s="308"/>
      <c r="TY25" s="308"/>
      <c r="TZ25" s="308"/>
      <c r="UA25" s="308"/>
      <c r="UB25" s="308"/>
      <c r="UC25" s="308"/>
      <c r="UD25" s="308"/>
      <c r="UE25" s="308"/>
      <c r="UF25" s="308"/>
      <c r="UG25" s="308"/>
      <c r="UH25" s="308"/>
      <c r="UI25" s="308"/>
      <c r="UJ25" s="308"/>
      <c r="UK25" s="308"/>
      <c r="UL25" s="308"/>
      <c r="UM25" s="308"/>
      <c r="UN25" s="308"/>
      <c r="UO25" s="308"/>
      <c r="UP25" s="308"/>
      <c r="UQ25" s="308"/>
      <c r="UR25" s="308"/>
      <c r="US25" s="308"/>
      <c r="UT25" s="308"/>
      <c r="UU25" s="308"/>
      <c r="UV25" s="308"/>
      <c r="UW25" s="308"/>
      <c r="UX25" s="308"/>
      <c r="UY25" s="308"/>
      <c r="UZ25" s="308"/>
      <c r="VA25" s="308"/>
      <c r="VB25" s="308"/>
      <c r="VC25" s="308"/>
      <c r="VD25" s="308"/>
      <c r="VE25" s="308"/>
      <c r="VF25" s="308"/>
      <c r="VG25" s="308"/>
      <c r="VH25" s="308"/>
      <c r="VI25" s="308"/>
      <c r="VJ25" s="308"/>
      <c r="VK25" s="308"/>
      <c r="VL25" s="308"/>
      <c r="VM25" s="308"/>
      <c r="VN25" s="308"/>
      <c r="VO25" s="308"/>
      <c r="VP25" s="308"/>
      <c r="VQ25" s="308"/>
      <c r="VR25" s="308"/>
      <c r="VS25" s="308"/>
      <c r="VT25" s="308"/>
      <c r="VU25" s="308"/>
      <c r="VV25" s="308"/>
      <c r="VW25" s="308"/>
      <c r="VX25" s="308"/>
      <c r="VY25" s="308"/>
      <c r="VZ25" s="308"/>
      <c r="WA25" s="308"/>
      <c r="WB25" s="308"/>
      <c r="WC25" s="308"/>
      <c r="WD25" s="308"/>
      <c r="WE25" s="308"/>
      <c r="WF25" s="308"/>
      <c r="WG25" s="308"/>
      <c r="WH25" s="308"/>
      <c r="WI25" s="308"/>
      <c r="WJ25" s="308"/>
      <c r="WK25" s="308"/>
      <c r="WL25" s="308"/>
      <c r="WM25" s="308"/>
      <c r="WN25" s="308"/>
      <c r="WO25" s="308"/>
      <c r="WP25" s="308"/>
      <c r="WQ25" s="308"/>
      <c r="WR25" s="308"/>
      <c r="WS25" s="308"/>
      <c r="WT25" s="308"/>
      <c r="WU25" s="308"/>
      <c r="WV25" s="308"/>
      <c r="WW25" s="308"/>
      <c r="WX25" s="308"/>
      <c r="WY25" s="308"/>
      <c r="WZ25" s="308"/>
      <c r="XA25" s="308"/>
      <c r="XB25" s="308"/>
      <c r="XC25" s="308"/>
      <c r="XD25" s="308"/>
      <c r="XE25" s="308"/>
      <c r="XF25" s="308"/>
      <c r="XG25" s="308"/>
      <c r="XH25" s="308"/>
      <c r="XI25" s="308"/>
      <c r="XJ25" s="308"/>
      <c r="XK25" s="308"/>
      <c r="XL25" s="308"/>
      <c r="XM25" s="308"/>
      <c r="XN25" s="308"/>
      <c r="XO25" s="308"/>
      <c r="XP25" s="308"/>
      <c r="XQ25" s="308"/>
      <c r="XR25" s="308"/>
      <c r="XS25" s="308"/>
      <c r="XT25" s="308"/>
      <c r="XU25" s="308"/>
      <c r="XV25" s="308"/>
      <c r="XW25" s="308"/>
      <c r="XX25" s="308"/>
      <c r="XY25" s="308"/>
      <c r="XZ25" s="308"/>
      <c r="YA25" s="308"/>
      <c r="YB25" s="308"/>
      <c r="YC25" s="308"/>
      <c r="YD25" s="308"/>
      <c r="YE25" s="308"/>
      <c r="YF25" s="308"/>
      <c r="YG25" s="308"/>
      <c r="YH25" s="308"/>
      <c r="YI25" s="308"/>
      <c r="YJ25" s="308"/>
      <c r="YK25" s="308"/>
      <c r="YL25" s="308"/>
      <c r="YM25" s="308"/>
      <c r="YN25" s="308"/>
      <c r="YO25" s="308"/>
      <c r="YP25" s="308"/>
      <c r="YQ25" s="308"/>
      <c r="YR25" s="308"/>
      <c r="YS25" s="308"/>
      <c r="YT25" s="308"/>
      <c r="YU25" s="308"/>
      <c r="YV25" s="308"/>
      <c r="YW25" s="308"/>
      <c r="YX25" s="308"/>
      <c r="YY25" s="308"/>
      <c r="YZ25" s="308"/>
      <c r="ZA25" s="308"/>
      <c r="ZB25" s="308"/>
      <c r="ZC25" s="308"/>
      <c r="ZD25" s="308"/>
      <c r="ZE25" s="308"/>
      <c r="ZF25" s="308"/>
      <c r="ZG25" s="308"/>
      <c r="ZH25" s="308"/>
      <c r="ZI25" s="308"/>
      <c r="ZJ25" s="308"/>
      <c r="ZK25" s="308"/>
      <c r="ZL25" s="308"/>
      <c r="ZM25" s="308"/>
      <c r="ZN25" s="308"/>
      <c r="ZO25" s="308"/>
      <c r="ZP25" s="308"/>
      <c r="ZQ25" s="308"/>
      <c r="ZR25" s="308"/>
      <c r="ZS25" s="308"/>
      <c r="ZT25" s="308"/>
      <c r="ZU25" s="308"/>
      <c r="ZV25" s="308"/>
      <c r="ZW25" s="308"/>
      <c r="ZX25" s="308"/>
      <c r="ZY25" s="308"/>
      <c r="ZZ25" s="308"/>
      <c r="AAA25" s="308"/>
      <c r="AAB25" s="308"/>
      <c r="AAC25" s="308"/>
      <c r="AAD25" s="308"/>
      <c r="AAE25" s="308"/>
      <c r="AAF25" s="308"/>
      <c r="AAG25" s="308"/>
      <c r="AAH25" s="308"/>
      <c r="AAI25" s="308"/>
      <c r="AAJ25" s="308"/>
      <c r="AAK25" s="308"/>
      <c r="AAL25" s="308"/>
      <c r="AAM25" s="308"/>
      <c r="AAN25" s="308"/>
      <c r="AAO25" s="308"/>
      <c r="AAP25" s="308"/>
      <c r="AAQ25" s="308"/>
      <c r="AAR25" s="308"/>
      <c r="AAS25" s="308"/>
      <c r="AAT25" s="308"/>
      <c r="AAU25" s="308"/>
      <c r="AAV25" s="308"/>
      <c r="AAW25" s="308"/>
      <c r="AAX25" s="308"/>
      <c r="AAY25" s="308"/>
      <c r="AAZ25" s="308"/>
      <c r="ABA25" s="308"/>
      <c r="ABB25" s="308"/>
      <c r="ABC25" s="308"/>
      <c r="ABD25" s="308"/>
      <c r="ABE25" s="308"/>
      <c r="ABF25" s="308"/>
      <c r="ABG25" s="308"/>
      <c r="ABH25" s="308"/>
      <c r="ABI25" s="308"/>
      <c r="ABJ25" s="308"/>
      <c r="ABK25" s="308"/>
      <c r="ABL25" s="308"/>
      <c r="ABM25" s="308"/>
      <c r="ABN25" s="308"/>
      <c r="ABO25" s="308"/>
      <c r="ABP25" s="308"/>
      <c r="ABQ25" s="308"/>
      <c r="ABR25" s="308"/>
      <c r="ABS25" s="308"/>
      <c r="ABT25" s="308"/>
      <c r="ABU25" s="308"/>
      <c r="ABV25" s="308"/>
      <c r="ABW25" s="308"/>
      <c r="ABX25" s="308"/>
      <c r="ABY25" s="308"/>
      <c r="ABZ25" s="308"/>
      <c r="ACA25" s="308"/>
      <c r="ACB25" s="308"/>
      <c r="ACC25" s="308"/>
      <c r="ACD25" s="308"/>
      <c r="ACE25" s="308"/>
      <c r="ACF25" s="308"/>
      <c r="ACG25" s="308"/>
      <c r="ACH25" s="308"/>
      <c r="ACI25" s="308"/>
      <c r="ACJ25" s="308"/>
      <c r="ACK25" s="308"/>
      <c r="ACL25" s="308"/>
      <c r="ACM25" s="308"/>
      <c r="ACN25" s="308"/>
      <c r="ACO25" s="308"/>
      <c r="ACP25" s="308"/>
      <c r="ACQ25" s="308"/>
      <c r="ACR25" s="308"/>
      <c r="ACS25" s="308"/>
      <c r="ACT25" s="308"/>
      <c r="ACU25" s="308"/>
      <c r="ACV25" s="308"/>
      <c r="ACW25" s="308"/>
      <c r="ACX25" s="308"/>
      <c r="ACY25" s="308"/>
      <c r="ACZ25" s="308"/>
      <c r="ADA25" s="308"/>
      <c r="ADB25" s="308"/>
      <c r="ADC25" s="308"/>
      <c r="ADD25" s="308"/>
      <c r="ADE25" s="308"/>
      <c r="ADF25" s="308"/>
      <c r="ADG25" s="308"/>
      <c r="ADH25" s="308"/>
      <c r="ADI25" s="308"/>
      <c r="ADJ25" s="308"/>
      <c r="ADK25" s="308"/>
      <c r="ADL25" s="308"/>
      <c r="ADM25" s="308"/>
      <c r="ADN25" s="308"/>
      <c r="ADO25" s="308"/>
      <c r="ADP25" s="308"/>
      <c r="ADQ25" s="308"/>
      <c r="ADR25" s="308"/>
      <c r="ADS25" s="308"/>
      <c r="ADT25" s="308"/>
      <c r="ADU25" s="308"/>
      <c r="ADV25" s="308"/>
      <c r="ADW25" s="308"/>
      <c r="ADX25" s="308"/>
      <c r="ADY25" s="308"/>
      <c r="ADZ25" s="308"/>
      <c r="AEA25" s="308"/>
      <c r="AEB25" s="308"/>
      <c r="AEC25" s="308"/>
      <c r="AED25" s="308"/>
      <c r="AEE25" s="308"/>
      <c r="AEF25" s="308"/>
      <c r="AEG25" s="308"/>
      <c r="AEH25" s="308"/>
      <c r="AEI25" s="308"/>
      <c r="AEJ25" s="308"/>
      <c r="AEK25" s="308"/>
      <c r="AEL25" s="308"/>
      <c r="AEM25" s="308"/>
      <c r="AEN25" s="308"/>
      <c r="AEO25" s="308"/>
      <c r="AEP25" s="308"/>
      <c r="AEQ25" s="308"/>
      <c r="AER25" s="308"/>
      <c r="AES25" s="308"/>
      <c r="AET25" s="308"/>
      <c r="AEU25" s="308"/>
      <c r="AEV25" s="308"/>
      <c r="AEW25" s="308"/>
      <c r="AEX25" s="308"/>
      <c r="AEY25" s="308"/>
      <c r="AEZ25" s="308"/>
      <c r="AFA25" s="308"/>
      <c r="AFB25" s="308"/>
      <c r="AFC25" s="308"/>
      <c r="AFD25" s="308"/>
      <c r="AFE25" s="308"/>
      <c r="AFF25" s="308"/>
      <c r="AFG25" s="308"/>
      <c r="AFH25" s="308"/>
      <c r="AFI25" s="308"/>
      <c r="AFJ25" s="308"/>
      <c r="AFK25" s="308"/>
      <c r="AFL25" s="308"/>
      <c r="AFM25" s="308"/>
      <c r="AFN25" s="308"/>
      <c r="AFO25" s="308"/>
      <c r="AFP25" s="308"/>
      <c r="AFQ25" s="308"/>
      <c r="AFR25" s="308"/>
      <c r="AFS25" s="308"/>
      <c r="AFT25" s="308"/>
      <c r="AFU25" s="308"/>
      <c r="AFV25" s="308"/>
      <c r="AFW25" s="308"/>
      <c r="AFX25" s="308"/>
      <c r="AFY25" s="308"/>
      <c r="AFZ25" s="308"/>
      <c r="AGA25" s="308"/>
      <c r="AGB25" s="308"/>
      <c r="AGC25" s="308"/>
      <c r="AGD25" s="308"/>
      <c r="AGE25" s="308"/>
      <c r="AGF25" s="308"/>
      <c r="AGG25" s="308"/>
      <c r="AGH25" s="308"/>
      <c r="AGI25" s="308"/>
      <c r="AGJ25" s="308"/>
      <c r="AGK25" s="308"/>
      <c r="AGL25" s="308"/>
      <c r="AGM25" s="308"/>
      <c r="AGN25" s="308"/>
      <c r="AGO25" s="308"/>
      <c r="AGP25" s="308"/>
      <c r="AGQ25" s="308"/>
      <c r="AGR25" s="308"/>
      <c r="AGS25" s="308"/>
      <c r="AGT25" s="308"/>
      <c r="AGU25" s="308"/>
      <c r="AGV25" s="308"/>
      <c r="AGW25" s="308"/>
      <c r="AGX25" s="308"/>
      <c r="AGY25" s="308"/>
      <c r="AGZ25" s="308"/>
      <c r="AHA25" s="308"/>
      <c r="AHB25" s="308"/>
      <c r="AHC25" s="308"/>
      <c r="AHD25" s="308"/>
      <c r="AHE25" s="308"/>
      <c r="AHF25" s="308"/>
      <c r="AHG25" s="308"/>
      <c r="AHH25" s="308"/>
      <c r="AHI25" s="308"/>
      <c r="AHJ25" s="308"/>
      <c r="AHK25" s="308"/>
      <c r="AHL25" s="308"/>
      <c r="AHM25" s="308"/>
      <c r="AHN25" s="308"/>
      <c r="AHO25" s="308"/>
      <c r="AHP25" s="308"/>
      <c r="AHQ25" s="308"/>
      <c r="AHR25" s="308"/>
      <c r="AHS25" s="308"/>
      <c r="AHT25" s="308"/>
      <c r="AHU25" s="308"/>
      <c r="AHV25" s="308"/>
      <c r="AHW25" s="308"/>
      <c r="AHX25" s="308"/>
      <c r="AHY25" s="308"/>
      <c r="AHZ25" s="308"/>
      <c r="AIA25" s="308"/>
      <c r="AIB25" s="308"/>
      <c r="AIC25" s="308"/>
      <c r="AID25" s="308"/>
      <c r="AIE25" s="308"/>
      <c r="AIF25" s="308"/>
      <c r="AIG25" s="308"/>
      <c r="AIH25" s="308"/>
      <c r="AII25" s="308"/>
      <c r="AIJ25" s="308"/>
      <c r="AIK25" s="308"/>
      <c r="AIL25" s="308"/>
      <c r="AIM25" s="308"/>
      <c r="AIN25" s="308"/>
      <c r="AIO25" s="308"/>
      <c r="AIP25" s="308"/>
      <c r="AIQ25" s="308"/>
      <c r="AIR25" s="308"/>
      <c r="AIS25" s="308"/>
      <c r="AIT25" s="308"/>
      <c r="AIU25" s="308"/>
      <c r="AIV25" s="308"/>
      <c r="AIW25" s="308"/>
      <c r="AIX25" s="308"/>
      <c r="AIY25" s="308"/>
      <c r="AIZ25" s="308"/>
      <c r="AJA25" s="308"/>
      <c r="AJB25" s="308"/>
      <c r="AJC25" s="308"/>
    </row>
    <row r="26" spans="1:940" s="567" customFormat="1">
      <c r="A26" s="113">
        <f t="shared" si="0"/>
        <v>19</v>
      </c>
      <c r="B26" s="113">
        <v>1322</v>
      </c>
      <c r="C26" s="113" t="s">
        <v>42</v>
      </c>
      <c r="D26" s="117">
        <v>18500000</v>
      </c>
      <c r="E26" s="117">
        <v>18500000</v>
      </c>
      <c r="F26" s="117">
        <f t="shared" si="1"/>
        <v>0</v>
      </c>
      <c r="G26" s="117">
        <v>11400000</v>
      </c>
      <c r="H26" s="117">
        <v>9625168.5899999999</v>
      </c>
      <c r="I26" s="117">
        <v>133636.75</v>
      </c>
      <c r="J26" s="117">
        <v>13850.62</v>
      </c>
      <c r="K26" s="117">
        <f t="shared" si="2"/>
        <v>147487.37</v>
      </c>
      <c r="L26" s="117">
        <f t="shared" si="3"/>
        <v>9772655.959999999</v>
      </c>
      <c r="M26" s="117">
        <f>P26+S26-1500000</f>
        <v>127344.04000000097</v>
      </c>
      <c r="N26" s="117">
        <f>5000000-3500000</f>
        <v>1500000</v>
      </c>
      <c r="O26" s="117">
        <f t="shared" si="10"/>
        <v>7100000</v>
      </c>
      <c r="P26" s="117">
        <f t="shared" si="4"/>
        <v>1627344.040000001</v>
      </c>
      <c r="Q26" s="117"/>
      <c r="R26" s="117"/>
      <c r="S26" s="117">
        <f t="shared" si="5"/>
        <v>0</v>
      </c>
      <c r="T26" s="117">
        <f t="shared" si="6"/>
        <v>1500000</v>
      </c>
      <c r="U26" s="117">
        <f t="shared" si="7"/>
        <v>0</v>
      </c>
      <c r="V26" s="117">
        <f t="shared" si="8"/>
        <v>0</v>
      </c>
      <c r="W26" s="543"/>
      <c r="X26" s="117"/>
      <c r="Y26" s="117"/>
      <c r="Z26" s="113"/>
      <c r="AA26" s="113">
        <v>742000</v>
      </c>
      <c r="AB26" s="117"/>
      <c r="AC26" s="117"/>
      <c r="AD26" s="117"/>
      <c r="AE26" s="117"/>
      <c r="AF26" s="117"/>
      <c r="AG26" s="117"/>
      <c r="AH26" s="117"/>
      <c r="AI26" s="117"/>
      <c r="AJ26" s="117"/>
      <c r="AK26" s="117">
        <f t="shared" si="11"/>
        <v>0</v>
      </c>
      <c r="AL26" s="113"/>
      <c r="AM26" s="566">
        <f t="shared" si="12"/>
        <v>0</v>
      </c>
      <c r="AN26" s="117">
        <f t="shared" si="13"/>
        <v>0</v>
      </c>
      <c r="AO26" s="117">
        <f t="shared" si="14"/>
        <v>0</v>
      </c>
      <c r="AP26" s="565"/>
      <c r="AQ26" s="565"/>
      <c r="AR26" s="565"/>
      <c r="AS26" s="565"/>
      <c r="AT26" s="117">
        <f t="shared" si="15"/>
        <v>0</v>
      </c>
      <c r="AU26" s="565"/>
      <c r="AV26" s="565"/>
      <c r="AW26" s="565"/>
      <c r="AX26" s="565"/>
      <c r="AY26" s="117">
        <f t="shared" si="16"/>
        <v>0</v>
      </c>
      <c r="AZ26" s="565"/>
      <c r="BA26" s="565"/>
      <c r="BB26" s="565"/>
      <c r="BC26" s="565"/>
      <c r="AJD26" s="546"/>
    </row>
    <row r="27" spans="1:940" s="545" customFormat="1">
      <c r="A27" s="113">
        <f t="shared" si="0"/>
        <v>20</v>
      </c>
      <c r="B27" s="113">
        <v>1324</v>
      </c>
      <c r="C27" s="113" t="s">
        <v>519</v>
      </c>
      <c r="D27" s="117">
        <f>250000-70000</f>
        <v>180000</v>
      </c>
      <c r="E27" s="117">
        <v>250000</v>
      </c>
      <c r="F27" s="117">
        <f t="shared" si="1"/>
        <v>-70000</v>
      </c>
      <c r="G27" s="117">
        <v>180000</v>
      </c>
      <c r="H27" s="117">
        <v>120629.48</v>
      </c>
      <c r="I27" s="117"/>
      <c r="J27" s="117">
        <v>56544</v>
      </c>
      <c r="K27" s="117">
        <f t="shared" si="2"/>
        <v>56544</v>
      </c>
      <c r="L27" s="117">
        <f t="shared" si="3"/>
        <v>177173.47999999998</v>
      </c>
      <c r="M27" s="117">
        <f>P27+S27</f>
        <v>2826.5200000000186</v>
      </c>
      <c r="N27" s="310">
        <v>0</v>
      </c>
      <c r="O27" s="117">
        <f t="shared" si="10"/>
        <v>0</v>
      </c>
      <c r="P27" s="117">
        <f t="shared" si="4"/>
        <v>2826.5200000000186</v>
      </c>
      <c r="Q27" s="117"/>
      <c r="R27" s="117"/>
      <c r="S27" s="117">
        <f t="shared" si="5"/>
        <v>0</v>
      </c>
      <c r="T27" s="117">
        <f t="shared" si="6"/>
        <v>0</v>
      </c>
      <c r="U27" s="117">
        <f t="shared" si="7"/>
        <v>0</v>
      </c>
      <c r="V27" s="117">
        <f t="shared" si="8"/>
        <v>0</v>
      </c>
      <c r="W27" s="543"/>
      <c r="X27" s="117"/>
      <c r="Y27" s="117"/>
      <c r="Z27" s="113"/>
      <c r="AA27" s="113">
        <v>742000</v>
      </c>
      <c r="AB27" s="117"/>
      <c r="AC27" s="117"/>
      <c r="AD27" s="117"/>
      <c r="AE27" s="117"/>
      <c r="AF27" s="117"/>
      <c r="AG27" s="117"/>
      <c r="AH27" s="117"/>
      <c r="AI27" s="117"/>
      <c r="AJ27" s="117"/>
      <c r="AK27" s="117">
        <f t="shared" si="11"/>
        <v>0</v>
      </c>
      <c r="AL27" s="115"/>
      <c r="AM27" s="566">
        <f t="shared" si="12"/>
        <v>0</v>
      </c>
      <c r="AN27" s="117">
        <f t="shared" si="13"/>
        <v>0</v>
      </c>
      <c r="AO27" s="117">
        <f t="shared" si="14"/>
        <v>0</v>
      </c>
      <c r="AP27" s="565"/>
      <c r="AQ27" s="565"/>
      <c r="AR27" s="565"/>
      <c r="AS27" s="565"/>
      <c r="AT27" s="117">
        <f t="shared" si="15"/>
        <v>0</v>
      </c>
      <c r="AU27" s="565"/>
      <c r="AV27" s="565"/>
      <c r="AW27" s="565"/>
      <c r="AX27" s="565"/>
      <c r="AY27" s="117">
        <f t="shared" si="16"/>
        <v>0</v>
      </c>
      <c r="AZ27" s="565"/>
      <c r="BA27" s="565"/>
      <c r="BB27" s="565"/>
      <c r="BC27" s="565"/>
      <c r="AJD27" s="546"/>
    </row>
    <row r="28" spans="1:940" s="545" customFormat="1">
      <c r="A28" s="113">
        <f t="shared" si="0"/>
        <v>21</v>
      </c>
      <c r="B28" s="113">
        <v>1357</v>
      </c>
      <c r="C28" s="113" t="s">
        <v>60</v>
      </c>
      <c r="D28" s="117">
        <v>25000000</v>
      </c>
      <c r="E28" s="117">
        <v>25000000</v>
      </c>
      <c r="F28" s="117">
        <f t="shared" si="1"/>
        <v>0</v>
      </c>
      <c r="G28" s="117">
        <v>12612000</v>
      </c>
      <c r="H28" s="117">
        <v>12420746.140000001</v>
      </c>
      <c r="I28" s="117">
        <v>118498.13</v>
      </c>
      <c r="J28" s="117"/>
      <c r="K28" s="117">
        <f t="shared" si="2"/>
        <v>118498.13</v>
      </c>
      <c r="L28" s="117">
        <f t="shared" si="3"/>
        <v>12539244.270000001</v>
      </c>
      <c r="M28" s="117">
        <f>P28+S28-50000</f>
        <v>22755.729999998584</v>
      </c>
      <c r="N28" s="117">
        <f>700000-560000</f>
        <v>140000</v>
      </c>
      <c r="O28" s="117">
        <f t="shared" si="10"/>
        <v>12298000</v>
      </c>
      <c r="P28" s="117">
        <f t="shared" si="4"/>
        <v>72755.729999998584</v>
      </c>
      <c r="Q28" s="117"/>
      <c r="R28" s="117"/>
      <c r="S28" s="117">
        <f t="shared" si="5"/>
        <v>0</v>
      </c>
      <c r="T28" s="117">
        <f t="shared" si="6"/>
        <v>50000</v>
      </c>
      <c r="U28" s="117">
        <f t="shared" si="7"/>
        <v>90000</v>
      </c>
      <c r="V28" s="117">
        <f t="shared" si="8"/>
        <v>90000</v>
      </c>
      <c r="W28" s="543"/>
      <c r="X28" s="117"/>
      <c r="Y28" s="117"/>
      <c r="Z28" s="113"/>
      <c r="AA28" s="113">
        <v>829000</v>
      </c>
      <c r="AB28" s="117"/>
      <c r="AC28" s="117"/>
      <c r="AD28" s="117"/>
      <c r="AE28" s="117"/>
      <c r="AF28" s="117"/>
      <c r="AG28" s="117"/>
      <c r="AH28" s="117"/>
      <c r="AI28" s="117"/>
      <c r="AJ28" s="117"/>
      <c r="AK28" s="117">
        <f t="shared" si="11"/>
        <v>0</v>
      </c>
      <c r="AL28" s="115"/>
      <c r="AM28" s="566">
        <f t="shared" si="12"/>
        <v>0</v>
      </c>
      <c r="AN28" s="117">
        <f t="shared" si="13"/>
        <v>90000</v>
      </c>
      <c r="AO28" s="117">
        <f t="shared" si="14"/>
        <v>0</v>
      </c>
      <c r="AP28" s="565"/>
      <c r="AQ28" s="565"/>
      <c r="AR28" s="565"/>
      <c r="AS28" s="565"/>
      <c r="AT28" s="117">
        <f t="shared" si="15"/>
        <v>0</v>
      </c>
      <c r="AU28" s="565"/>
      <c r="AV28" s="565"/>
      <c r="AW28" s="565"/>
      <c r="AX28" s="565"/>
      <c r="AY28" s="117">
        <f t="shared" si="16"/>
        <v>90000</v>
      </c>
      <c r="AZ28" s="565"/>
      <c r="BA28" s="565"/>
      <c r="BB28" s="565"/>
      <c r="BC28" s="565"/>
      <c r="AJD28" s="546"/>
    </row>
    <row r="29" spans="1:940" s="545" customFormat="1">
      <c r="A29" s="113">
        <f t="shared" si="0"/>
        <v>22</v>
      </c>
      <c r="B29" s="113">
        <v>1363</v>
      </c>
      <c r="C29" s="113" t="s">
        <v>43</v>
      </c>
      <c r="D29" s="117">
        <f>14000000+1500000</f>
        <v>15500000</v>
      </c>
      <c r="E29" s="117">
        <v>14000000</v>
      </c>
      <c r="F29" s="117">
        <f t="shared" si="1"/>
        <v>1500000</v>
      </c>
      <c r="G29" s="117">
        <v>6050000</v>
      </c>
      <c r="H29" s="117">
        <v>855341.96</v>
      </c>
      <c r="I29" s="117">
        <v>106902.9</v>
      </c>
      <c r="J29" s="117">
        <v>423897.2</v>
      </c>
      <c r="K29" s="117">
        <f t="shared" si="2"/>
        <v>530800.1</v>
      </c>
      <c r="L29" s="117">
        <f t="shared" si="3"/>
        <v>1386142.06</v>
      </c>
      <c r="M29" s="117">
        <f>P29+S29-1500000</f>
        <v>3163857.9399999995</v>
      </c>
      <c r="N29" s="117">
        <f>9000000-7500000</f>
        <v>1500000</v>
      </c>
      <c r="O29" s="117">
        <f t="shared" si="10"/>
        <v>9450000</v>
      </c>
      <c r="P29" s="117">
        <f t="shared" si="4"/>
        <v>4663857.9399999995</v>
      </c>
      <c r="Q29" s="117"/>
      <c r="R29" s="117"/>
      <c r="S29" s="117">
        <f t="shared" si="5"/>
        <v>0</v>
      </c>
      <c r="T29" s="117">
        <f t="shared" si="6"/>
        <v>1500000</v>
      </c>
      <c r="U29" s="117">
        <f t="shared" si="7"/>
        <v>0</v>
      </c>
      <c r="V29" s="117">
        <f t="shared" si="8"/>
        <v>0</v>
      </c>
      <c r="W29" s="543"/>
      <c r="X29" s="117"/>
      <c r="Y29" s="117"/>
      <c r="Z29" s="113"/>
      <c r="AA29" s="113">
        <v>742000</v>
      </c>
      <c r="AB29" s="117"/>
      <c r="AC29" s="117"/>
      <c r="AD29" s="117"/>
      <c r="AE29" s="117"/>
      <c r="AF29" s="117"/>
      <c r="AG29" s="117"/>
      <c r="AH29" s="117"/>
      <c r="AI29" s="117"/>
      <c r="AJ29" s="117"/>
      <c r="AK29" s="117">
        <f t="shared" si="11"/>
        <v>0</v>
      </c>
      <c r="AL29" s="115"/>
      <c r="AM29" s="566">
        <f t="shared" si="12"/>
        <v>0</v>
      </c>
      <c r="AN29" s="117">
        <f t="shared" si="13"/>
        <v>0</v>
      </c>
      <c r="AO29" s="117">
        <f t="shared" si="14"/>
        <v>0</v>
      </c>
      <c r="AP29" s="565"/>
      <c r="AQ29" s="565"/>
      <c r="AR29" s="565"/>
      <c r="AS29" s="565"/>
      <c r="AT29" s="117">
        <f t="shared" si="15"/>
        <v>0</v>
      </c>
      <c r="AU29" s="565"/>
      <c r="AV29" s="565"/>
      <c r="AW29" s="565"/>
      <c r="AX29" s="565"/>
      <c r="AY29" s="117">
        <f t="shared" si="16"/>
        <v>0</v>
      </c>
      <c r="AZ29" s="565"/>
      <c r="BA29" s="565"/>
      <c r="BB29" s="565"/>
      <c r="BC29" s="565"/>
      <c r="AJD29" s="546"/>
    </row>
    <row r="30" spans="1:940" s="546" customFormat="1">
      <c r="A30" s="113">
        <f t="shared" si="0"/>
        <v>23</v>
      </c>
      <c r="B30" s="113">
        <v>1366</v>
      </c>
      <c r="C30" s="113" t="s">
        <v>44</v>
      </c>
      <c r="D30" s="117">
        <v>1500000</v>
      </c>
      <c r="E30" s="117">
        <v>1500000</v>
      </c>
      <c r="F30" s="117">
        <f t="shared" si="1"/>
        <v>0</v>
      </c>
      <c r="G30" s="117">
        <v>950000</v>
      </c>
      <c r="H30" s="117">
        <v>708535.52</v>
      </c>
      <c r="I30" s="117"/>
      <c r="J30" s="117">
        <v>56617.1</v>
      </c>
      <c r="K30" s="117">
        <f t="shared" si="2"/>
        <v>56617.1</v>
      </c>
      <c r="L30" s="117">
        <f t="shared" si="3"/>
        <v>765152.62</v>
      </c>
      <c r="M30" s="117">
        <f>P30+S30-184000</f>
        <v>847.38000000000466</v>
      </c>
      <c r="N30" s="117">
        <v>150000</v>
      </c>
      <c r="O30" s="117">
        <f t="shared" si="10"/>
        <v>584000</v>
      </c>
      <c r="P30" s="117">
        <f t="shared" si="4"/>
        <v>184847.38</v>
      </c>
      <c r="Q30" s="117"/>
      <c r="R30" s="117"/>
      <c r="S30" s="117">
        <f t="shared" si="5"/>
        <v>0</v>
      </c>
      <c r="T30" s="117">
        <f t="shared" si="6"/>
        <v>184000</v>
      </c>
      <c r="U30" s="117">
        <f t="shared" si="7"/>
        <v>-34000</v>
      </c>
      <c r="V30" s="117">
        <f t="shared" si="8"/>
        <v>-34000</v>
      </c>
      <c r="W30" s="543"/>
      <c r="X30" s="117"/>
      <c r="Y30" s="117"/>
      <c r="Z30" s="113"/>
      <c r="AA30" s="113">
        <v>742000</v>
      </c>
      <c r="AB30" s="117"/>
      <c r="AC30" s="117"/>
      <c r="AD30" s="117">
        <v>-34000</v>
      </c>
      <c r="AE30" s="117"/>
      <c r="AF30" s="117"/>
      <c r="AG30" s="117"/>
      <c r="AH30" s="117"/>
      <c r="AI30" s="117"/>
      <c r="AJ30" s="117"/>
      <c r="AK30" s="117">
        <f t="shared" si="11"/>
        <v>-34000</v>
      </c>
      <c r="AL30" s="565"/>
      <c r="AM30" s="566">
        <f t="shared" si="12"/>
        <v>-34000</v>
      </c>
      <c r="AN30" s="117">
        <f t="shared" si="13"/>
        <v>0</v>
      </c>
      <c r="AO30" s="117">
        <f t="shared" si="14"/>
        <v>-34000</v>
      </c>
      <c r="AP30" s="565"/>
      <c r="AQ30" s="565"/>
      <c r="AR30" s="565"/>
      <c r="AS30" s="565"/>
      <c r="AT30" s="117">
        <f t="shared" si="15"/>
        <v>0</v>
      </c>
      <c r="AU30" s="565"/>
      <c r="AV30" s="565"/>
      <c r="AW30" s="565"/>
      <c r="AX30" s="565"/>
      <c r="AY30" s="117">
        <f t="shared" si="16"/>
        <v>0</v>
      </c>
      <c r="AZ30" s="565"/>
      <c r="BA30" s="565"/>
      <c r="BB30" s="565"/>
      <c r="BC30" s="565"/>
      <c r="BD30" s="308"/>
      <c r="BE30" s="308"/>
      <c r="BF30" s="308"/>
      <c r="BG30" s="308"/>
      <c r="BH30" s="308"/>
      <c r="BI30" s="308"/>
      <c r="BJ30" s="308"/>
      <c r="BK30" s="308"/>
      <c r="BL30" s="308"/>
      <c r="BM30" s="308"/>
      <c r="BN30" s="308"/>
      <c r="BO30" s="308"/>
      <c r="BP30" s="308"/>
      <c r="BQ30" s="308"/>
      <c r="BR30" s="308"/>
      <c r="BS30" s="308"/>
      <c r="BT30" s="308"/>
      <c r="BU30" s="308"/>
      <c r="BV30" s="308"/>
      <c r="BW30" s="308"/>
      <c r="BX30" s="308"/>
      <c r="BY30" s="308"/>
      <c r="BZ30" s="308"/>
      <c r="CA30" s="308"/>
      <c r="CB30" s="308"/>
      <c r="CC30" s="308"/>
      <c r="CD30" s="308"/>
      <c r="CE30" s="308"/>
      <c r="CF30" s="308"/>
      <c r="CG30" s="308"/>
      <c r="CH30" s="308"/>
      <c r="CI30" s="308"/>
      <c r="CJ30" s="308"/>
      <c r="CK30" s="308"/>
      <c r="CL30" s="308"/>
      <c r="CM30" s="308"/>
      <c r="CN30" s="308"/>
      <c r="CO30" s="308"/>
      <c r="CP30" s="308"/>
      <c r="CQ30" s="308"/>
      <c r="CR30" s="308"/>
      <c r="CS30" s="308"/>
      <c r="CT30" s="308"/>
      <c r="CU30" s="308"/>
      <c r="CV30" s="308"/>
      <c r="CW30" s="308"/>
      <c r="CX30" s="308"/>
      <c r="CY30" s="308"/>
      <c r="CZ30" s="308"/>
      <c r="DA30" s="308"/>
      <c r="DB30" s="308"/>
      <c r="DC30" s="308"/>
      <c r="DD30" s="308"/>
      <c r="DE30" s="308"/>
      <c r="DF30" s="308"/>
      <c r="DG30" s="308"/>
      <c r="DH30" s="308"/>
      <c r="DI30" s="308"/>
      <c r="DJ30" s="308"/>
      <c r="DK30" s="308"/>
      <c r="DL30" s="308"/>
      <c r="DM30" s="308"/>
      <c r="DN30" s="308"/>
      <c r="DO30" s="308"/>
      <c r="DP30" s="308"/>
      <c r="DQ30" s="308"/>
      <c r="DR30" s="308"/>
      <c r="DS30" s="308"/>
      <c r="DT30" s="308"/>
      <c r="DU30" s="308"/>
      <c r="DV30" s="308"/>
      <c r="DW30" s="308"/>
      <c r="DX30" s="308"/>
      <c r="DY30" s="308"/>
      <c r="DZ30" s="308"/>
      <c r="EA30" s="308"/>
      <c r="EB30" s="308"/>
      <c r="EC30" s="308"/>
      <c r="ED30" s="308"/>
      <c r="EE30" s="308"/>
      <c r="EF30" s="308"/>
      <c r="EG30" s="308"/>
      <c r="EH30" s="308"/>
      <c r="EI30" s="308"/>
      <c r="EJ30" s="308"/>
      <c r="EK30" s="308"/>
      <c r="EL30" s="308"/>
      <c r="EM30" s="308"/>
      <c r="EN30" s="308"/>
      <c r="EO30" s="308"/>
      <c r="EP30" s="308"/>
      <c r="EQ30" s="308"/>
      <c r="ER30" s="308"/>
      <c r="ES30" s="308"/>
      <c r="ET30" s="308"/>
      <c r="EU30" s="308"/>
      <c r="EV30" s="308"/>
      <c r="EW30" s="308"/>
      <c r="EX30" s="308"/>
      <c r="EY30" s="308"/>
      <c r="EZ30" s="308"/>
      <c r="FA30" s="308"/>
      <c r="FB30" s="308"/>
      <c r="FC30" s="308"/>
      <c r="FD30" s="308"/>
      <c r="FE30" s="308"/>
      <c r="FF30" s="308"/>
      <c r="FG30" s="308"/>
      <c r="FH30" s="308"/>
      <c r="FI30" s="308"/>
      <c r="FJ30" s="308"/>
      <c r="FK30" s="308"/>
      <c r="FL30" s="308"/>
      <c r="FM30" s="308"/>
      <c r="FN30" s="308"/>
      <c r="FO30" s="308"/>
      <c r="FP30" s="308"/>
      <c r="FQ30" s="308"/>
      <c r="FR30" s="308"/>
      <c r="FS30" s="308"/>
      <c r="FT30" s="308"/>
      <c r="FU30" s="308"/>
      <c r="FV30" s="308"/>
      <c r="FW30" s="308"/>
      <c r="FX30" s="308"/>
      <c r="FY30" s="308"/>
      <c r="FZ30" s="308"/>
      <c r="GA30" s="308"/>
      <c r="GB30" s="308"/>
      <c r="GC30" s="308"/>
      <c r="GD30" s="308"/>
      <c r="GE30" s="308"/>
      <c r="GF30" s="308"/>
      <c r="GG30" s="308"/>
      <c r="GH30" s="308"/>
      <c r="GI30" s="308"/>
      <c r="GJ30" s="308"/>
      <c r="GK30" s="308"/>
      <c r="GL30" s="308"/>
      <c r="GM30" s="308"/>
      <c r="GN30" s="308"/>
      <c r="GO30" s="308"/>
      <c r="GP30" s="308"/>
      <c r="GQ30" s="308"/>
      <c r="GR30" s="308"/>
      <c r="GS30" s="308"/>
      <c r="GT30" s="308"/>
      <c r="GU30" s="308"/>
      <c r="GV30" s="308"/>
      <c r="GW30" s="308"/>
      <c r="GX30" s="308"/>
      <c r="GY30" s="308"/>
      <c r="GZ30" s="308"/>
      <c r="HA30" s="308"/>
      <c r="HB30" s="308"/>
      <c r="HC30" s="308"/>
      <c r="HD30" s="308"/>
      <c r="HE30" s="308"/>
      <c r="HF30" s="308"/>
      <c r="HG30" s="308"/>
      <c r="HH30" s="308"/>
      <c r="HI30" s="308"/>
      <c r="HJ30" s="308"/>
      <c r="HK30" s="308"/>
      <c r="HL30" s="308"/>
      <c r="HM30" s="308"/>
      <c r="HN30" s="308"/>
      <c r="HO30" s="308"/>
      <c r="HP30" s="308"/>
      <c r="HQ30" s="308"/>
      <c r="HR30" s="308"/>
      <c r="HS30" s="308"/>
      <c r="HT30" s="308"/>
      <c r="HU30" s="308"/>
      <c r="HV30" s="308"/>
      <c r="HW30" s="308"/>
      <c r="HX30" s="308"/>
      <c r="HY30" s="308"/>
      <c r="HZ30" s="308"/>
      <c r="IA30" s="308"/>
      <c r="IB30" s="308"/>
      <c r="IC30" s="308"/>
      <c r="ID30" s="308"/>
      <c r="IE30" s="308"/>
      <c r="IF30" s="308"/>
      <c r="IG30" s="308"/>
      <c r="IH30" s="308"/>
      <c r="II30" s="308"/>
      <c r="IJ30" s="308"/>
      <c r="IK30" s="308"/>
      <c r="IL30" s="308"/>
      <c r="IM30" s="308"/>
      <c r="IN30" s="308"/>
      <c r="IO30" s="308"/>
      <c r="IP30" s="308"/>
      <c r="IQ30" s="308"/>
      <c r="IR30" s="308"/>
      <c r="IS30" s="308"/>
      <c r="IT30" s="308"/>
      <c r="IU30" s="308"/>
      <c r="IV30" s="308"/>
      <c r="IW30" s="308"/>
      <c r="IX30" s="308"/>
      <c r="IY30" s="308"/>
      <c r="IZ30" s="308"/>
      <c r="JA30" s="308"/>
      <c r="JB30" s="308"/>
      <c r="JC30" s="308"/>
      <c r="JD30" s="308"/>
      <c r="JE30" s="308"/>
      <c r="JF30" s="308"/>
      <c r="JG30" s="308"/>
      <c r="JH30" s="308"/>
      <c r="JI30" s="308"/>
      <c r="JJ30" s="308"/>
      <c r="JK30" s="308"/>
      <c r="JL30" s="308"/>
      <c r="JM30" s="308"/>
      <c r="JN30" s="308"/>
      <c r="JO30" s="308"/>
      <c r="JP30" s="308"/>
      <c r="JQ30" s="308"/>
      <c r="JR30" s="308"/>
      <c r="JS30" s="308"/>
      <c r="JT30" s="308"/>
      <c r="JU30" s="308"/>
      <c r="JV30" s="308"/>
      <c r="JW30" s="308"/>
      <c r="JX30" s="308"/>
      <c r="JY30" s="308"/>
      <c r="JZ30" s="308"/>
      <c r="KA30" s="308"/>
      <c r="KB30" s="308"/>
      <c r="KC30" s="308"/>
      <c r="KD30" s="308"/>
      <c r="KE30" s="308"/>
      <c r="KF30" s="308"/>
      <c r="KG30" s="308"/>
      <c r="KH30" s="308"/>
      <c r="KI30" s="308"/>
      <c r="KJ30" s="308"/>
      <c r="KK30" s="308"/>
      <c r="KL30" s="308"/>
      <c r="KM30" s="308"/>
      <c r="KN30" s="308"/>
      <c r="KO30" s="308"/>
      <c r="KP30" s="308"/>
      <c r="KQ30" s="308"/>
      <c r="KR30" s="308"/>
      <c r="KS30" s="308"/>
      <c r="KT30" s="308"/>
      <c r="KU30" s="308"/>
      <c r="KV30" s="308"/>
      <c r="KW30" s="308"/>
      <c r="KX30" s="308"/>
      <c r="KY30" s="308"/>
      <c r="KZ30" s="308"/>
      <c r="LA30" s="308"/>
      <c r="LB30" s="308"/>
      <c r="LC30" s="308"/>
      <c r="LD30" s="308"/>
      <c r="LE30" s="308"/>
      <c r="LF30" s="308"/>
      <c r="LG30" s="308"/>
      <c r="LH30" s="308"/>
      <c r="LI30" s="308"/>
      <c r="LJ30" s="308"/>
      <c r="LK30" s="308"/>
      <c r="LL30" s="308"/>
      <c r="LM30" s="308"/>
      <c r="LN30" s="308"/>
      <c r="LO30" s="308"/>
      <c r="LP30" s="308"/>
      <c r="LQ30" s="308"/>
      <c r="LR30" s="308"/>
      <c r="LS30" s="308"/>
      <c r="LT30" s="308"/>
      <c r="LU30" s="308"/>
      <c r="LV30" s="308"/>
      <c r="LW30" s="308"/>
      <c r="LX30" s="308"/>
      <c r="LY30" s="308"/>
      <c r="LZ30" s="308"/>
      <c r="MA30" s="308"/>
      <c r="MB30" s="308"/>
      <c r="MC30" s="308"/>
      <c r="MD30" s="308"/>
      <c r="ME30" s="308"/>
      <c r="MF30" s="308"/>
      <c r="MG30" s="308"/>
      <c r="MH30" s="308"/>
      <c r="MI30" s="308"/>
      <c r="MJ30" s="308"/>
      <c r="MK30" s="308"/>
      <c r="ML30" s="308"/>
      <c r="MM30" s="308"/>
      <c r="MN30" s="308"/>
      <c r="MO30" s="308"/>
      <c r="MP30" s="308"/>
      <c r="MQ30" s="308"/>
      <c r="MR30" s="308"/>
      <c r="MS30" s="308"/>
      <c r="MT30" s="308"/>
      <c r="MU30" s="308"/>
      <c r="MV30" s="308"/>
      <c r="MW30" s="308"/>
      <c r="MX30" s="308"/>
      <c r="MY30" s="308"/>
      <c r="MZ30" s="308"/>
      <c r="NA30" s="308"/>
      <c r="NB30" s="308"/>
      <c r="NC30" s="308"/>
      <c r="ND30" s="308"/>
      <c r="NE30" s="308"/>
      <c r="NF30" s="308"/>
      <c r="NG30" s="308"/>
      <c r="NH30" s="308"/>
      <c r="NI30" s="308"/>
      <c r="NJ30" s="308"/>
      <c r="NK30" s="308"/>
      <c r="NL30" s="308"/>
      <c r="NM30" s="308"/>
      <c r="NN30" s="308"/>
      <c r="NO30" s="308"/>
      <c r="NP30" s="308"/>
      <c r="NQ30" s="308"/>
      <c r="NR30" s="308"/>
      <c r="NS30" s="308"/>
      <c r="NT30" s="308"/>
      <c r="NU30" s="308"/>
      <c r="NV30" s="308"/>
      <c r="NW30" s="308"/>
      <c r="NX30" s="308"/>
      <c r="NY30" s="308"/>
      <c r="NZ30" s="308"/>
      <c r="OA30" s="308"/>
      <c r="OB30" s="308"/>
      <c r="OC30" s="308"/>
      <c r="OD30" s="308"/>
      <c r="OE30" s="308"/>
      <c r="OF30" s="308"/>
      <c r="OG30" s="308"/>
      <c r="OH30" s="308"/>
      <c r="OI30" s="308"/>
      <c r="OJ30" s="308"/>
      <c r="OK30" s="308"/>
      <c r="OL30" s="308"/>
      <c r="OM30" s="308"/>
      <c r="ON30" s="308"/>
      <c r="OO30" s="308"/>
      <c r="OP30" s="308"/>
      <c r="OQ30" s="308"/>
      <c r="OR30" s="308"/>
      <c r="OS30" s="308"/>
      <c r="OT30" s="308"/>
      <c r="OU30" s="308"/>
      <c r="OV30" s="308"/>
      <c r="OW30" s="308"/>
      <c r="OX30" s="308"/>
      <c r="OY30" s="308"/>
      <c r="OZ30" s="308"/>
      <c r="PA30" s="308"/>
      <c r="PB30" s="308"/>
      <c r="PC30" s="308"/>
      <c r="PD30" s="308"/>
      <c r="PE30" s="308"/>
      <c r="PF30" s="308"/>
      <c r="PG30" s="308"/>
      <c r="PH30" s="308"/>
      <c r="PI30" s="308"/>
      <c r="PJ30" s="308"/>
      <c r="PK30" s="308"/>
      <c r="PL30" s="308"/>
      <c r="PM30" s="308"/>
      <c r="PN30" s="308"/>
      <c r="PO30" s="308"/>
      <c r="PP30" s="308"/>
      <c r="PQ30" s="308"/>
      <c r="PR30" s="308"/>
      <c r="PS30" s="308"/>
      <c r="PT30" s="308"/>
      <c r="PU30" s="308"/>
      <c r="PV30" s="308"/>
      <c r="PW30" s="308"/>
      <c r="PX30" s="308"/>
      <c r="PY30" s="308"/>
      <c r="PZ30" s="308"/>
      <c r="QA30" s="308"/>
      <c r="QB30" s="308"/>
      <c r="QC30" s="308"/>
      <c r="QD30" s="308"/>
      <c r="QE30" s="308"/>
      <c r="QF30" s="308"/>
      <c r="QG30" s="308"/>
      <c r="QH30" s="308"/>
      <c r="QI30" s="308"/>
      <c r="QJ30" s="308"/>
      <c r="QK30" s="308"/>
      <c r="QL30" s="308"/>
      <c r="QM30" s="308"/>
      <c r="QN30" s="308"/>
      <c r="QO30" s="308"/>
      <c r="QP30" s="308"/>
      <c r="QQ30" s="308"/>
      <c r="QR30" s="308"/>
      <c r="QS30" s="308"/>
      <c r="QT30" s="308"/>
      <c r="QU30" s="308"/>
      <c r="QV30" s="308"/>
      <c r="QW30" s="308"/>
      <c r="QX30" s="308"/>
      <c r="QY30" s="308"/>
      <c r="QZ30" s="308"/>
      <c r="RA30" s="308"/>
      <c r="RB30" s="308"/>
      <c r="RC30" s="308"/>
      <c r="RD30" s="308"/>
      <c r="RE30" s="308"/>
      <c r="RF30" s="308"/>
      <c r="RG30" s="308"/>
      <c r="RH30" s="308"/>
      <c r="RI30" s="308"/>
      <c r="RJ30" s="308"/>
      <c r="RK30" s="308"/>
      <c r="RL30" s="308"/>
      <c r="RM30" s="308"/>
      <c r="RN30" s="308"/>
      <c r="RO30" s="308"/>
      <c r="RP30" s="308"/>
      <c r="RQ30" s="308"/>
      <c r="RR30" s="308"/>
      <c r="RS30" s="308"/>
      <c r="RT30" s="308"/>
      <c r="RU30" s="308"/>
      <c r="RV30" s="308"/>
      <c r="RW30" s="308"/>
      <c r="RX30" s="308"/>
      <c r="RY30" s="308"/>
      <c r="RZ30" s="308"/>
      <c r="SA30" s="308"/>
      <c r="SB30" s="308"/>
      <c r="SC30" s="308"/>
      <c r="SD30" s="308"/>
      <c r="SE30" s="308"/>
      <c r="SF30" s="308"/>
      <c r="SG30" s="308"/>
      <c r="SH30" s="308"/>
      <c r="SI30" s="308"/>
      <c r="SJ30" s="308"/>
      <c r="SK30" s="308"/>
      <c r="SL30" s="308"/>
      <c r="SM30" s="308"/>
      <c r="SN30" s="308"/>
      <c r="SO30" s="308"/>
      <c r="SP30" s="308"/>
      <c r="SQ30" s="308"/>
      <c r="SR30" s="308"/>
      <c r="SS30" s="308"/>
      <c r="ST30" s="308"/>
      <c r="SU30" s="308"/>
      <c r="SV30" s="308"/>
      <c r="SW30" s="308"/>
      <c r="SX30" s="308"/>
      <c r="SY30" s="308"/>
      <c r="SZ30" s="308"/>
      <c r="TA30" s="308"/>
      <c r="TB30" s="308"/>
      <c r="TC30" s="308"/>
      <c r="TD30" s="308"/>
      <c r="TE30" s="308"/>
      <c r="TF30" s="308"/>
      <c r="TG30" s="308"/>
      <c r="TH30" s="308"/>
      <c r="TI30" s="308"/>
      <c r="TJ30" s="308"/>
      <c r="TK30" s="308"/>
      <c r="TL30" s="308"/>
      <c r="TM30" s="308"/>
      <c r="TN30" s="308"/>
      <c r="TO30" s="308"/>
      <c r="TP30" s="308"/>
      <c r="TQ30" s="308"/>
      <c r="TR30" s="308"/>
      <c r="TS30" s="308"/>
      <c r="TT30" s="308"/>
      <c r="TU30" s="308"/>
      <c r="TV30" s="308"/>
      <c r="TW30" s="308"/>
      <c r="TX30" s="308"/>
      <c r="TY30" s="308"/>
      <c r="TZ30" s="308"/>
      <c r="UA30" s="308"/>
      <c r="UB30" s="308"/>
      <c r="UC30" s="308"/>
      <c r="UD30" s="308"/>
      <c r="UE30" s="308"/>
      <c r="UF30" s="308"/>
      <c r="UG30" s="308"/>
      <c r="UH30" s="308"/>
      <c r="UI30" s="308"/>
      <c r="UJ30" s="308"/>
      <c r="UK30" s="308"/>
      <c r="UL30" s="308"/>
      <c r="UM30" s="308"/>
      <c r="UN30" s="308"/>
      <c r="UO30" s="308"/>
      <c r="UP30" s="308"/>
      <c r="UQ30" s="308"/>
      <c r="UR30" s="308"/>
      <c r="US30" s="308"/>
      <c r="UT30" s="308"/>
      <c r="UU30" s="308"/>
      <c r="UV30" s="308"/>
      <c r="UW30" s="308"/>
      <c r="UX30" s="308"/>
      <c r="UY30" s="308"/>
      <c r="UZ30" s="308"/>
      <c r="VA30" s="308"/>
      <c r="VB30" s="308"/>
      <c r="VC30" s="308"/>
      <c r="VD30" s="308"/>
      <c r="VE30" s="308"/>
      <c r="VF30" s="308"/>
      <c r="VG30" s="308"/>
      <c r="VH30" s="308"/>
      <c r="VI30" s="308"/>
      <c r="VJ30" s="308"/>
      <c r="VK30" s="308"/>
      <c r="VL30" s="308"/>
      <c r="VM30" s="308"/>
      <c r="VN30" s="308"/>
      <c r="VO30" s="308"/>
      <c r="VP30" s="308"/>
      <c r="VQ30" s="308"/>
      <c r="VR30" s="308"/>
      <c r="VS30" s="308"/>
      <c r="VT30" s="308"/>
      <c r="VU30" s="308"/>
      <c r="VV30" s="308"/>
      <c r="VW30" s="308"/>
      <c r="VX30" s="308"/>
      <c r="VY30" s="308"/>
      <c r="VZ30" s="308"/>
      <c r="WA30" s="308"/>
      <c r="WB30" s="308"/>
      <c r="WC30" s="308"/>
      <c r="WD30" s="308"/>
      <c r="WE30" s="308"/>
      <c r="WF30" s="308"/>
      <c r="WG30" s="308"/>
      <c r="WH30" s="308"/>
      <c r="WI30" s="308"/>
      <c r="WJ30" s="308"/>
      <c r="WK30" s="308"/>
      <c r="WL30" s="308"/>
      <c r="WM30" s="308"/>
      <c r="WN30" s="308"/>
      <c r="WO30" s="308"/>
      <c r="WP30" s="308"/>
      <c r="WQ30" s="308"/>
      <c r="WR30" s="308"/>
      <c r="WS30" s="308"/>
      <c r="WT30" s="308"/>
      <c r="WU30" s="308"/>
      <c r="WV30" s="308"/>
      <c r="WW30" s="308"/>
      <c r="WX30" s="308"/>
      <c r="WY30" s="308"/>
      <c r="WZ30" s="308"/>
      <c r="XA30" s="308"/>
      <c r="XB30" s="308"/>
      <c r="XC30" s="308"/>
      <c r="XD30" s="308"/>
      <c r="XE30" s="308"/>
      <c r="XF30" s="308"/>
      <c r="XG30" s="308"/>
      <c r="XH30" s="308"/>
      <c r="XI30" s="308"/>
      <c r="XJ30" s="308"/>
      <c r="XK30" s="308"/>
      <c r="XL30" s="308"/>
      <c r="XM30" s="308"/>
      <c r="XN30" s="308"/>
      <c r="XO30" s="308"/>
      <c r="XP30" s="308"/>
      <c r="XQ30" s="308"/>
      <c r="XR30" s="308"/>
      <c r="XS30" s="308"/>
      <c r="XT30" s="308"/>
      <c r="XU30" s="308"/>
      <c r="XV30" s="308"/>
      <c r="XW30" s="308"/>
      <c r="XX30" s="308"/>
      <c r="XY30" s="308"/>
      <c r="XZ30" s="308"/>
      <c r="YA30" s="308"/>
      <c r="YB30" s="308"/>
      <c r="YC30" s="308"/>
      <c r="YD30" s="308"/>
      <c r="YE30" s="308"/>
      <c r="YF30" s="308"/>
      <c r="YG30" s="308"/>
      <c r="YH30" s="308"/>
      <c r="YI30" s="308"/>
      <c r="YJ30" s="308"/>
      <c r="YK30" s="308"/>
      <c r="YL30" s="308"/>
      <c r="YM30" s="308"/>
      <c r="YN30" s="308"/>
      <c r="YO30" s="308"/>
      <c r="YP30" s="308"/>
      <c r="YQ30" s="308"/>
      <c r="YR30" s="308"/>
      <c r="YS30" s="308"/>
      <c r="YT30" s="308"/>
      <c r="YU30" s="308"/>
      <c r="YV30" s="308"/>
      <c r="YW30" s="308"/>
      <c r="YX30" s="308"/>
      <c r="YY30" s="308"/>
      <c r="YZ30" s="308"/>
      <c r="ZA30" s="308"/>
      <c r="ZB30" s="308"/>
      <c r="ZC30" s="308"/>
      <c r="ZD30" s="308"/>
      <c r="ZE30" s="308"/>
      <c r="ZF30" s="308"/>
      <c r="ZG30" s="308"/>
      <c r="ZH30" s="308"/>
      <c r="ZI30" s="308"/>
      <c r="ZJ30" s="308"/>
      <c r="ZK30" s="308"/>
      <c r="ZL30" s="308"/>
      <c r="ZM30" s="308"/>
      <c r="ZN30" s="308"/>
      <c r="ZO30" s="308"/>
      <c r="ZP30" s="308"/>
      <c r="ZQ30" s="308"/>
      <c r="ZR30" s="308"/>
      <c r="ZS30" s="308"/>
      <c r="ZT30" s="308"/>
      <c r="ZU30" s="308"/>
      <c r="ZV30" s="308"/>
      <c r="ZW30" s="308"/>
      <c r="ZX30" s="308"/>
      <c r="ZY30" s="308"/>
      <c r="ZZ30" s="308"/>
      <c r="AAA30" s="308"/>
      <c r="AAB30" s="308"/>
      <c r="AAC30" s="308"/>
      <c r="AAD30" s="308"/>
      <c r="AAE30" s="308"/>
      <c r="AAF30" s="308"/>
      <c r="AAG30" s="308"/>
      <c r="AAH30" s="308"/>
      <c r="AAI30" s="308"/>
      <c r="AAJ30" s="308"/>
      <c r="AAK30" s="308"/>
      <c r="AAL30" s="308"/>
      <c r="AAM30" s="308"/>
      <c r="AAN30" s="308"/>
      <c r="AAO30" s="308"/>
      <c r="AAP30" s="308"/>
      <c r="AAQ30" s="308"/>
      <c r="AAR30" s="308"/>
      <c r="AAS30" s="308"/>
      <c r="AAT30" s="308"/>
      <c r="AAU30" s="308"/>
      <c r="AAV30" s="308"/>
      <c r="AAW30" s="308"/>
      <c r="AAX30" s="308"/>
      <c r="AAY30" s="308"/>
      <c r="AAZ30" s="308"/>
      <c r="ABA30" s="308"/>
      <c r="ABB30" s="308"/>
      <c r="ABC30" s="308"/>
      <c r="ABD30" s="308"/>
      <c r="ABE30" s="308"/>
      <c r="ABF30" s="308"/>
      <c r="ABG30" s="308"/>
      <c r="ABH30" s="308"/>
      <c r="ABI30" s="308"/>
      <c r="ABJ30" s="308"/>
      <c r="ABK30" s="308"/>
      <c r="ABL30" s="308"/>
      <c r="ABM30" s="308"/>
      <c r="ABN30" s="308"/>
      <c r="ABO30" s="308"/>
      <c r="ABP30" s="308"/>
      <c r="ABQ30" s="308"/>
      <c r="ABR30" s="308"/>
      <c r="ABS30" s="308"/>
      <c r="ABT30" s="308"/>
      <c r="ABU30" s="308"/>
      <c r="ABV30" s="308"/>
      <c r="ABW30" s="308"/>
      <c r="ABX30" s="308"/>
      <c r="ABY30" s="308"/>
      <c r="ABZ30" s="308"/>
      <c r="ACA30" s="308"/>
      <c r="ACB30" s="308"/>
      <c r="ACC30" s="308"/>
      <c r="ACD30" s="308"/>
      <c r="ACE30" s="308"/>
      <c r="ACF30" s="308"/>
      <c r="ACG30" s="308"/>
      <c r="ACH30" s="308"/>
      <c r="ACI30" s="308"/>
      <c r="ACJ30" s="308"/>
      <c r="ACK30" s="308"/>
      <c r="ACL30" s="308"/>
      <c r="ACM30" s="308"/>
      <c r="ACN30" s="308"/>
      <c r="ACO30" s="308"/>
      <c r="ACP30" s="308"/>
      <c r="ACQ30" s="308"/>
      <c r="ACR30" s="308"/>
      <c r="ACS30" s="308"/>
      <c r="ACT30" s="308"/>
      <c r="ACU30" s="308"/>
      <c r="ACV30" s="308"/>
      <c r="ACW30" s="308"/>
      <c r="ACX30" s="308"/>
      <c r="ACY30" s="308"/>
      <c r="ACZ30" s="308"/>
      <c r="ADA30" s="308"/>
      <c r="ADB30" s="308"/>
      <c r="ADC30" s="308"/>
      <c r="ADD30" s="308"/>
      <c r="ADE30" s="308"/>
      <c r="ADF30" s="308"/>
      <c r="ADG30" s="308"/>
      <c r="ADH30" s="308"/>
      <c r="ADI30" s="308"/>
      <c r="ADJ30" s="308"/>
      <c r="ADK30" s="308"/>
      <c r="ADL30" s="308"/>
      <c r="ADM30" s="308"/>
      <c r="ADN30" s="308"/>
      <c r="ADO30" s="308"/>
      <c r="ADP30" s="308"/>
      <c r="ADQ30" s="308"/>
      <c r="ADR30" s="308"/>
      <c r="ADS30" s="308"/>
      <c r="ADT30" s="308"/>
      <c r="ADU30" s="308"/>
      <c r="ADV30" s="308"/>
      <c r="ADW30" s="308"/>
      <c r="ADX30" s="308"/>
      <c r="ADY30" s="308"/>
      <c r="ADZ30" s="308"/>
      <c r="AEA30" s="308"/>
      <c r="AEB30" s="308"/>
      <c r="AEC30" s="308"/>
      <c r="AED30" s="308"/>
      <c r="AEE30" s="308"/>
      <c r="AEF30" s="308"/>
      <c r="AEG30" s="308"/>
      <c r="AEH30" s="308"/>
      <c r="AEI30" s="308"/>
      <c r="AEJ30" s="308"/>
      <c r="AEK30" s="308"/>
      <c r="AEL30" s="308"/>
      <c r="AEM30" s="308"/>
      <c r="AEN30" s="308"/>
      <c r="AEO30" s="308"/>
      <c r="AEP30" s="308"/>
      <c r="AEQ30" s="308"/>
      <c r="AER30" s="308"/>
      <c r="AES30" s="308"/>
      <c r="AET30" s="308"/>
      <c r="AEU30" s="308"/>
      <c r="AEV30" s="308"/>
      <c r="AEW30" s="308"/>
      <c r="AEX30" s="308"/>
      <c r="AEY30" s="308"/>
      <c r="AEZ30" s="308"/>
      <c r="AFA30" s="308"/>
      <c r="AFB30" s="308"/>
      <c r="AFC30" s="308"/>
      <c r="AFD30" s="308"/>
      <c r="AFE30" s="308"/>
      <c r="AFF30" s="308"/>
      <c r="AFG30" s="308"/>
      <c r="AFH30" s="308"/>
      <c r="AFI30" s="308"/>
      <c r="AFJ30" s="308"/>
      <c r="AFK30" s="308"/>
      <c r="AFL30" s="308"/>
      <c r="AFM30" s="308"/>
      <c r="AFN30" s="308"/>
      <c r="AFO30" s="308"/>
      <c r="AFP30" s="308"/>
      <c r="AFQ30" s="308"/>
      <c r="AFR30" s="308"/>
      <c r="AFS30" s="308"/>
      <c r="AFT30" s="308"/>
      <c r="AFU30" s="308"/>
      <c r="AFV30" s="308"/>
      <c r="AFW30" s="308"/>
      <c r="AFX30" s="308"/>
      <c r="AFY30" s="308"/>
      <c r="AFZ30" s="308"/>
      <c r="AGA30" s="308"/>
      <c r="AGB30" s="308"/>
      <c r="AGC30" s="308"/>
      <c r="AGD30" s="308"/>
      <c r="AGE30" s="308"/>
      <c r="AGF30" s="308"/>
      <c r="AGG30" s="308"/>
      <c r="AGH30" s="308"/>
      <c r="AGI30" s="308"/>
      <c r="AGJ30" s="308"/>
      <c r="AGK30" s="308"/>
      <c r="AGL30" s="308"/>
      <c r="AGM30" s="308"/>
      <c r="AGN30" s="308"/>
      <c r="AGO30" s="308"/>
      <c r="AGP30" s="308"/>
      <c r="AGQ30" s="308"/>
      <c r="AGR30" s="308"/>
      <c r="AGS30" s="308"/>
      <c r="AGT30" s="308"/>
      <c r="AGU30" s="308"/>
      <c r="AGV30" s="308"/>
      <c r="AGW30" s="308"/>
      <c r="AGX30" s="308"/>
      <c r="AGY30" s="308"/>
      <c r="AGZ30" s="308"/>
      <c r="AHA30" s="308"/>
      <c r="AHB30" s="308"/>
      <c r="AHC30" s="308"/>
      <c r="AHD30" s="308"/>
      <c r="AHE30" s="308"/>
      <c r="AHF30" s="308"/>
      <c r="AHG30" s="308"/>
      <c r="AHH30" s="308"/>
      <c r="AHI30" s="308"/>
      <c r="AHJ30" s="308"/>
      <c r="AHK30" s="308"/>
      <c r="AHL30" s="308"/>
      <c r="AHM30" s="308"/>
      <c r="AHN30" s="308"/>
      <c r="AHO30" s="308"/>
      <c r="AHP30" s="308"/>
      <c r="AHQ30" s="308"/>
      <c r="AHR30" s="308"/>
      <c r="AHS30" s="308"/>
      <c r="AHT30" s="308"/>
      <c r="AHU30" s="308"/>
      <c r="AHV30" s="308"/>
      <c r="AHW30" s="308"/>
      <c r="AHX30" s="308"/>
      <c r="AHY30" s="308"/>
      <c r="AHZ30" s="308"/>
      <c r="AIA30" s="308"/>
      <c r="AIB30" s="308"/>
      <c r="AIC30" s="308"/>
      <c r="AID30" s="308"/>
      <c r="AIE30" s="308"/>
      <c r="AIF30" s="308"/>
      <c r="AIG30" s="308"/>
      <c r="AIH30" s="308"/>
      <c r="AII30" s="308"/>
      <c r="AIJ30" s="308"/>
      <c r="AIK30" s="308"/>
      <c r="AIL30" s="308"/>
      <c r="AIM30" s="308"/>
      <c r="AIN30" s="308"/>
      <c r="AIO30" s="308"/>
      <c r="AIP30" s="308"/>
      <c r="AIQ30" s="308"/>
      <c r="AIR30" s="308"/>
      <c r="AIS30" s="308"/>
      <c r="AIT30" s="308"/>
      <c r="AIU30" s="308"/>
      <c r="AIV30" s="308"/>
      <c r="AIW30" s="308"/>
      <c r="AIX30" s="308"/>
      <c r="AIY30" s="308"/>
      <c r="AIZ30" s="308"/>
      <c r="AJA30" s="308"/>
      <c r="AJB30" s="308"/>
      <c r="AJC30" s="308"/>
    </row>
    <row r="31" spans="1:940" s="546" customFormat="1">
      <c r="A31" s="113">
        <f t="shared" si="0"/>
        <v>24</v>
      </c>
      <c r="B31" s="244">
        <v>1395</v>
      </c>
      <c r="C31" s="244" t="s">
        <v>919</v>
      </c>
      <c r="D31" s="117">
        <f>1761000-90000</f>
        <v>1671000</v>
      </c>
      <c r="E31" s="117">
        <v>1761000</v>
      </c>
      <c r="F31" s="117">
        <f t="shared" si="1"/>
        <v>-90000</v>
      </c>
      <c r="G31" s="117">
        <v>1761000</v>
      </c>
      <c r="H31" s="117">
        <v>1661606.84</v>
      </c>
      <c r="I31" s="117"/>
      <c r="J31" s="117">
        <v>4586.34</v>
      </c>
      <c r="K31" s="117">
        <f t="shared" si="2"/>
        <v>4586.34</v>
      </c>
      <c r="L31" s="117">
        <f t="shared" si="3"/>
        <v>1666193.1800000002</v>
      </c>
      <c r="M31" s="117">
        <f>P31+S31-90000</f>
        <v>4806.8199999998324</v>
      </c>
      <c r="N31" s="117">
        <f>90000-90000</f>
        <v>0</v>
      </c>
      <c r="O31" s="117">
        <f t="shared" si="10"/>
        <v>0</v>
      </c>
      <c r="P31" s="117">
        <f t="shared" si="4"/>
        <v>94806.819999999832</v>
      </c>
      <c r="Q31" s="117"/>
      <c r="R31" s="117"/>
      <c r="S31" s="117">
        <f t="shared" si="5"/>
        <v>0</v>
      </c>
      <c r="T31" s="117">
        <f t="shared" si="6"/>
        <v>90000</v>
      </c>
      <c r="U31" s="117">
        <f t="shared" si="7"/>
        <v>-90000</v>
      </c>
      <c r="V31" s="117">
        <f t="shared" si="8"/>
        <v>-90000</v>
      </c>
      <c r="W31" s="543"/>
      <c r="X31" s="117"/>
      <c r="Y31" s="117"/>
      <c r="Z31" s="113"/>
      <c r="AA31" s="113">
        <v>731000</v>
      </c>
      <c r="AB31" s="117"/>
      <c r="AC31" s="117"/>
      <c r="AD31" s="117">
        <v>-90000</v>
      </c>
      <c r="AE31" s="117"/>
      <c r="AF31" s="117"/>
      <c r="AG31" s="117"/>
      <c r="AH31" s="117"/>
      <c r="AI31" s="117"/>
      <c r="AJ31" s="117"/>
      <c r="AK31" s="117">
        <f t="shared" si="11"/>
        <v>-90000</v>
      </c>
      <c r="AL31" s="565"/>
      <c r="AM31" s="566">
        <f t="shared" si="12"/>
        <v>-90000</v>
      </c>
      <c r="AN31" s="117">
        <f t="shared" si="13"/>
        <v>0</v>
      </c>
      <c r="AO31" s="117">
        <f t="shared" si="14"/>
        <v>-90000</v>
      </c>
      <c r="AP31" s="565"/>
      <c r="AQ31" s="565"/>
      <c r="AR31" s="565"/>
      <c r="AS31" s="565"/>
      <c r="AT31" s="117">
        <f t="shared" si="15"/>
        <v>0</v>
      </c>
      <c r="AU31" s="565"/>
      <c r="AV31" s="565"/>
      <c r="AW31" s="565"/>
      <c r="AX31" s="565"/>
      <c r="AY31" s="117">
        <f t="shared" si="16"/>
        <v>0</v>
      </c>
      <c r="AZ31" s="565"/>
      <c r="BA31" s="565"/>
      <c r="BB31" s="565"/>
      <c r="BC31" s="565"/>
      <c r="BD31" s="308"/>
      <c r="BE31" s="308"/>
      <c r="BF31" s="308"/>
      <c r="BG31" s="308"/>
      <c r="BH31" s="308"/>
      <c r="BI31" s="308"/>
      <c r="BJ31" s="308"/>
      <c r="BK31" s="308"/>
      <c r="BL31" s="308"/>
      <c r="BM31" s="308"/>
      <c r="BN31" s="308"/>
      <c r="BO31" s="308"/>
      <c r="BP31" s="308"/>
      <c r="BQ31" s="308"/>
      <c r="BR31" s="308"/>
      <c r="BS31" s="308"/>
      <c r="BT31" s="308"/>
      <c r="BU31" s="308"/>
      <c r="BV31" s="308"/>
      <c r="BW31" s="308"/>
      <c r="BX31" s="308"/>
      <c r="BY31" s="308"/>
      <c r="BZ31" s="308"/>
      <c r="CA31" s="308"/>
      <c r="CB31" s="308"/>
      <c r="CC31" s="308"/>
      <c r="CD31" s="308"/>
      <c r="CE31" s="308"/>
      <c r="CF31" s="308"/>
      <c r="CG31" s="308"/>
      <c r="CH31" s="308"/>
      <c r="CI31" s="308"/>
      <c r="CJ31" s="308"/>
      <c r="CK31" s="308"/>
      <c r="CL31" s="308"/>
      <c r="CM31" s="308"/>
      <c r="CN31" s="308"/>
      <c r="CO31" s="308"/>
      <c r="CP31" s="308"/>
      <c r="CQ31" s="308"/>
      <c r="CR31" s="308"/>
      <c r="CS31" s="308"/>
      <c r="CT31" s="308"/>
      <c r="CU31" s="308"/>
      <c r="CV31" s="308"/>
      <c r="CW31" s="308"/>
      <c r="CX31" s="308"/>
      <c r="CY31" s="308"/>
      <c r="CZ31" s="308"/>
      <c r="DA31" s="308"/>
      <c r="DB31" s="308"/>
      <c r="DC31" s="308"/>
      <c r="DD31" s="308"/>
      <c r="DE31" s="308"/>
      <c r="DF31" s="308"/>
      <c r="DG31" s="308"/>
      <c r="DH31" s="308"/>
      <c r="DI31" s="308"/>
      <c r="DJ31" s="308"/>
      <c r="DK31" s="308"/>
      <c r="DL31" s="308"/>
      <c r="DM31" s="308"/>
      <c r="DN31" s="308"/>
      <c r="DO31" s="308"/>
      <c r="DP31" s="308"/>
      <c r="DQ31" s="308"/>
      <c r="DR31" s="308"/>
      <c r="DS31" s="308"/>
      <c r="DT31" s="308"/>
      <c r="DU31" s="308"/>
      <c r="DV31" s="308"/>
      <c r="DW31" s="308"/>
      <c r="DX31" s="308"/>
      <c r="DY31" s="308"/>
      <c r="DZ31" s="308"/>
      <c r="EA31" s="308"/>
      <c r="EB31" s="308"/>
      <c r="EC31" s="308"/>
      <c r="ED31" s="308"/>
      <c r="EE31" s="308"/>
      <c r="EF31" s="308"/>
      <c r="EG31" s="308"/>
      <c r="EH31" s="308"/>
      <c r="EI31" s="308"/>
      <c r="EJ31" s="308"/>
      <c r="EK31" s="308"/>
      <c r="EL31" s="308"/>
      <c r="EM31" s="308"/>
      <c r="EN31" s="308"/>
      <c r="EO31" s="308"/>
      <c r="EP31" s="308"/>
      <c r="EQ31" s="308"/>
      <c r="ER31" s="308"/>
      <c r="ES31" s="308"/>
      <c r="ET31" s="308"/>
      <c r="EU31" s="308"/>
      <c r="EV31" s="308"/>
      <c r="EW31" s="308"/>
      <c r="EX31" s="308"/>
      <c r="EY31" s="308"/>
      <c r="EZ31" s="308"/>
      <c r="FA31" s="308"/>
      <c r="FB31" s="308"/>
      <c r="FC31" s="308"/>
      <c r="FD31" s="308"/>
      <c r="FE31" s="308"/>
      <c r="FF31" s="308"/>
      <c r="FG31" s="308"/>
      <c r="FH31" s="308"/>
      <c r="FI31" s="308"/>
      <c r="FJ31" s="308"/>
      <c r="FK31" s="308"/>
      <c r="FL31" s="308"/>
      <c r="FM31" s="308"/>
      <c r="FN31" s="308"/>
      <c r="FO31" s="308"/>
      <c r="FP31" s="308"/>
      <c r="FQ31" s="308"/>
      <c r="FR31" s="308"/>
      <c r="FS31" s="308"/>
      <c r="FT31" s="308"/>
      <c r="FU31" s="308"/>
      <c r="FV31" s="308"/>
      <c r="FW31" s="308"/>
      <c r="FX31" s="308"/>
      <c r="FY31" s="308"/>
      <c r="FZ31" s="308"/>
      <c r="GA31" s="308"/>
      <c r="GB31" s="308"/>
      <c r="GC31" s="308"/>
      <c r="GD31" s="308"/>
      <c r="GE31" s="308"/>
      <c r="GF31" s="308"/>
      <c r="GG31" s="308"/>
      <c r="GH31" s="308"/>
      <c r="GI31" s="308"/>
      <c r="GJ31" s="308"/>
      <c r="GK31" s="308"/>
      <c r="GL31" s="308"/>
      <c r="GM31" s="308"/>
      <c r="GN31" s="308"/>
      <c r="GO31" s="308"/>
      <c r="GP31" s="308"/>
      <c r="GQ31" s="308"/>
      <c r="GR31" s="308"/>
      <c r="GS31" s="308"/>
      <c r="GT31" s="308"/>
      <c r="GU31" s="308"/>
      <c r="GV31" s="308"/>
      <c r="GW31" s="308"/>
      <c r="GX31" s="308"/>
      <c r="GY31" s="308"/>
      <c r="GZ31" s="308"/>
      <c r="HA31" s="308"/>
      <c r="HB31" s="308"/>
      <c r="HC31" s="308"/>
      <c r="HD31" s="308"/>
      <c r="HE31" s="308"/>
      <c r="HF31" s="308"/>
      <c r="HG31" s="308"/>
      <c r="HH31" s="308"/>
      <c r="HI31" s="308"/>
      <c r="HJ31" s="308"/>
      <c r="HK31" s="308"/>
      <c r="HL31" s="308"/>
      <c r="HM31" s="308"/>
      <c r="HN31" s="308"/>
      <c r="HO31" s="308"/>
      <c r="HP31" s="308"/>
      <c r="HQ31" s="308"/>
      <c r="HR31" s="308"/>
      <c r="HS31" s="308"/>
      <c r="HT31" s="308"/>
      <c r="HU31" s="308"/>
      <c r="HV31" s="308"/>
      <c r="HW31" s="308"/>
      <c r="HX31" s="308"/>
      <c r="HY31" s="308"/>
      <c r="HZ31" s="308"/>
      <c r="IA31" s="308"/>
      <c r="IB31" s="308"/>
      <c r="IC31" s="308"/>
      <c r="ID31" s="308"/>
      <c r="IE31" s="308"/>
      <c r="IF31" s="308"/>
      <c r="IG31" s="308"/>
      <c r="IH31" s="308"/>
      <c r="II31" s="308"/>
      <c r="IJ31" s="308"/>
      <c r="IK31" s="308"/>
      <c r="IL31" s="308"/>
      <c r="IM31" s="308"/>
      <c r="IN31" s="308"/>
      <c r="IO31" s="308"/>
      <c r="IP31" s="308"/>
      <c r="IQ31" s="308"/>
      <c r="IR31" s="308"/>
      <c r="IS31" s="308"/>
      <c r="IT31" s="308"/>
      <c r="IU31" s="308"/>
      <c r="IV31" s="308"/>
      <c r="IW31" s="308"/>
      <c r="IX31" s="308"/>
      <c r="IY31" s="308"/>
      <c r="IZ31" s="308"/>
      <c r="JA31" s="308"/>
      <c r="JB31" s="308"/>
      <c r="JC31" s="308"/>
      <c r="JD31" s="308"/>
      <c r="JE31" s="308"/>
      <c r="JF31" s="308"/>
      <c r="JG31" s="308"/>
      <c r="JH31" s="308"/>
      <c r="JI31" s="308"/>
      <c r="JJ31" s="308"/>
      <c r="JK31" s="308"/>
      <c r="JL31" s="308"/>
      <c r="JM31" s="308"/>
      <c r="JN31" s="308"/>
      <c r="JO31" s="308"/>
      <c r="JP31" s="308"/>
      <c r="JQ31" s="308"/>
      <c r="JR31" s="308"/>
      <c r="JS31" s="308"/>
      <c r="JT31" s="308"/>
      <c r="JU31" s="308"/>
      <c r="JV31" s="308"/>
      <c r="JW31" s="308"/>
      <c r="JX31" s="308"/>
      <c r="JY31" s="308"/>
      <c r="JZ31" s="308"/>
      <c r="KA31" s="308"/>
      <c r="KB31" s="308"/>
      <c r="KC31" s="308"/>
      <c r="KD31" s="308"/>
      <c r="KE31" s="308"/>
      <c r="KF31" s="308"/>
      <c r="KG31" s="308"/>
      <c r="KH31" s="308"/>
      <c r="KI31" s="308"/>
      <c r="KJ31" s="308"/>
      <c r="KK31" s="308"/>
      <c r="KL31" s="308"/>
      <c r="KM31" s="308"/>
      <c r="KN31" s="308"/>
      <c r="KO31" s="308"/>
      <c r="KP31" s="308"/>
      <c r="KQ31" s="308"/>
      <c r="KR31" s="308"/>
      <c r="KS31" s="308"/>
      <c r="KT31" s="308"/>
      <c r="KU31" s="308"/>
      <c r="KV31" s="308"/>
      <c r="KW31" s="308"/>
      <c r="KX31" s="308"/>
      <c r="KY31" s="308"/>
      <c r="KZ31" s="308"/>
      <c r="LA31" s="308"/>
      <c r="LB31" s="308"/>
      <c r="LC31" s="308"/>
      <c r="LD31" s="308"/>
      <c r="LE31" s="308"/>
      <c r="LF31" s="308"/>
      <c r="LG31" s="308"/>
      <c r="LH31" s="308"/>
      <c r="LI31" s="308"/>
      <c r="LJ31" s="308"/>
      <c r="LK31" s="308"/>
      <c r="LL31" s="308"/>
      <c r="LM31" s="308"/>
      <c r="LN31" s="308"/>
      <c r="LO31" s="308"/>
      <c r="LP31" s="308"/>
      <c r="LQ31" s="308"/>
      <c r="LR31" s="308"/>
      <c r="LS31" s="308"/>
      <c r="LT31" s="308"/>
      <c r="LU31" s="308"/>
      <c r="LV31" s="308"/>
      <c r="LW31" s="308"/>
      <c r="LX31" s="308"/>
      <c r="LY31" s="308"/>
      <c r="LZ31" s="308"/>
      <c r="MA31" s="308"/>
      <c r="MB31" s="308"/>
      <c r="MC31" s="308"/>
      <c r="MD31" s="308"/>
      <c r="ME31" s="308"/>
      <c r="MF31" s="308"/>
      <c r="MG31" s="308"/>
      <c r="MH31" s="308"/>
      <c r="MI31" s="308"/>
      <c r="MJ31" s="308"/>
      <c r="MK31" s="308"/>
      <c r="ML31" s="308"/>
      <c r="MM31" s="308"/>
      <c r="MN31" s="308"/>
      <c r="MO31" s="308"/>
      <c r="MP31" s="308"/>
      <c r="MQ31" s="308"/>
      <c r="MR31" s="308"/>
      <c r="MS31" s="308"/>
      <c r="MT31" s="308"/>
      <c r="MU31" s="308"/>
      <c r="MV31" s="308"/>
      <c r="MW31" s="308"/>
      <c r="MX31" s="308"/>
      <c r="MY31" s="308"/>
      <c r="MZ31" s="308"/>
      <c r="NA31" s="308"/>
      <c r="NB31" s="308"/>
      <c r="NC31" s="308"/>
      <c r="ND31" s="308"/>
      <c r="NE31" s="308"/>
      <c r="NF31" s="308"/>
      <c r="NG31" s="308"/>
      <c r="NH31" s="308"/>
      <c r="NI31" s="308"/>
      <c r="NJ31" s="308"/>
      <c r="NK31" s="308"/>
      <c r="NL31" s="308"/>
      <c r="NM31" s="308"/>
      <c r="NN31" s="308"/>
      <c r="NO31" s="308"/>
      <c r="NP31" s="308"/>
      <c r="NQ31" s="308"/>
      <c r="NR31" s="308"/>
      <c r="NS31" s="308"/>
      <c r="NT31" s="308"/>
      <c r="NU31" s="308"/>
      <c r="NV31" s="308"/>
      <c r="NW31" s="308"/>
      <c r="NX31" s="308"/>
      <c r="NY31" s="308"/>
      <c r="NZ31" s="308"/>
      <c r="OA31" s="308"/>
      <c r="OB31" s="308"/>
      <c r="OC31" s="308"/>
      <c r="OD31" s="308"/>
      <c r="OE31" s="308"/>
      <c r="OF31" s="308"/>
      <c r="OG31" s="308"/>
      <c r="OH31" s="308"/>
      <c r="OI31" s="308"/>
      <c r="OJ31" s="308"/>
      <c r="OK31" s="308"/>
      <c r="OL31" s="308"/>
      <c r="OM31" s="308"/>
      <c r="ON31" s="308"/>
      <c r="OO31" s="308"/>
      <c r="OP31" s="308"/>
      <c r="OQ31" s="308"/>
      <c r="OR31" s="308"/>
      <c r="OS31" s="308"/>
      <c r="OT31" s="308"/>
      <c r="OU31" s="308"/>
      <c r="OV31" s="308"/>
      <c r="OW31" s="308"/>
      <c r="OX31" s="308"/>
      <c r="OY31" s="308"/>
      <c r="OZ31" s="308"/>
      <c r="PA31" s="308"/>
      <c r="PB31" s="308"/>
      <c r="PC31" s="308"/>
      <c r="PD31" s="308"/>
      <c r="PE31" s="308"/>
      <c r="PF31" s="308"/>
      <c r="PG31" s="308"/>
      <c r="PH31" s="308"/>
      <c r="PI31" s="308"/>
      <c r="PJ31" s="308"/>
      <c r="PK31" s="308"/>
      <c r="PL31" s="308"/>
      <c r="PM31" s="308"/>
      <c r="PN31" s="308"/>
      <c r="PO31" s="308"/>
      <c r="PP31" s="308"/>
      <c r="PQ31" s="308"/>
      <c r="PR31" s="308"/>
      <c r="PS31" s="308"/>
      <c r="PT31" s="308"/>
      <c r="PU31" s="308"/>
      <c r="PV31" s="308"/>
      <c r="PW31" s="308"/>
      <c r="PX31" s="308"/>
      <c r="PY31" s="308"/>
      <c r="PZ31" s="308"/>
      <c r="QA31" s="308"/>
      <c r="QB31" s="308"/>
      <c r="QC31" s="308"/>
      <c r="QD31" s="308"/>
      <c r="QE31" s="308"/>
      <c r="QF31" s="308"/>
      <c r="QG31" s="308"/>
      <c r="QH31" s="308"/>
      <c r="QI31" s="308"/>
      <c r="QJ31" s="308"/>
      <c r="QK31" s="308"/>
      <c r="QL31" s="308"/>
      <c r="QM31" s="308"/>
      <c r="QN31" s="308"/>
      <c r="QO31" s="308"/>
      <c r="QP31" s="308"/>
      <c r="QQ31" s="308"/>
      <c r="QR31" s="308"/>
      <c r="QS31" s="308"/>
      <c r="QT31" s="308"/>
      <c r="QU31" s="308"/>
      <c r="QV31" s="308"/>
      <c r="QW31" s="308"/>
      <c r="QX31" s="308"/>
      <c r="QY31" s="308"/>
      <c r="QZ31" s="308"/>
      <c r="RA31" s="308"/>
      <c r="RB31" s="308"/>
      <c r="RC31" s="308"/>
      <c r="RD31" s="308"/>
      <c r="RE31" s="308"/>
      <c r="RF31" s="308"/>
      <c r="RG31" s="308"/>
      <c r="RH31" s="308"/>
      <c r="RI31" s="308"/>
      <c r="RJ31" s="308"/>
      <c r="RK31" s="308"/>
      <c r="RL31" s="308"/>
      <c r="RM31" s="308"/>
      <c r="RN31" s="308"/>
      <c r="RO31" s="308"/>
      <c r="RP31" s="308"/>
      <c r="RQ31" s="308"/>
      <c r="RR31" s="308"/>
      <c r="RS31" s="308"/>
      <c r="RT31" s="308"/>
      <c r="RU31" s="308"/>
      <c r="RV31" s="308"/>
      <c r="RW31" s="308"/>
      <c r="RX31" s="308"/>
      <c r="RY31" s="308"/>
      <c r="RZ31" s="308"/>
      <c r="SA31" s="308"/>
      <c r="SB31" s="308"/>
      <c r="SC31" s="308"/>
      <c r="SD31" s="308"/>
      <c r="SE31" s="308"/>
      <c r="SF31" s="308"/>
      <c r="SG31" s="308"/>
      <c r="SH31" s="308"/>
      <c r="SI31" s="308"/>
      <c r="SJ31" s="308"/>
      <c r="SK31" s="308"/>
      <c r="SL31" s="308"/>
      <c r="SM31" s="308"/>
      <c r="SN31" s="308"/>
      <c r="SO31" s="308"/>
      <c r="SP31" s="308"/>
      <c r="SQ31" s="308"/>
      <c r="SR31" s="308"/>
      <c r="SS31" s="308"/>
      <c r="ST31" s="308"/>
      <c r="SU31" s="308"/>
      <c r="SV31" s="308"/>
      <c r="SW31" s="308"/>
      <c r="SX31" s="308"/>
      <c r="SY31" s="308"/>
      <c r="SZ31" s="308"/>
      <c r="TA31" s="308"/>
      <c r="TB31" s="308"/>
      <c r="TC31" s="308"/>
      <c r="TD31" s="308"/>
      <c r="TE31" s="308"/>
      <c r="TF31" s="308"/>
      <c r="TG31" s="308"/>
      <c r="TH31" s="308"/>
      <c r="TI31" s="308"/>
      <c r="TJ31" s="308"/>
      <c r="TK31" s="308"/>
      <c r="TL31" s="308"/>
      <c r="TM31" s="308"/>
      <c r="TN31" s="308"/>
      <c r="TO31" s="308"/>
      <c r="TP31" s="308"/>
      <c r="TQ31" s="308"/>
      <c r="TR31" s="308"/>
      <c r="TS31" s="308"/>
      <c r="TT31" s="308"/>
      <c r="TU31" s="308"/>
      <c r="TV31" s="308"/>
      <c r="TW31" s="308"/>
      <c r="TX31" s="308"/>
      <c r="TY31" s="308"/>
      <c r="TZ31" s="308"/>
      <c r="UA31" s="308"/>
      <c r="UB31" s="308"/>
      <c r="UC31" s="308"/>
      <c r="UD31" s="308"/>
      <c r="UE31" s="308"/>
      <c r="UF31" s="308"/>
      <c r="UG31" s="308"/>
      <c r="UH31" s="308"/>
      <c r="UI31" s="308"/>
      <c r="UJ31" s="308"/>
      <c r="UK31" s="308"/>
      <c r="UL31" s="308"/>
      <c r="UM31" s="308"/>
      <c r="UN31" s="308"/>
      <c r="UO31" s="308"/>
      <c r="UP31" s="308"/>
      <c r="UQ31" s="308"/>
      <c r="UR31" s="308"/>
      <c r="US31" s="308"/>
      <c r="UT31" s="308"/>
      <c r="UU31" s="308"/>
      <c r="UV31" s="308"/>
      <c r="UW31" s="308"/>
      <c r="UX31" s="308"/>
      <c r="UY31" s="308"/>
      <c r="UZ31" s="308"/>
      <c r="VA31" s="308"/>
      <c r="VB31" s="308"/>
      <c r="VC31" s="308"/>
      <c r="VD31" s="308"/>
      <c r="VE31" s="308"/>
      <c r="VF31" s="308"/>
      <c r="VG31" s="308"/>
      <c r="VH31" s="308"/>
      <c r="VI31" s="308"/>
      <c r="VJ31" s="308"/>
      <c r="VK31" s="308"/>
      <c r="VL31" s="308"/>
      <c r="VM31" s="308"/>
      <c r="VN31" s="308"/>
      <c r="VO31" s="308"/>
      <c r="VP31" s="308"/>
      <c r="VQ31" s="308"/>
      <c r="VR31" s="308"/>
      <c r="VS31" s="308"/>
      <c r="VT31" s="308"/>
      <c r="VU31" s="308"/>
      <c r="VV31" s="308"/>
      <c r="VW31" s="308"/>
      <c r="VX31" s="308"/>
      <c r="VY31" s="308"/>
      <c r="VZ31" s="308"/>
      <c r="WA31" s="308"/>
      <c r="WB31" s="308"/>
      <c r="WC31" s="308"/>
      <c r="WD31" s="308"/>
      <c r="WE31" s="308"/>
      <c r="WF31" s="308"/>
      <c r="WG31" s="308"/>
      <c r="WH31" s="308"/>
      <c r="WI31" s="308"/>
      <c r="WJ31" s="308"/>
      <c r="WK31" s="308"/>
      <c r="WL31" s="308"/>
      <c r="WM31" s="308"/>
      <c r="WN31" s="308"/>
      <c r="WO31" s="308"/>
      <c r="WP31" s="308"/>
      <c r="WQ31" s="308"/>
      <c r="WR31" s="308"/>
      <c r="WS31" s="308"/>
      <c r="WT31" s="308"/>
      <c r="WU31" s="308"/>
      <c r="WV31" s="308"/>
      <c r="WW31" s="308"/>
      <c r="WX31" s="308"/>
      <c r="WY31" s="308"/>
      <c r="WZ31" s="308"/>
      <c r="XA31" s="308"/>
      <c r="XB31" s="308"/>
      <c r="XC31" s="308"/>
      <c r="XD31" s="308"/>
      <c r="XE31" s="308"/>
      <c r="XF31" s="308"/>
      <c r="XG31" s="308"/>
      <c r="XH31" s="308"/>
      <c r="XI31" s="308"/>
      <c r="XJ31" s="308"/>
      <c r="XK31" s="308"/>
      <c r="XL31" s="308"/>
      <c r="XM31" s="308"/>
      <c r="XN31" s="308"/>
      <c r="XO31" s="308"/>
      <c r="XP31" s="308"/>
      <c r="XQ31" s="308"/>
      <c r="XR31" s="308"/>
      <c r="XS31" s="308"/>
      <c r="XT31" s="308"/>
      <c r="XU31" s="308"/>
      <c r="XV31" s="308"/>
      <c r="XW31" s="308"/>
      <c r="XX31" s="308"/>
      <c r="XY31" s="308"/>
      <c r="XZ31" s="308"/>
      <c r="YA31" s="308"/>
      <c r="YB31" s="308"/>
      <c r="YC31" s="308"/>
      <c r="YD31" s="308"/>
      <c r="YE31" s="308"/>
      <c r="YF31" s="308"/>
      <c r="YG31" s="308"/>
      <c r="YH31" s="308"/>
      <c r="YI31" s="308"/>
      <c r="YJ31" s="308"/>
      <c r="YK31" s="308"/>
      <c r="YL31" s="308"/>
      <c r="YM31" s="308"/>
      <c r="YN31" s="308"/>
      <c r="YO31" s="308"/>
      <c r="YP31" s="308"/>
      <c r="YQ31" s="308"/>
      <c r="YR31" s="308"/>
      <c r="YS31" s="308"/>
      <c r="YT31" s="308"/>
      <c r="YU31" s="308"/>
      <c r="YV31" s="308"/>
      <c r="YW31" s="308"/>
      <c r="YX31" s="308"/>
      <c r="YY31" s="308"/>
      <c r="YZ31" s="308"/>
      <c r="ZA31" s="308"/>
      <c r="ZB31" s="308"/>
      <c r="ZC31" s="308"/>
      <c r="ZD31" s="308"/>
      <c r="ZE31" s="308"/>
      <c r="ZF31" s="308"/>
      <c r="ZG31" s="308"/>
      <c r="ZH31" s="308"/>
      <c r="ZI31" s="308"/>
      <c r="ZJ31" s="308"/>
      <c r="ZK31" s="308"/>
      <c r="ZL31" s="308"/>
      <c r="ZM31" s="308"/>
      <c r="ZN31" s="308"/>
      <c r="ZO31" s="308"/>
      <c r="ZP31" s="308"/>
      <c r="ZQ31" s="308"/>
      <c r="ZR31" s="308"/>
      <c r="ZS31" s="308"/>
      <c r="ZT31" s="308"/>
      <c r="ZU31" s="308"/>
      <c r="ZV31" s="308"/>
      <c r="ZW31" s="308"/>
      <c r="ZX31" s="308"/>
      <c r="ZY31" s="308"/>
      <c r="ZZ31" s="308"/>
      <c r="AAA31" s="308"/>
      <c r="AAB31" s="308"/>
      <c r="AAC31" s="308"/>
      <c r="AAD31" s="308"/>
      <c r="AAE31" s="308"/>
      <c r="AAF31" s="308"/>
      <c r="AAG31" s="308"/>
      <c r="AAH31" s="308"/>
      <c r="AAI31" s="308"/>
      <c r="AAJ31" s="308"/>
      <c r="AAK31" s="308"/>
      <c r="AAL31" s="308"/>
      <c r="AAM31" s="308"/>
      <c r="AAN31" s="308"/>
      <c r="AAO31" s="308"/>
      <c r="AAP31" s="308"/>
      <c r="AAQ31" s="308"/>
      <c r="AAR31" s="308"/>
      <c r="AAS31" s="308"/>
      <c r="AAT31" s="308"/>
      <c r="AAU31" s="308"/>
      <c r="AAV31" s="308"/>
      <c r="AAW31" s="308"/>
      <c r="AAX31" s="308"/>
      <c r="AAY31" s="308"/>
      <c r="AAZ31" s="308"/>
      <c r="ABA31" s="308"/>
      <c r="ABB31" s="308"/>
      <c r="ABC31" s="308"/>
      <c r="ABD31" s="308"/>
      <c r="ABE31" s="308"/>
      <c r="ABF31" s="308"/>
      <c r="ABG31" s="308"/>
      <c r="ABH31" s="308"/>
      <c r="ABI31" s="308"/>
      <c r="ABJ31" s="308"/>
      <c r="ABK31" s="308"/>
      <c r="ABL31" s="308"/>
      <c r="ABM31" s="308"/>
      <c r="ABN31" s="308"/>
      <c r="ABO31" s="308"/>
      <c r="ABP31" s="308"/>
      <c r="ABQ31" s="308"/>
      <c r="ABR31" s="308"/>
      <c r="ABS31" s="308"/>
      <c r="ABT31" s="308"/>
      <c r="ABU31" s="308"/>
      <c r="ABV31" s="308"/>
      <c r="ABW31" s="308"/>
      <c r="ABX31" s="308"/>
      <c r="ABY31" s="308"/>
      <c r="ABZ31" s="308"/>
      <c r="ACA31" s="308"/>
      <c r="ACB31" s="308"/>
      <c r="ACC31" s="308"/>
      <c r="ACD31" s="308"/>
      <c r="ACE31" s="308"/>
      <c r="ACF31" s="308"/>
      <c r="ACG31" s="308"/>
      <c r="ACH31" s="308"/>
      <c r="ACI31" s="308"/>
      <c r="ACJ31" s="308"/>
      <c r="ACK31" s="308"/>
      <c r="ACL31" s="308"/>
      <c r="ACM31" s="308"/>
      <c r="ACN31" s="308"/>
      <c r="ACO31" s="308"/>
      <c r="ACP31" s="308"/>
      <c r="ACQ31" s="308"/>
      <c r="ACR31" s="308"/>
      <c r="ACS31" s="308"/>
      <c r="ACT31" s="308"/>
      <c r="ACU31" s="308"/>
      <c r="ACV31" s="308"/>
      <c r="ACW31" s="308"/>
      <c r="ACX31" s="308"/>
      <c r="ACY31" s="308"/>
      <c r="ACZ31" s="308"/>
      <c r="ADA31" s="308"/>
      <c r="ADB31" s="308"/>
      <c r="ADC31" s="308"/>
      <c r="ADD31" s="308"/>
      <c r="ADE31" s="308"/>
      <c r="ADF31" s="308"/>
      <c r="ADG31" s="308"/>
      <c r="ADH31" s="308"/>
      <c r="ADI31" s="308"/>
      <c r="ADJ31" s="308"/>
      <c r="ADK31" s="308"/>
      <c r="ADL31" s="308"/>
      <c r="ADM31" s="308"/>
      <c r="ADN31" s="308"/>
      <c r="ADO31" s="308"/>
      <c r="ADP31" s="308"/>
      <c r="ADQ31" s="308"/>
      <c r="ADR31" s="308"/>
      <c r="ADS31" s="308"/>
      <c r="ADT31" s="308"/>
      <c r="ADU31" s="308"/>
      <c r="ADV31" s="308"/>
      <c r="ADW31" s="308"/>
      <c r="ADX31" s="308"/>
      <c r="ADY31" s="308"/>
      <c r="ADZ31" s="308"/>
      <c r="AEA31" s="308"/>
      <c r="AEB31" s="308"/>
      <c r="AEC31" s="308"/>
      <c r="AED31" s="308"/>
      <c r="AEE31" s="308"/>
      <c r="AEF31" s="308"/>
      <c r="AEG31" s="308"/>
      <c r="AEH31" s="308"/>
      <c r="AEI31" s="308"/>
      <c r="AEJ31" s="308"/>
      <c r="AEK31" s="308"/>
      <c r="AEL31" s="308"/>
      <c r="AEM31" s="308"/>
      <c r="AEN31" s="308"/>
      <c r="AEO31" s="308"/>
      <c r="AEP31" s="308"/>
      <c r="AEQ31" s="308"/>
      <c r="AER31" s="308"/>
      <c r="AES31" s="308"/>
      <c r="AET31" s="308"/>
      <c r="AEU31" s="308"/>
      <c r="AEV31" s="308"/>
      <c r="AEW31" s="308"/>
      <c r="AEX31" s="308"/>
      <c r="AEY31" s="308"/>
      <c r="AEZ31" s="308"/>
      <c r="AFA31" s="308"/>
      <c r="AFB31" s="308"/>
      <c r="AFC31" s="308"/>
      <c r="AFD31" s="308"/>
      <c r="AFE31" s="308"/>
      <c r="AFF31" s="308"/>
      <c r="AFG31" s="308"/>
      <c r="AFH31" s="308"/>
      <c r="AFI31" s="308"/>
      <c r="AFJ31" s="308"/>
      <c r="AFK31" s="308"/>
      <c r="AFL31" s="308"/>
      <c r="AFM31" s="308"/>
      <c r="AFN31" s="308"/>
      <c r="AFO31" s="308"/>
      <c r="AFP31" s="308"/>
      <c r="AFQ31" s="308"/>
      <c r="AFR31" s="308"/>
      <c r="AFS31" s="308"/>
      <c r="AFT31" s="308"/>
      <c r="AFU31" s="308"/>
      <c r="AFV31" s="308"/>
      <c r="AFW31" s="308"/>
      <c r="AFX31" s="308"/>
      <c r="AFY31" s="308"/>
      <c r="AFZ31" s="308"/>
      <c r="AGA31" s="308"/>
      <c r="AGB31" s="308"/>
      <c r="AGC31" s="308"/>
      <c r="AGD31" s="308"/>
      <c r="AGE31" s="308"/>
      <c r="AGF31" s="308"/>
      <c r="AGG31" s="308"/>
      <c r="AGH31" s="308"/>
      <c r="AGI31" s="308"/>
      <c r="AGJ31" s="308"/>
      <c r="AGK31" s="308"/>
      <c r="AGL31" s="308"/>
      <c r="AGM31" s="308"/>
      <c r="AGN31" s="308"/>
      <c r="AGO31" s="308"/>
      <c r="AGP31" s="308"/>
      <c r="AGQ31" s="308"/>
      <c r="AGR31" s="308"/>
      <c r="AGS31" s="308"/>
      <c r="AGT31" s="308"/>
      <c r="AGU31" s="308"/>
      <c r="AGV31" s="308"/>
      <c r="AGW31" s="308"/>
      <c r="AGX31" s="308"/>
      <c r="AGY31" s="308"/>
      <c r="AGZ31" s="308"/>
      <c r="AHA31" s="308"/>
      <c r="AHB31" s="308"/>
      <c r="AHC31" s="308"/>
      <c r="AHD31" s="308"/>
      <c r="AHE31" s="308"/>
      <c r="AHF31" s="308"/>
      <c r="AHG31" s="308"/>
      <c r="AHH31" s="308"/>
      <c r="AHI31" s="308"/>
      <c r="AHJ31" s="308"/>
      <c r="AHK31" s="308"/>
      <c r="AHL31" s="308"/>
      <c r="AHM31" s="308"/>
      <c r="AHN31" s="308"/>
      <c r="AHO31" s="308"/>
      <c r="AHP31" s="308"/>
      <c r="AHQ31" s="308"/>
      <c r="AHR31" s="308"/>
      <c r="AHS31" s="308"/>
      <c r="AHT31" s="308"/>
      <c r="AHU31" s="308"/>
      <c r="AHV31" s="308"/>
      <c r="AHW31" s="308"/>
      <c r="AHX31" s="308"/>
      <c r="AHY31" s="308"/>
      <c r="AHZ31" s="308"/>
      <c r="AIA31" s="308"/>
      <c r="AIB31" s="308"/>
      <c r="AIC31" s="308"/>
      <c r="AID31" s="308"/>
      <c r="AIE31" s="308"/>
      <c r="AIF31" s="308"/>
      <c r="AIG31" s="308"/>
      <c r="AIH31" s="308"/>
      <c r="AII31" s="308"/>
      <c r="AIJ31" s="308"/>
      <c r="AIK31" s="308"/>
      <c r="AIL31" s="308"/>
      <c r="AIM31" s="308"/>
      <c r="AIN31" s="308"/>
      <c r="AIO31" s="308"/>
      <c r="AIP31" s="308"/>
      <c r="AIQ31" s="308"/>
      <c r="AIR31" s="308"/>
      <c r="AIS31" s="308"/>
      <c r="AIT31" s="308"/>
      <c r="AIU31" s="308"/>
      <c r="AIV31" s="308"/>
      <c r="AIW31" s="308"/>
      <c r="AIX31" s="308"/>
      <c r="AIY31" s="308"/>
      <c r="AIZ31" s="308"/>
      <c r="AJA31" s="308"/>
      <c r="AJB31" s="308"/>
      <c r="AJC31" s="308"/>
    </row>
    <row r="32" spans="1:940" s="567" customFormat="1">
      <c r="A32" s="113">
        <f t="shared" si="0"/>
        <v>25</v>
      </c>
      <c r="B32" s="113">
        <v>1457</v>
      </c>
      <c r="C32" s="113" t="s">
        <v>317</v>
      </c>
      <c r="D32" s="117">
        <v>1100000</v>
      </c>
      <c r="E32" s="117">
        <v>1100000</v>
      </c>
      <c r="F32" s="117">
        <f t="shared" si="1"/>
        <v>0</v>
      </c>
      <c r="G32" s="117">
        <v>430000</v>
      </c>
      <c r="H32" s="117">
        <v>145716.09</v>
      </c>
      <c r="I32" s="117"/>
      <c r="J32" s="117">
        <v>19485.759999999998</v>
      </c>
      <c r="K32" s="117">
        <f t="shared" si="2"/>
        <v>19485.759999999998</v>
      </c>
      <c r="L32" s="117">
        <f t="shared" si="3"/>
        <v>165201.85</v>
      </c>
      <c r="M32" s="117">
        <f>P32+S32</f>
        <v>264798.15000000002</v>
      </c>
      <c r="N32" s="117">
        <v>500000</v>
      </c>
      <c r="O32" s="117">
        <f t="shared" si="10"/>
        <v>170000</v>
      </c>
      <c r="P32" s="117">
        <f t="shared" si="4"/>
        <v>264798.15000000002</v>
      </c>
      <c r="Q32" s="117"/>
      <c r="R32" s="117"/>
      <c r="S32" s="117">
        <f t="shared" si="5"/>
        <v>0</v>
      </c>
      <c r="T32" s="117">
        <f t="shared" si="6"/>
        <v>0</v>
      </c>
      <c r="U32" s="117">
        <f t="shared" si="7"/>
        <v>500000</v>
      </c>
      <c r="V32" s="117">
        <f t="shared" si="8"/>
        <v>500000</v>
      </c>
      <c r="W32" s="543"/>
      <c r="X32" s="117"/>
      <c r="Y32" s="117"/>
      <c r="Z32" s="113"/>
      <c r="AA32" s="113">
        <v>742000</v>
      </c>
      <c r="AB32" s="117"/>
      <c r="AC32" s="117"/>
      <c r="AD32" s="117"/>
      <c r="AE32" s="117"/>
      <c r="AF32" s="117"/>
      <c r="AG32" s="117"/>
      <c r="AH32" s="117"/>
      <c r="AI32" s="117">
        <f>100000-100000</f>
        <v>0</v>
      </c>
      <c r="AJ32" s="117"/>
      <c r="AK32" s="117">
        <f t="shared" si="11"/>
        <v>0</v>
      </c>
      <c r="AL32" s="113"/>
      <c r="AM32" s="566">
        <f t="shared" si="12"/>
        <v>0</v>
      </c>
      <c r="AN32" s="117">
        <f t="shared" si="13"/>
        <v>500000</v>
      </c>
      <c r="AO32" s="117">
        <f t="shared" si="14"/>
        <v>0</v>
      </c>
      <c r="AP32" s="565"/>
      <c r="AQ32" s="565"/>
      <c r="AR32" s="565"/>
      <c r="AS32" s="565"/>
      <c r="AT32" s="117">
        <f t="shared" si="15"/>
        <v>0</v>
      </c>
      <c r="AU32" s="565"/>
      <c r="AV32" s="565"/>
      <c r="AW32" s="565"/>
      <c r="AX32" s="565"/>
      <c r="AY32" s="117">
        <f t="shared" si="16"/>
        <v>500000</v>
      </c>
      <c r="AZ32" s="565"/>
      <c r="BA32" s="565"/>
      <c r="BB32" s="565"/>
      <c r="BC32" s="565"/>
      <c r="AJD32" s="546"/>
    </row>
    <row r="33" spans="1:940" s="567" customFormat="1">
      <c r="A33" s="113">
        <f t="shared" si="0"/>
        <v>26</v>
      </c>
      <c r="B33" s="113">
        <v>1511</v>
      </c>
      <c r="C33" s="568" t="s">
        <v>520</v>
      </c>
      <c r="D33" s="117">
        <v>960000</v>
      </c>
      <c r="E33" s="117">
        <v>960000</v>
      </c>
      <c r="F33" s="117">
        <f t="shared" si="1"/>
        <v>0</v>
      </c>
      <c r="G33" s="117">
        <v>100000</v>
      </c>
      <c r="H33" s="117">
        <v>17284</v>
      </c>
      <c r="I33" s="117"/>
      <c r="J33" s="117"/>
      <c r="K33" s="117">
        <f t="shared" ref="K33:K53" si="18">SUM(I33:J33)</f>
        <v>0</v>
      </c>
      <c r="L33" s="117">
        <f t="shared" si="3"/>
        <v>17284</v>
      </c>
      <c r="M33" s="117">
        <f>P33+S33</f>
        <v>82716</v>
      </c>
      <c r="N33" s="117"/>
      <c r="O33" s="117">
        <f t="shared" si="10"/>
        <v>860000</v>
      </c>
      <c r="P33" s="117">
        <f t="shared" si="4"/>
        <v>82716</v>
      </c>
      <c r="Q33" s="117"/>
      <c r="R33" s="117"/>
      <c r="S33" s="117">
        <f t="shared" ref="S33:S53" si="19">SUM(Q33:R33)</f>
        <v>0</v>
      </c>
      <c r="T33" s="117">
        <f t="shared" si="6"/>
        <v>0</v>
      </c>
      <c r="U33" s="117">
        <f t="shared" si="7"/>
        <v>0</v>
      </c>
      <c r="V33" s="117">
        <f t="shared" si="8"/>
        <v>0</v>
      </c>
      <c r="W33" s="543"/>
      <c r="X33" s="117"/>
      <c r="Y33" s="117"/>
      <c r="Z33" s="113"/>
      <c r="AA33" s="113">
        <v>742000</v>
      </c>
      <c r="AB33" s="117"/>
      <c r="AC33" s="117"/>
      <c r="AD33" s="117"/>
      <c r="AE33" s="117"/>
      <c r="AF33" s="117"/>
      <c r="AG33" s="117"/>
      <c r="AH33" s="117"/>
      <c r="AI33" s="117"/>
      <c r="AJ33" s="117"/>
      <c r="AK33" s="117">
        <f t="shared" si="11"/>
        <v>0</v>
      </c>
      <c r="AL33" s="113"/>
      <c r="AM33" s="566">
        <f t="shared" si="12"/>
        <v>0</v>
      </c>
      <c r="AN33" s="117">
        <f t="shared" si="13"/>
        <v>0</v>
      </c>
      <c r="AO33" s="117">
        <f t="shared" si="14"/>
        <v>0</v>
      </c>
      <c r="AP33" s="565"/>
      <c r="AQ33" s="565"/>
      <c r="AR33" s="565"/>
      <c r="AS33" s="565"/>
      <c r="AT33" s="117">
        <f t="shared" si="15"/>
        <v>0</v>
      </c>
      <c r="AU33" s="565"/>
      <c r="AV33" s="565"/>
      <c r="AW33" s="565"/>
      <c r="AX33" s="565"/>
      <c r="AY33" s="117">
        <f t="shared" si="16"/>
        <v>0</v>
      </c>
      <c r="AZ33" s="565"/>
      <c r="BA33" s="565"/>
      <c r="BB33" s="565"/>
      <c r="BC33" s="565"/>
      <c r="AJD33" s="546"/>
    </row>
    <row r="34" spans="1:940" s="546" customFormat="1">
      <c r="A34" s="113">
        <f t="shared" si="0"/>
        <v>27</v>
      </c>
      <c r="B34" s="113">
        <v>1529</v>
      </c>
      <c r="C34" s="113" t="s">
        <v>61</v>
      </c>
      <c r="D34" s="117">
        <v>350000</v>
      </c>
      <c r="E34" s="117">
        <v>350000</v>
      </c>
      <c r="F34" s="117">
        <f t="shared" si="1"/>
        <v>0</v>
      </c>
      <c r="G34" s="117">
        <v>200000</v>
      </c>
      <c r="H34" s="117">
        <v>183866.55</v>
      </c>
      <c r="I34" s="117"/>
      <c r="J34" s="117"/>
      <c r="K34" s="117">
        <f t="shared" si="18"/>
        <v>0</v>
      </c>
      <c r="L34" s="117">
        <f t="shared" si="3"/>
        <v>183866.55</v>
      </c>
      <c r="M34" s="117">
        <f>P34+S34</f>
        <v>16133.450000000012</v>
      </c>
      <c r="N34" s="117">
        <f>150000-100000</f>
        <v>50000</v>
      </c>
      <c r="O34" s="117">
        <f t="shared" si="10"/>
        <v>100000</v>
      </c>
      <c r="P34" s="117">
        <f t="shared" si="4"/>
        <v>16133.450000000012</v>
      </c>
      <c r="Q34" s="117"/>
      <c r="R34" s="117"/>
      <c r="S34" s="117">
        <f t="shared" si="19"/>
        <v>0</v>
      </c>
      <c r="T34" s="117">
        <f t="shared" si="6"/>
        <v>0</v>
      </c>
      <c r="U34" s="117">
        <f t="shared" si="7"/>
        <v>50000</v>
      </c>
      <c r="V34" s="117">
        <f t="shared" si="8"/>
        <v>50000</v>
      </c>
      <c r="W34" s="543"/>
      <c r="X34" s="117"/>
      <c r="Y34" s="117"/>
      <c r="Z34" s="113"/>
      <c r="AA34" s="113">
        <v>760000</v>
      </c>
      <c r="AB34" s="117"/>
      <c r="AC34" s="117"/>
      <c r="AD34" s="117"/>
      <c r="AE34" s="117"/>
      <c r="AF34" s="117"/>
      <c r="AG34" s="117"/>
      <c r="AH34" s="117"/>
      <c r="AI34" s="117">
        <v>50000</v>
      </c>
      <c r="AJ34" s="117"/>
      <c r="AK34" s="117">
        <f t="shared" si="11"/>
        <v>50000</v>
      </c>
      <c r="AL34" s="113"/>
      <c r="AM34" s="566">
        <f t="shared" si="12"/>
        <v>50000</v>
      </c>
      <c r="AN34" s="117">
        <f t="shared" si="13"/>
        <v>0</v>
      </c>
      <c r="AO34" s="117">
        <f t="shared" si="14"/>
        <v>50000</v>
      </c>
      <c r="AP34" s="565"/>
      <c r="AQ34" s="565"/>
      <c r="AR34" s="565"/>
      <c r="AS34" s="565"/>
      <c r="AT34" s="117">
        <f t="shared" si="15"/>
        <v>0</v>
      </c>
      <c r="AU34" s="565"/>
      <c r="AV34" s="565"/>
      <c r="AW34" s="565"/>
      <c r="AX34" s="565"/>
      <c r="AY34" s="117">
        <f t="shared" si="16"/>
        <v>0</v>
      </c>
      <c r="AZ34" s="565"/>
      <c r="BA34" s="565"/>
      <c r="BB34" s="565"/>
      <c r="BC34" s="565"/>
      <c r="BD34" s="308"/>
      <c r="BE34" s="308"/>
      <c r="BF34" s="308"/>
      <c r="BG34" s="308"/>
      <c r="BH34" s="308"/>
      <c r="BI34" s="308"/>
      <c r="BJ34" s="308"/>
      <c r="BK34" s="308"/>
      <c r="BL34" s="308"/>
      <c r="BM34" s="308"/>
      <c r="BN34" s="308"/>
      <c r="BO34" s="308"/>
      <c r="BP34" s="308"/>
      <c r="BQ34" s="308"/>
      <c r="BR34" s="308"/>
      <c r="BS34" s="308"/>
      <c r="BT34" s="308"/>
      <c r="BU34" s="308"/>
      <c r="BV34" s="308"/>
      <c r="BW34" s="308"/>
      <c r="BX34" s="308"/>
      <c r="BY34" s="308"/>
      <c r="BZ34" s="308"/>
      <c r="CA34" s="308"/>
      <c r="CB34" s="308"/>
      <c r="CC34" s="308"/>
      <c r="CD34" s="308"/>
      <c r="CE34" s="308"/>
      <c r="CF34" s="308"/>
      <c r="CG34" s="308"/>
      <c r="CH34" s="308"/>
      <c r="CI34" s="308"/>
      <c r="CJ34" s="308"/>
      <c r="CK34" s="308"/>
      <c r="CL34" s="308"/>
      <c r="CM34" s="308"/>
      <c r="CN34" s="308"/>
      <c r="CO34" s="308"/>
      <c r="CP34" s="308"/>
      <c r="CQ34" s="308"/>
      <c r="CR34" s="308"/>
      <c r="CS34" s="308"/>
      <c r="CT34" s="308"/>
      <c r="CU34" s="308"/>
      <c r="CV34" s="308"/>
      <c r="CW34" s="308"/>
      <c r="CX34" s="308"/>
      <c r="CY34" s="308"/>
      <c r="CZ34" s="308"/>
      <c r="DA34" s="308"/>
      <c r="DB34" s="308"/>
      <c r="DC34" s="308"/>
      <c r="DD34" s="308"/>
      <c r="DE34" s="308"/>
      <c r="DF34" s="308"/>
      <c r="DG34" s="308"/>
      <c r="DH34" s="308"/>
      <c r="DI34" s="308"/>
      <c r="DJ34" s="308"/>
      <c r="DK34" s="308"/>
      <c r="DL34" s="308"/>
      <c r="DM34" s="308"/>
      <c r="DN34" s="308"/>
      <c r="DO34" s="308"/>
      <c r="DP34" s="308"/>
      <c r="DQ34" s="308"/>
      <c r="DR34" s="308"/>
      <c r="DS34" s="308"/>
      <c r="DT34" s="308"/>
      <c r="DU34" s="308"/>
      <c r="DV34" s="308"/>
      <c r="DW34" s="308"/>
      <c r="DX34" s="308"/>
      <c r="DY34" s="308"/>
      <c r="DZ34" s="308"/>
      <c r="EA34" s="308"/>
      <c r="EB34" s="308"/>
      <c r="EC34" s="308"/>
      <c r="ED34" s="308"/>
      <c r="EE34" s="308"/>
      <c r="EF34" s="308"/>
      <c r="EG34" s="308"/>
      <c r="EH34" s="308"/>
      <c r="EI34" s="308"/>
      <c r="EJ34" s="308"/>
      <c r="EK34" s="308"/>
      <c r="EL34" s="308"/>
      <c r="EM34" s="308"/>
      <c r="EN34" s="308"/>
      <c r="EO34" s="308"/>
      <c r="EP34" s="308"/>
      <c r="EQ34" s="308"/>
      <c r="ER34" s="308"/>
      <c r="ES34" s="308"/>
      <c r="ET34" s="308"/>
      <c r="EU34" s="308"/>
      <c r="EV34" s="308"/>
      <c r="EW34" s="308"/>
      <c r="EX34" s="308"/>
      <c r="EY34" s="308"/>
      <c r="EZ34" s="308"/>
      <c r="FA34" s="308"/>
      <c r="FB34" s="308"/>
      <c r="FC34" s="308"/>
      <c r="FD34" s="308"/>
      <c r="FE34" s="308"/>
      <c r="FF34" s="308"/>
      <c r="FG34" s="308"/>
      <c r="FH34" s="308"/>
      <c r="FI34" s="308"/>
      <c r="FJ34" s="308"/>
      <c r="FK34" s="308"/>
      <c r="FL34" s="308"/>
      <c r="FM34" s="308"/>
      <c r="FN34" s="308"/>
      <c r="FO34" s="308"/>
      <c r="FP34" s="308"/>
      <c r="FQ34" s="308"/>
      <c r="FR34" s="308"/>
      <c r="FS34" s="308"/>
      <c r="FT34" s="308"/>
      <c r="FU34" s="308"/>
      <c r="FV34" s="308"/>
      <c r="FW34" s="308"/>
      <c r="FX34" s="308"/>
      <c r="FY34" s="308"/>
      <c r="FZ34" s="308"/>
      <c r="GA34" s="308"/>
      <c r="GB34" s="308"/>
      <c r="GC34" s="308"/>
      <c r="GD34" s="308"/>
      <c r="GE34" s="308"/>
      <c r="GF34" s="308"/>
      <c r="GG34" s="308"/>
      <c r="GH34" s="308"/>
      <c r="GI34" s="308"/>
      <c r="GJ34" s="308"/>
      <c r="GK34" s="308"/>
      <c r="GL34" s="308"/>
      <c r="GM34" s="308"/>
      <c r="GN34" s="308"/>
      <c r="GO34" s="308"/>
      <c r="GP34" s="308"/>
      <c r="GQ34" s="308"/>
      <c r="GR34" s="308"/>
      <c r="GS34" s="308"/>
      <c r="GT34" s="308"/>
      <c r="GU34" s="308"/>
      <c r="GV34" s="308"/>
      <c r="GW34" s="308"/>
      <c r="GX34" s="308"/>
      <c r="GY34" s="308"/>
      <c r="GZ34" s="308"/>
      <c r="HA34" s="308"/>
      <c r="HB34" s="308"/>
      <c r="HC34" s="308"/>
      <c r="HD34" s="308"/>
      <c r="HE34" s="308"/>
      <c r="HF34" s="308"/>
      <c r="HG34" s="308"/>
      <c r="HH34" s="308"/>
      <c r="HI34" s="308"/>
      <c r="HJ34" s="308"/>
      <c r="HK34" s="308"/>
      <c r="HL34" s="308"/>
      <c r="HM34" s="308"/>
      <c r="HN34" s="308"/>
      <c r="HO34" s="308"/>
      <c r="HP34" s="308"/>
      <c r="HQ34" s="308"/>
      <c r="HR34" s="308"/>
      <c r="HS34" s="308"/>
      <c r="HT34" s="308"/>
      <c r="HU34" s="308"/>
      <c r="HV34" s="308"/>
      <c r="HW34" s="308"/>
      <c r="HX34" s="308"/>
      <c r="HY34" s="308"/>
      <c r="HZ34" s="308"/>
      <c r="IA34" s="308"/>
      <c r="IB34" s="308"/>
      <c r="IC34" s="308"/>
      <c r="ID34" s="308"/>
      <c r="IE34" s="308"/>
      <c r="IF34" s="308"/>
      <c r="IG34" s="308"/>
      <c r="IH34" s="308"/>
      <c r="II34" s="308"/>
      <c r="IJ34" s="308"/>
      <c r="IK34" s="308"/>
      <c r="IL34" s="308"/>
      <c r="IM34" s="308"/>
      <c r="IN34" s="308"/>
      <c r="IO34" s="308"/>
      <c r="IP34" s="308"/>
      <c r="IQ34" s="308"/>
      <c r="IR34" s="308"/>
      <c r="IS34" s="308"/>
      <c r="IT34" s="308"/>
      <c r="IU34" s="308"/>
      <c r="IV34" s="308"/>
      <c r="IW34" s="308"/>
      <c r="IX34" s="308"/>
      <c r="IY34" s="308"/>
      <c r="IZ34" s="308"/>
      <c r="JA34" s="308"/>
      <c r="JB34" s="308"/>
      <c r="JC34" s="308"/>
      <c r="JD34" s="308"/>
      <c r="JE34" s="308"/>
      <c r="JF34" s="308"/>
      <c r="JG34" s="308"/>
      <c r="JH34" s="308"/>
      <c r="JI34" s="308"/>
      <c r="JJ34" s="308"/>
      <c r="JK34" s="308"/>
      <c r="JL34" s="308"/>
      <c r="JM34" s="308"/>
      <c r="JN34" s="308"/>
      <c r="JO34" s="308"/>
      <c r="JP34" s="308"/>
      <c r="JQ34" s="308"/>
      <c r="JR34" s="308"/>
      <c r="JS34" s="308"/>
      <c r="JT34" s="308"/>
      <c r="JU34" s="308"/>
      <c r="JV34" s="308"/>
      <c r="JW34" s="308"/>
      <c r="JX34" s="308"/>
      <c r="JY34" s="308"/>
      <c r="JZ34" s="308"/>
      <c r="KA34" s="308"/>
      <c r="KB34" s="308"/>
      <c r="KC34" s="308"/>
      <c r="KD34" s="308"/>
      <c r="KE34" s="308"/>
      <c r="KF34" s="308"/>
      <c r="KG34" s="308"/>
      <c r="KH34" s="308"/>
      <c r="KI34" s="308"/>
      <c r="KJ34" s="308"/>
      <c r="KK34" s="308"/>
      <c r="KL34" s="308"/>
      <c r="KM34" s="308"/>
      <c r="KN34" s="308"/>
      <c r="KO34" s="308"/>
      <c r="KP34" s="308"/>
      <c r="KQ34" s="308"/>
      <c r="KR34" s="308"/>
      <c r="KS34" s="308"/>
      <c r="KT34" s="308"/>
      <c r="KU34" s="308"/>
      <c r="KV34" s="308"/>
      <c r="KW34" s="308"/>
      <c r="KX34" s="308"/>
      <c r="KY34" s="308"/>
      <c r="KZ34" s="308"/>
      <c r="LA34" s="308"/>
      <c r="LB34" s="308"/>
      <c r="LC34" s="308"/>
      <c r="LD34" s="308"/>
      <c r="LE34" s="308"/>
      <c r="LF34" s="308"/>
      <c r="LG34" s="308"/>
      <c r="LH34" s="308"/>
      <c r="LI34" s="308"/>
      <c r="LJ34" s="308"/>
      <c r="LK34" s="308"/>
      <c r="LL34" s="308"/>
      <c r="LM34" s="308"/>
      <c r="LN34" s="308"/>
      <c r="LO34" s="308"/>
      <c r="LP34" s="308"/>
      <c r="LQ34" s="308"/>
      <c r="LR34" s="308"/>
      <c r="LS34" s="308"/>
      <c r="LT34" s="308"/>
      <c r="LU34" s="308"/>
      <c r="LV34" s="308"/>
      <c r="LW34" s="308"/>
      <c r="LX34" s="308"/>
      <c r="LY34" s="308"/>
      <c r="LZ34" s="308"/>
      <c r="MA34" s="308"/>
      <c r="MB34" s="308"/>
      <c r="MC34" s="308"/>
      <c r="MD34" s="308"/>
      <c r="ME34" s="308"/>
      <c r="MF34" s="308"/>
      <c r="MG34" s="308"/>
      <c r="MH34" s="308"/>
      <c r="MI34" s="308"/>
      <c r="MJ34" s="308"/>
      <c r="MK34" s="308"/>
      <c r="ML34" s="308"/>
      <c r="MM34" s="308"/>
      <c r="MN34" s="308"/>
      <c r="MO34" s="308"/>
      <c r="MP34" s="308"/>
      <c r="MQ34" s="308"/>
      <c r="MR34" s="308"/>
      <c r="MS34" s="308"/>
      <c r="MT34" s="308"/>
      <c r="MU34" s="308"/>
      <c r="MV34" s="308"/>
      <c r="MW34" s="308"/>
      <c r="MX34" s="308"/>
      <c r="MY34" s="308"/>
      <c r="MZ34" s="308"/>
      <c r="NA34" s="308"/>
      <c r="NB34" s="308"/>
      <c r="NC34" s="308"/>
      <c r="ND34" s="308"/>
      <c r="NE34" s="308"/>
      <c r="NF34" s="308"/>
      <c r="NG34" s="308"/>
      <c r="NH34" s="308"/>
      <c r="NI34" s="308"/>
      <c r="NJ34" s="308"/>
      <c r="NK34" s="308"/>
      <c r="NL34" s="308"/>
      <c r="NM34" s="308"/>
      <c r="NN34" s="308"/>
      <c r="NO34" s="308"/>
      <c r="NP34" s="308"/>
      <c r="NQ34" s="308"/>
      <c r="NR34" s="308"/>
      <c r="NS34" s="308"/>
      <c r="NT34" s="308"/>
      <c r="NU34" s="308"/>
      <c r="NV34" s="308"/>
      <c r="NW34" s="308"/>
      <c r="NX34" s="308"/>
      <c r="NY34" s="308"/>
      <c r="NZ34" s="308"/>
      <c r="OA34" s="308"/>
      <c r="OB34" s="308"/>
      <c r="OC34" s="308"/>
      <c r="OD34" s="308"/>
      <c r="OE34" s="308"/>
      <c r="OF34" s="308"/>
      <c r="OG34" s="308"/>
      <c r="OH34" s="308"/>
      <c r="OI34" s="308"/>
      <c r="OJ34" s="308"/>
      <c r="OK34" s="308"/>
      <c r="OL34" s="308"/>
      <c r="OM34" s="308"/>
      <c r="ON34" s="308"/>
      <c r="OO34" s="308"/>
      <c r="OP34" s="308"/>
      <c r="OQ34" s="308"/>
      <c r="OR34" s="308"/>
      <c r="OS34" s="308"/>
      <c r="OT34" s="308"/>
      <c r="OU34" s="308"/>
      <c r="OV34" s="308"/>
      <c r="OW34" s="308"/>
      <c r="OX34" s="308"/>
      <c r="OY34" s="308"/>
      <c r="OZ34" s="308"/>
      <c r="PA34" s="308"/>
      <c r="PB34" s="308"/>
      <c r="PC34" s="308"/>
      <c r="PD34" s="308"/>
      <c r="PE34" s="308"/>
      <c r="PF34" s="308"/>
      <c r="PG34" s="308"/>
      <c r="PH34" s="308"/>
      <c r="PI34" s="308"/>
      <c r="PJ34" s="308"/>
      <c r="PK34" s="308"/>
      <c r="PL34" s="308"/>
      <c r="PM34" s="308"/>
      <c r="PN34" s="308"/>
      <c r="PO34" s="308"/>
      <c r="PP34" s="308"/>
      <c r="PQ34" s="308"/>
      <c r="PR34" s="308"/>
      <c r="PS34" s="308"/>
      <c r="PT34" s="308"/>
      <c r="PU34" s="308"/>
      <c r="PV34" s="308"/>
      <c r="PW34" s="308"/>
      <c r="PX34" s="308"/>
      <c r="PY34" s="308"/>
      <c r="PZ34" s="308"/>
      <c r="QA34" s="308"/>
      <c r="QB34" s="308"/>
      <c r="QC34" s="308"/>
      <c r="QD34" s="308"/>
      <c r="QE34" s="308"/>
      <c r="QF34" s="308"/>
      <c r="QG34" s="308"/>
      <c r="QH34" s="308"/>
      <c r="QI34" s="308"/>
      <c r="QJ34" s="308"/>
      <c r="QK34" s="308"/>
      <c r="QL34" s="308"/>
      <c r="QM34" s="308"/>
      <c r="QN34" s="308"/>
      <c r="QO34" s="308"/>
      <c r="QP34" s="308"/>
      <c r="QQ34" s="308"/>
      <c r="QR34" s="308"/>
      <c r="QS34" s="308"/>
      <c r="QT34" s="308"/>
      <c r="QU34" s="308"/>
      <c r="QV34" s="308"/>
      <c r="QW34" s="308"/>
      <c r="QX34" s="308"/>
      <c r="QY34" s="308"/>
      <c r="QZ34" s="308"/>
      <c r="RA34" s="308"/>
      <c r="RB34" s="308"/>
      <c r="RC34" s="308"/>
      <c r="RD34" s="308"/>
      <c r="RE34" s="308"/>
      <c r="RF34" s="308"/>
      <c r="RG34" s="308"/>
      <c r="RH34" s="308"/>
      <c r="RI34" s="308"/>
      <c r="RJ34" s="308"/>
      <c r="RK34" s="308"/>
      <c r="RL34" s="308"/>
      <c r="RM34" s="308"/>
      <c r="RN34" s="308"/>
      <c r="RO34" s="308"/>
      <c r="RP34" s="308"/>
      <c r="RQ34" s="308"/>
      <c r="RR34" s="308"/>
      <c r="RS34" s="308"/>
      <c r="RT34" s="308"/>
      <c r="RU34" s="308"/>
      <c r="RV34" s="308"/>
      <c r="RW34" s="308"/>
      <c r="RX34" s="308"/>
      <c r="RY34" s="308"/>
      <c r="RZ34" s="308"/>
      <c r="SA34" s="308"/>
      <c r="SB34" s="308"/>
      <c r="SC34" s="308"/>
      <c r="SD34" s="308"/>
      <c r="SE34" s="308"/>
      <c r="SF34" s="308"/>
      <c r="SG34" s="308"/>
      <c r="SH34" s="308"/>
      <c r="SI34" s="308"/>
      <c r="SJ34" s="308"/>
      <c r="SK34" s="308"/>
      <c r="SL34" s="308"/>
      <c r="SM34" s="308"/>
      <c r="SN34" s="308"/>
      <c r="SO34" s="308"/>
      <c r="SP34" s="308"/>
      <c r="SQ34" s="308"/>
      <c r="SR34" s="308"/>
      <c r="SS34" s="308"/>
      <c r="ST34" s="308"/>
      <c r="SU34" s="308"/>
      <c r="SV34" s="308"/>
      <c r="SW34" s="308"/>
      <c r="SX34" s="308"/>
      <c r="SY34" s="308"/>
      <c r="SZ34" s="308"/>
      <c r="TA34" s="308"/>
      <c r="TB34" s="308"/>
      <c r="TC34" s="308"/>
      <c r="TD34" s="308"/>
      <c r="TE34" s="308"/>
      <c r="TF34" s="308"/>
      <c r="TG34" s="308"/>
      <c r="TH34" s="308"/>
      <c r="TI34" s="308"/>
      <c r="TJ34" s="308"/>
      <c r="TK34" s="308"/>
      <c r="TL34" s="308"/>
      <c r="TM34" s="308"/>
      <c r="TN34" s="308"/>
      <c r="TO34" s="308"/>
      <c r="TP34" s="308"/>
      <c r="TQ34" s="308"/>
      <c r="TR34" s="308"/>
      <c r="TS34" s="308"/>
      <c r="TT34" s="308"/>
      <c r="TU34" s="308"/>
      <c r="TV34" s="308"/>
      <c r="TW34" s="308"/>
      <c r="TX34" s="308"/>
      <c r="TY34" s="308"/>
      <c r="TZ34" s="308"/>
      <c r="UA34" s="308"/>
      <c r="UB34" s="308"/>
      <c r="UC34" s="308"/>
      <c r="UD34" s="308"/>
      <c r="UE34" s="308"/>
      <c r="UF34" s="308"/>
      <c r="UG34" s="308"/>
      <c r="UH34" s="308"/>
      <c r="UI34" s="308"/>
      <c r="UJ34" s="308"/>
      <c r="UK34" s="308"/>
      <c r="UL34" s="308"/>
      <c r="UM34" s="308"/>
      <c r="UN34" s="308"/>
      <c r="UO34" s="308"/>
      <c r="UP34" s="308"/>
      <c r="UQ34" s="308"/>
      <c r="UR34" s="308"/>
      <c r="US34" s="308"/>
      <c r="UT34" s="308"/>
      <c r="UU34" s="308"/>
      <c r="UV34" s="308"/>
      <c r="UW34" s="308"/>
      <c r="UX34" s="308"/>
      <c r="UY34" s="308"/>
      <c r="UZ34" s="308"/>
      <c r="VA34" s="308"/>
      <c r="VB34" s="308"/>
      <c r="VC34" s="308"/>
      <c r="VD34" s="308"/>
      <c r="VE34" s="308"/>
      <c r="VF34" s="308"/>
      <c r="VG34" s="308"/>
      <c r="VH34" s="308"/>
      <c r="VI34" s="308"/>
      <c r="VJ34" s="308"/>
      <c r="VK34" s="308"/>
      <c r="VL34" s="308"/>
      <c r="VM34" s="308"/>
      <c r="VN34" s="308"/>
      <c r="VO34" s="308"/>
      <c r="VP34" s="308"/>
      <c r="VQ34" s="308"/>
      <c r="VR34" s="308"/>
      <c r="VS34" s="308"/>
      <c r="VT34" s="308"/>
      <c r="VU34" s="308"/>
      <c r="VV34" s="308"/>
      <c r="VW34" s="308"/>
      <c r="VX34" s="308"/>
      <c r="VY34" s="308"/>
      <c r="VZ34" s="308"/>
      <c r="WA34" s="308"/>
      <c r="WB34" s="308"/>
      <c r="WC34" s="308"/>
      <c r="WD34" s="308"/>
      <c r="WE34" s="308"/>
      <c r="WF34" s="308"/>
      <c r="WG34" s="308"/>
      <c r="WH34" s="308"/>
      <c r="WI34" s="308"/>
      <c r="WJ34" s="308"/>
      <c r="WK34" s="308"/>
      <c r="WL34" s="308"/>
      <c r="WM34" s="308"/>
      <c r="WN34" s="308"/>
      <c r="WO34" s="308"/>
      <c r="WP34" s="308"/>
      <c r="WQ34" s="308"/>
      <c r="WR34" s="308"/>
      <c r="WS34" s="308"/>
      <c r="WT34" s="308"/>
      <c r="WU34" s="308"/>
      <c r="WV34" s="308"/>
      <c r="WW34" s="308"/>
      <c r="WX34" s="308"/>
      <c r="WY34" s="308"/>
      <c r="WZ34" s="308"/>
      <c r="XA34" s="308"/>
      <c r="XB34" s="308"/>
      <c r="XC34" s="308"/>
      <c r="XD34" s="308"/>
      <c r="XE34" s="308"/>
      <c r="XF34" s="308"/>
      <c r="XG34" s="308"/>
      <c r="XH34" s="308"/>
      <c r="XI34" s="308"/>
      <c r="XJ34" s="308"/>
      <c r="XK34" s="308"/>
      <c r="XL34" s="308"/>
      <c r="XM34" s="308"/>
      <c r="XN34" s="308"/>
      <c r="XO34" s="308"/>
      <c r="XP34" s="308"/>
      <c r="XQ34" s="308"/>
      <c r="XR34" s="308"/>
      <c r="XS34" s="308"/>
      <c r="XT34" s="308"/>
      <c r="XU34" s="308"/>
      <c r="XV34" s="308"/>
      <c r="XW34" s="308"/>
      <c r="XX34" s="308"/>
      <c r="XY34" s="308"/>
      <c r="XZ34" s="308"/>
      <c r="YA34" s="308"/>
      <c r="YB34" s="308"/>
      <c r="YC34" s="308"/>
      <c r="YD34" s="308"/>
      <c r="YE34" s="308"/>
      <c r="YF34" s="308"/>
      <c r="YG34" s="308"/>
      <c r="YH34" s="308"/>
      <c r="YI34" s="308"/>
      <c r="YJ34" s="308"/>
      <c r="YK34" s="308"/>
      <c r="YL34" s="308"/>
      <c r="YM34" s="308"/>
      <c r="YN34" s="308"/>
      <c r="YO34" s="308"/>
      <c r="YP34" s="308"/>
      <c r="YQ34" s="308"/>
      <c r="YR34" s="308"/>
      <c r="YS34" s="308"/>
      <c r="YT34" s="308"/>
      <c r="YU34" s="308"/>
      <c r="YV34" s="308"/>
      <c r="YW34" s="308"/>
      <c r="YX34" s="308"/>
      <c r="YY34" s="308"/>
      <c r="YZ34" s="308"/>
      <c r="ZA34" s="308"/>
      <c r="ZB34" s="308"/>
      <c r="ZC34" s="308"/>
      <c r="ZD34" s="308"/>
      <c r="ZE34" s="308"/>
      <c r="ZF34" s="308"/>
      <c r="ZG34" s="308"/>
      <c r="ZH34" s="308"/>
      <c r="ZI34" s="308"/>
      <c r="ZJ34" s="308"/>
      <c r="ZK34" s="308"/>
      <c r="ZL34" s="308"/>
      <c r="ZM34" s="308"/>
      <c r="ZN34" s="308"/>
      <c r="ZO34" s="308"/>
      <c r="ZP34" s="308"/>
      <c r="ZQ34" s="308"/>
      <c r="ZR34" s="308"/>
      <c r="ZS34" s="308"/>
      <c r="ZT34" s="308"/>
      <c r="ZU34" s="308"/>
      <c r="ZV34" s="308"/>
      <c r="ZW34" s="308"/>
      <c r="ZX34" s="308"/>
      <c r="ZY34" s="308"/>
      <c r="ZZ34" s="308"/>
      <c r="AAA34" s="308"/>
      <c r="AAB34" s="308"/>
      <c r="AAC34" s="308"/>
      <c r="AAD34" s="308"/>
      <c r="AAE34" s="308"/>
      <c r="AAF34" s="308"/>
      <c r="AAG34" s="308"/>
      <c r="AAH34" s="308"/>
      <c r="AAI34" s="308"/>
      <c r="AAJ34" s="308"/>
      <c r="AAK34" s="308"/>
      <c r="AAL34" s="308"/>
      <c r="AAM34" s="308"/>
      <c r="AAN34" s="308"/>
      <c r="AAO34" s="308"/>
      <c r="AAP34" s="308"/>
      <c r="AAQ34" s="308"/>
      <c r="AAR34" s="308"/>
      <c r="AAS34" s="308"/>
      <c r="AAT34" s="308"/>
      <c r="AAU34" s="308"/>
      <c r="AAV34" s="308"/>
      <c r="AAW34" s="308"/>
      <c r="AAX34" s="308"/>
      <c r="AAY34" s="308"/>
      <c r="AAZ34" s="308"/>
      <c r="ABA34" s="308"/>
      <c r="ABB34" s="308"/>
      <c r="ABC34" s="308"/>
      <c r="ABD34" s="308"/>
      <c r="ABE34" s="308"/>
      <c r="ABF34" s="308"/>
      <c r="ABG34" s="308"/>
      <c r="ABH34" s="308"/>
      <c r="ABI34" s="308"/>
      <c r="ABJ34" s="308"/>
      <c r="ABK34" s="308"/>
      <c r="ABL34" s="308"/>
      <c r="ABM34" s="308"/>
      <c r="ABN34" s="308"/>
      <c r="ABO34" s="308"/>
      <c r="ABP34" s="308"/>
      <c r="ABQ34" s="308"/>
      <c r="ABR34" s="308"/>
      <c r="ABS34" s="308"/>
      <c r="ABT34" s="308"/>
      <c r="ABU34" s="308"/>
      <c r="ABV34" s="308"/>
      <c r="ABW34" s="308"/>
      <c r="ABX34" s="308"/>
      <c r="ABY34" s="308"/>
      <c r="ABZ34" s="308"/>
      <c r="ACA34" s="308"/>
      <c r="ACB34" s="308"/>
      <c r="ACC34" s="308"/>
      <c r="ACD34" s="308"/>
      <c r="ACE34" s="308"/>
      <c r="ACF34" s="308"/>
      <c r="ACG34" s="308"/>
      <c r="ACH34" s="308"/>
      <c r="ACI34" s="308"/>
      <c r="ACJ34" s="308"/>
      <c r="ACK34" s="308"/>
      <c r="ACL34" s="308"/>
      <c r="ACM34" s="308"/>
      <c r="ACN34" s="308"/>
      <c r="ACO34" s="308"/>
      <c r="ACP34" s="308"/>
      <c r="ACQ34" s="308"/>
      <c r="ACR34" s="308"/>
      <c r="ACS34" s="308"/>
      <c r="ACT34" s="308"/>
      <c r="ACU34" s="308"/>
      <c r="ACV34" s="308"/>
      <c r="ACW34" s="308"/>
      <c r="ACX34" s="308"/>
      <c r="ACY34" s="308"/>
      <c r="ACZ34" s="308"/>
      <c r="ADA34" s="308"/>
      <c r="ADB34" s="308"/>
      <c r="ADC34" s="308"/>
      <c r="ADD34" s="308"/>
      <c r="ADE34" s="308"/>
      <c r="ADF34" s="308"/>
      <c r="ADG34" s="308"/>
      <c r="ADH34" s="308"/>
      <c r="ADI34" s="308"/>
      <c r="ADJ34" s="308"/>
      <c r="ADK34" s="308"/>
      <c r="ADL34" s="308"/>
      <c r="ADM34" s="308"/>
      <c r="ADN34" s="308"/>
      <c r="ADO34" s="308"/>
      <c r="ADP34" s="308"/>
      <c r="ADQ34" s="308"/>
      <c r="ADR34" s="308"/>
      <c r="ADS34" s="308"/>
      <c r="ADT34" s="308"/>
      <c r="ADU34" s="308"/>
      <c r="ADV34" s="308"/>
      <c r="ADW34" s="308"/>
      <c r="ADX34" s="308"/>
      <c r="ADY34" s="308"/>
      <c r="ADZ34" s="308"/>
      <c r="AEA34" s="308"/>
      <c r="AEB34" s="308"/>
      <c r="AEC34" s="308"/>
      <c r="AED34" s="308"/>
      <c r="AEE34" s="308"/>
      <c r="AEF34" s="308"/>
      <c r="AEG34" s="308"/>
      <c r="AEH34" s="308"/>
      <c r="AEI34" s="308"/>
      <c r="AEJ34" s="308"/>
      <c r="AEK34" s="308"/>
      <c r="AEL34" s="308"/>
      <c r="AEM34" s="308"/>
      <c r="AEN34" s="308"/>
      <c r="AEO34" s="308"/>
      <c r="AEP34" s="308"/>
      <c r="AEQ34" s="308"/>
      <c r="AER34" s="308"/>
      <c r="AES34" s="308"/>
      <c r="AET34" s="308"/>
      <c r="AEU34" s="308"/>
      <c r="AEV34" s="308"/>
      <c r="AEW34" s="308"/>
      <c r="AEX34" s="308"/>
      <c r="AEY34" s="308"/>
      <c r="AEZ34" s="308"/>
      <c r="AFA34" s="308"/>
      <c r="AFB34" s="308"/>
      <c r="AFC34" s="308"/>
      <c r="AFD34" s="308"/>
      <c r="AFE34" s="308"/>
      <c r="AFF34" s="308"/>
      <c r="AFG34" s="308"/>
      <c r="AFH34" s="308"/>
      <c r="AFI34" s="308"/>
      <c r="AFJ34" s="308"/>
      <c r="AFK34" s="308"/>
      <c r="AFL34" s="308"/>
      <c r="AFM34" s="308"/>
      <c r="AFN34" s="308"/>
      <c r="AFO34" s="308"/>
      <c r="AFP34" s="308"/>
      <c r="AFQ34" s="308"/>
      <c r="AFR34" s="308"/>
      <c r="AFS34" s="308"/>
      <c r="AFT34" s="308"/>
      <c r="AFU34" s="308"/>
      <c r="AFV34" s="308"/>
      <c r="AFW34" s="308"/>
      <c r="AFX34" s="308"/>
      <c r="AFY34" s="308"/>
      <c r="AFZ34" s="308"/>
      <c r="AGA34" s="308"/>
      <c r="AGB34" s="308"/>
      <c r="AGC34" s="308"/>
      <c r="AGD34" s="308"/>
      <c r="AGE34" s="308"/>
      <c r="AGF34" s="308"/>
      <c r="AGG34" s="308"/>
      <c r="AGH34" s="308"/>
      <c r="AGI34" s="308"/>
      <c r="AGJ34" s="308"/>
      <c r="AGK34" s="308"/>
      <c r="AGL34" s="308"/>
      <c r="AGM34" s="308"/>
      <c r="AGN34" s="308"/>
      <c r="AGO34" s="308"/>
      <c r="AGP34" s="308"/>
      <c r="AGQ34" s="308"/>
      <c r="AGR34" s="308"/>
      <c r="AGS34" s="308"/>
      <c r="AGT34" s="308"/>
      <c r="AGU34" s="308"/>
      <c r="AGV34" s="308"/>
      <c r="AGW34" s="308"/>
      <c r="AGX34" s="308"/>
      <c r="AGY34" s="308"/>
      <c r="AGZ34" s="308"/>
      <c r="AHA34" s="308"/>
      <c r="AHB34" s="308"/>
      <c r="AHC34" s="308"/>
      <c r="AHD34" s="308"/>
      <c r="AHE34" s="308"/>
      <c r="AHF34" s="308"/>
      <c r="AHG34" s="308"/>
      <c r="AHH34" s="308"/>
      <c r="AHI34" s="308"/>
      <c r="AHJ34" s="308"/>
      <c r="AHK34" s="308"/>
      <c r="AHL34" s="308"/>
      <c r="AHM34" s="308"/>
      <c r="AHN34" s="308"/>
      <c r="AHO34" s="308"/>
      <c r="AHP34" s="308"/>
      <c r="AHQ34" s="308"/>
      <c r="AHR34" s="308"/>
      <c r="AHS34" s="308"/>
      <c r="AHT34" s="308"/>
      <c r="AHU34" s="308"/>
      <c r="AHV34" s="308"/>
      <c r="AHW34" s="308"/>
      <c r="AHX34" s="308"/>
      <c r="AHY34" s="308"/>
      <c r="AHZ34" s="308"/>
      <c r="AIA34" s="308"/>
      <c r="AIB34" s="308"/>
      <c r="AIC34" s="308"/>
      <c r="AID34" s="308"/>
      <c r="AIE34" s="308"/>
      <c r="AIF34" s="308"/>
      <c r="AIG34" s="308"/>
      <c r="AIH34" s="308"/>
      <c r="AII34" s="308"/>
      <c r="AIJ34" s="308"/>
      <c r="AIK34" s="308"/>
      <c r="AIL34" s="308"/>
      <c r="AIM34" s="308"/>
      <c r="AIN34" s="308"/>
      <c r="AIO34" s="308"/>
      <c r="AIP34" s="308"/>
      <c r="AIQ34" s="308"/>
      <c r="AIR34" s="308"/>
      <c r="AIS34" s="308"/>
      <c r="AIT34" s="308"/>
      <c r="AIU34" s="308"/>
      <c r="AIV34" s="308"/>
      <c r="AIW34" s="308"/>
      <c r="AIX34" s="308"/>
      <c r="AIY34" s="308"/>
      <c r="AIZ34" s="308"/>
      <c r="AJA34" s="308"/>
      <c r="AJB34" s="308"/>
      <c r="AJC34" s="308"/>
    </row>
    <row r="35" spans="1:940" s="546" customFormat="1">
      <c r="A35" s="113">
        <f t="shared" si="0"/>
        <v>28</v>
      </c>
      <c r="B35" s="113">
        <v>1568</v>
      </c>
      <c r="C35" s="113" t="s">
        <v>62</v>
      </c>
      <c r="D35" s="117">
        <v>46375301</v>
      </c>
      <c r="E35" s="117">
        <v>46375301</v>
      </c>
      <c r="F35" s="117">
        <f t="shared" si="1"/>
        <v>0</v>
      </c>
      <c r="G35" s="117">
        <v>28875301</v>
      </c>
      <c r="H35" s="117">
        <v>27758685.309999999</v>
      </c>
      <c r="I35" s="117">
        <v>822126.24</v>
      </c>
      <c r="J35" s="117">
        <v>104522.48</v>
      </c>
      <c r="K35" s="117">
        <f t="shared" si="18"/>
        <v>926648.72</v>
      </c>
      <c r="L35" s="117">
        <f t="shared" si="3"/>
        <v>28685334.029999997</v>
      </c>
      <c r="M35" s="117">
        <f>P35+S35</f>
        <v>189966.97000000253</v>
      </c>
      <c r="N35" s="117">
        <f>17500000-17500000</f>
        <v>0</v>
      </c>
      <c r="O35" s="117">
        <f t="shared" si="10"/>
        <v>17500000</v>
      </c>
      <c r="P35" s="117">
        <f t="shared" si="4"/>
        <v>189966.97000000253</v>
      </c>
      <c r="Q35" s="117"/>
      <c r="R35" s="117"/>
      <c r="S35" s="117">
        <f t="shared" si="19"/>
        <v>0</v>
      </c>
      <c r="T35" s="117">
        <f t="shared" si="6"/>
        <v>0</v>
      </c>
      <c r="U35" s="117">
        <f t="shared" si="7"/>
        <v>0</v>
      </c>
      <c r="V35" s="117">
        <f t="shared" si="8"/>
        <v>0</v>
      </c>
      <c r="W35" s="543"/>
      <c r="X35" s="117"/>
      <c r="Y35" s="117"/>
      <c r="Z35" s="113"/>
      <c r="AA35" s="113">
        <v>746000</v>
      </c>
      <c r="AB35" s="117"/>
      <c r="AC35" s="117"/>
      <c r="AD35" s="117"/>
      <c r="AE35" s="117"/>
      <c r="AF35" s="117"/>
      <c r="AG35" s="117"/>
      <c r="AH35" s="117"/>
      <c r="AI35" s="117"/>
      <c r="AJ35" s="117"/>
      <c r="AK35" s="117">
        <f t="shared" si="11"/>
        <v>0</v>
      </c>
      <c r="AL35" s="113"/>
      <c r="AM35" s="566">
        <f t="shared" si="12"/>
        <v>0</v>
      </c>
      <c r="AN35" s="117">
        <f t="shared" si="13"/>
        <v>0</v>
      </c>
      <c r="AO35" s="117">
        <f t="shared" si="14"/>
        <v>0</v>
      </c>
      <c r="AP35" s="565"/>
      <c r="AQ35" s="565"/>
      <c r="AR35" s="565"/>
      <c r="AS35" s="565"/>
      <c r="AT35" s="117">
        <f t="shared" si="15"/>
        <v>0</v>
      </c>
      <c r="AU35" s="565"/>
      <c r="AV35" s="565"/>
      <c r="AW35" s="565"/>
      <c r="AX35" s="565"/>
      <c r="AY35" s="117">
        <f t="shared" si="16"/>
        <v>0</v>
      </c>
      <c r="AZ35" s="565"/>
      <c r="BA35" s="565"/>
      <c r="BB35" s="565"/>
      <c r="BC35" s="565"/>
      <c r="BD35" s="308"/>
      <c r="BE35" s="308"/>
      <c r="BF35" s="308"/>
      <c r="BG35" s="308"/>
      <c r="BH35" s="308"/>
      <c r="BI35" s="308"/>
      <c r="BJ35" s="308"/>
      <c r="BK35" s="308"/>
      <c r="BL35" s="308"/>
      <c r="BM35" s="308"/>
      <c r="BN35" s="308"/>
      <c r="BO35" s="308"/>
      <c r="BP35" s="308"/>
      <c r="BQ35" s="308"/>
      <c r="BR35" s="308"/>
      <c r="BS35" s="308"/>
      <c r="BT35" s="308"/>
      <c r="BU35" s="308"/>
      <c r="BV35" s="308"/>
      <c r="BW35" s="308"/>
      <c r="BX35" s="308"/>
      <c r="BY35" s="308"/>
      <c r="BZ35" s="308"/>
      <c r="CA35" s="308"/>
      <c r="CB35" s="308"/>
      <c r="CC35" s="308"/>
      <c r="CD35" s="308"/>
      <c r="CE35" s="308"/>
      <c r="CF35" s="308"/>
      <c r="CG35" s="308"/>
      <c r="CH35" s="308"/>
      <c r="CI35" s="308"/>
      <c r="CJ35" s="308"/>
      <c r="CK35" s="308"/>
      <c r="CL35" s="308"/>
      <c r="CM35" s="308"/>
      <c r="CN35" s="308"/>
      <c r="CO35" s="308"/>
      <c r="CP35" s="308"/>
      <c r="CQ35" s="308"/>
      <c r="CR35" s="308"/>
      <c r="CS35" s="308"/>
      <c r="CT35" s="308"/>
      <c r="CU35" s="308"/>
      <c r="CV35" s="308"/>
      <c r="CW35" s="308"/>
      <c r="CX35" s="308"/>
      <c r="CY35" s="308"/>
      <c r="CZ35" s="308"/>
      <c r="DA35" s="308"/>
      <c r="DB35" s="308"/>
      <c r="DC35" s="308"/>
      <c r="DD35" s="308"/>
      <c r="DE35" s="308"/>
      <c r="DF35" s="308"/>
      <c r="DG35" s="308"/>
      <c r="DH35" s="308"/>
      <c r="DI35" s="308"/>
      <c r="DJ35" s="308"/>
      <c r="DK35" s="308"/>
      <c r="DL35" s="308"/>
      <c r="DM35" s="308"/>
      <c r="DN35" s="308"/>
      <c r="DO35" s="308"/>
      <c r="DP35" s="308"/>
      <c r="DQ35" s="308"/>
      <c r="DR35" s="308"/>
      <c r="DS35" s="308"/>
      <c r="DT35" s="308"/>
      <c r="DU35" s="308"/>
      <c r="DV35" s="308"/>
      <c r="DW35" s="308"/>
      <c r="DX35" s="308"/>
      <c r="DY35" s="308"/>
      <c r="DZ35" s="308"/>
      <c r="EA35" s="308"/>
      <c r="EB35" s="308"/>
      <c r="EC35" s="308"/>
      <c r="ED35" s="308"/>
      <c r="EE35" s="308"/>
      <c r="EF35" s="308"/>
      <c r="EG35" s="308"/>
      <c r="EH35" s="308"/>
      <c r="EI35" s="308"/>
      <c r="EJ35" s="308"/>
      <c r="EK35" s="308"/>
      <c r="EL35" s="308"/>
      <c r="EM35" s="308"/>
      <c r="EN35" s="308"/>
      <c r="EO35" s="308"/>
      <c r="EP35" s="308"/>
      <c r="EQ35" s="308"/>
      <c r="ER35" s="308"/>
      <c r="ES35" s="308"/>
      <c r="ET35" s="308"/>
      <c r="EU35" s="308"/>
      <c r="EV35" s="308"/>
      <c r="EW35" s="308"/>
      <c r="EX35" s="308"/>
      <c r="EY35" s="308"/>
      <c r="EZ35" s="308"/>
      <c r="FA35" s="308"/>
      <c r="FB35" s="308"/>
      <c r="FC35" s="308"/>
      <c r="FD35" s="308"/>
      <c r="FE35" s="308"/>
      <c r="FF35" s="308"/>
      <c r="FG35" s="308"/>
      <c r="FH35" s="308"/>
      <c r="FI35" s="308"/>
      <c r="FJ35" s="308"/>
      <c r="FK35" s="308"/>
      <c r="FL35" s="308"/>
      <c r="FM35" s="308"/>
      <c r="FN35" s="308"/>
      <c r="FO35" s="308"/>
      <c r="FP35" s="308"/>
      <c r="FQ35" s="308"/>
      <c r="FR35" s="308"/>
      <c r="FS35" s="308"/>
      <c r="FT35" s="308"/>
      <c r="FU35" s="308"/>
      <c r="FV35" s="308"/>
      <c r="FW35" s="308"/>
      <c r="FX35" s="308"/>
      <c r="FY35" s="308"/>
      <c r="FZ35" s="308"/>
      <c r="GA35" s="308"/>
      <c r="GB35" s="308"/>
      <c r="GC35" s="308"/>
      <c r="GD35" s="308"/>
      <c r="GE35" s="308"/>
      <c r="GF35" s="308"/>
      <c r="GG35" s="308"/>
      <c r="GH35" s="308"/>
      <c r="GI35" s="308"/>
      <c r="GJ35" s="308"/>
      <c r="GK35" s="308"/>
      <c r="GL35" s="308"/>
      <c r="GM35" s="308"/>
      <c r="GN35" s="308"/>
      <c r="GO35" s="308"/>
      <c r="GP35" s="308"/>
      <c r="GQ35" s="308"/>
      <c r="GR35" s="308"/>
      <c r="GS35" s="308"/>
      <c r="GT35" s="308"/>
      <c r="GU35" s="308"/>
      <c r="GV35" s="308"/>
      <c r="GW35" s="308"/>
      <c r="GX35" s="308"/>
      <c r="GY35" s="308"/>
      <c r="GZ35" s="308"/>
      <c r="HA35" s="308"/>
      <c r="HB35" s="308"/>
      <c r="HC35" s="308"/>
      <c r="HD35" s="308"/>
      <c r="HE35" s="308"/>
      <c r="HF35" s="308"/>
      <c r="HG35" s="308"/>
      <c r="HH35" s="308"/>
      <c r="HI35" s="308"/>
      <c r="HJ35" s="308"/>
      <c r="HK35" s="308"/>
      <c r="HL35" s="308"/>
      <c r="HM35" s="308"/>
      <c r="HN35" s="308"/>
      <c r="HO35" s="308"/>
      <c r="HP35" s="308"/>
      <c r="HQ35" s="308"/>
      <c r="HR35" s="308"/>
      <c r="HS35" s="308"/>
      <c r="HT35" s="308"/>
      <c r="HU35" s="308"/>
      <c r="HV35" s="308"/>
      <c r="HW35" s="308"/>
      <c r="HX35" s="308"/>
      <c r="HY35" s="308"/>
      <c r="HZ35" s="308"/>
      <c r="IA35" s="308"/>
      <c r="IB35" s="308"/>
      <c r="IC35" s="308"/>
      <c r="ID35" s="308"/>
      <c r="IE35" s="308"/>
      <c r="IF35" s="308"/>
      <c r="IG35" s="308"/>
      <c r="IH35" s="308"/>
      <c r="II35" s="308"/>
      <c r="IJ35" s="308"/>
      <c r="IK35" s="308"/>
      <c r="IL35" s="308"/>
      <c r="IM35" s="308"/>
      <c r="IN35" s="308"/>
      <c r="IO35" s="308"/>
      <c r="IP35" s="308"/>
      <c r="IQ35" s="308"/>
      <c r="IR35" s="308"/>
      <c r="IS35" s="308"/>
      <c r="IT35" s="308"/>
      <c r="IU35" s="308"/>
      <c r="IV35" s="308"/>
      <c r="IW35" s="308"/>
      <c r="IX35" s="308"/>
      <c r="IY35" s="308"/>
      <c r="IZ35" s="308"/>
      <c r="JA35" s="308"/>
      <c r="JB35" s="308"/>
      <c r="JC35" s="308"/>
      <c r="JD35" s="308"/>
      <c r="JE35" s="308"/>
      <c r="JF35" s="308"/>
      <c r="JG35" s="308"/>
      <c r="JH35" s="308"/>
      <c r="JI35" s="308"/>
      <c r="JJ35" s="308"/>
      <c r="JK35" s="308"/>
      <c r="JL35" s="308"/>
      <c r="JM35" s="308"/>
      <c r="JN35" s="308"/>
      <c r="JO35" s="308"/>
      <c r="JP35" s="308"/>
      <c r="JQ35" s="308"/>
      <c r="JR35" s="308"/>
      <c r="JS35" s="308"/>
      <c r="JT35" s="308"/>
      <c r="JU35" s="308"/>
      <c r="JV35" s="308"/>
      <c r="JW35" s="308"/>
      <c r="JX35" s="308"/>
      <c r="JY35" s="308"/>
      <c r="JZ35" s="308"/>
      <c r="KA35" s="308"/>
      <c r="KB35" s="308"/>
      <c r="KC35" s="308"/>
      <c r="KD35" s="308"/>
      <c r="KE35" s="308"/>
      <c r="KF35" s="308"/>
      <c r="KG35" s="308"/>
      <c r="KH35" s="308"/>
      <c r="KI35" s="308"/>
      <c r="KJ35" s="308"/>
      <c r="KK35" s="308"/>
      <c r="KL35" s="308"/>
      <c r="KM35" s="308"/>
      <c r="KN35" s="308"/>
      <c r="KO35" s="308"/>
      <c r="KP35" s="308"/>
      <c r="KQ35" s="308"/>
      <c r="KR35" s="308"/>
      <c r="KS35" s="308"/>
      <c r="KT35" s="308"/>
      <c r="KU35" s="308"/>
      <c r="KV35" s="308"/>
      <c r="KW35" s="308"/>
      <c r="KX35" s="308"/>
      <c r="KY35" s="308"/>
      <c r="KZ35" s="308"/>
      <c r="LA35" s="308"/>
      <c r="LB35" s="308"/>
      <c r="LC35" s="308"/>
      <c r="LD35" s="308"/>
      <c r="LE35" s="308"/>
      <c r="LF35" s="308"/>
      <c r="LG35" s="308"/>
      <c r="LH35" s="308"/>
      <c r="LI35" s="308"/>
      <c r="LJ35" s="308"/>
      <c r="LK35" s="308"/>
      <c r="LL35" s="308"/>
      <c r="LM35" s="308"/>
      <c r="LN35" s="308"/>
      <c r="LO35" s="308"/>
      <c r="LP35" s="308"/>
      <c r="LQ35" s="308"/>
      <c r="LR35" s="308"/>
      <c r="LS35" s="308"/>
      <c r="LT35" s="308"/>
      <c r="LU35" s="308"/>
      <c r="LV35" s="308"/>
      <c r="LW35" s="308"/>
      <c r="LX35" s="308"/>
      <c r="LY35" s="308"/>
      <c r="LZ35" s="308"/>
      <c r="MA35" s="308"/>
      <c r="MB35" s="308"/>
      <c r="MC35" s="308"/>
      <c r="MD35" s="308"/>
      <c r="ME35" s="308"/>
      <c r="MF35" s="308"/>
      <c r="MG35" s="308"/>
      <c r="MH35" s="308"/>
      <c r="MI35" s="308"/>
      <c r="MJ35" s="308"/>
      <c r="MK35" s="308"/>
      <c r="ML35" s="308"/>
      <c r="MM35" s="308"/>
      <c r="MN35" s="308"/>
      <c r="MO35" s="308"/>
      <c r="MP35" s="308"/>
      <c r="MQ35" s="308"/>
      <c r="MR35" s="308"/>
      <c r="MS35" s="308"/>
      <c r="MT35" s="308"/>
      <c r="MU35" s="308"/>
      <c r="MV35" s="308"/>
      <c r="MW35" s="308"/>
      <c r="MX35" s="308"/>
      <c r="MY35" s="308"/>
      <c r="MZ35" s="308"/>
      <c r="NA35" s="308"/>
      <c r="NB35" s="308"/>
      <c r="NC35" s="308"/>
      <c r="ND35" s="308"/>
      <c r="NE35" s="308"/>
      <c r="NF35" s="308"/>
      <c r="NG35" s="308"/>
      <c r="NH35" s="308"/>
      <c r="NI35" s="308"/>
      <c r="NJ35" s="308"/>
      <c r="NK35" s="308"/>
      <c r="NL35" s="308"/>
      <c r="NM35" s="308"/>
      <c r="NN35" s="308"/>
      <c r="NO35" s="308"/>
      <c r="NP35" s="308"/>
      <c r="NQ35" s="308"/>
      <c r="NR35" s="308"/>
      <c r="NS35" s="308"/>
      <c r="NT35" s="308"/>
      <c r="NU35" s="308"/>
      <c r="NV35" s="308"/>
      <c r="NW35" s="308"/>
      <c r="NX35" s="308"/>
      <c r="NY35" s="308"/>
      <c r="NZ35" s="308"/>
      <c r="OA35" s="308"/>
      <c r="OB35" s="308"/>
      <c r="OC35" s="308"/>
      <c r="OD35" s="308"/>
      <c r="OE35" s="308"/>
      <c r="OF35" s="308"/>
      <c r="OG35" s="308"/>
      <c r="OH35" s="308"/>
      <c r="OI35" s="308"/>
      <c r="OJ35" s="308"/>
      <c r="OK35" s="308"/>
      <c r="OL35" s="308"/>
      <c r="OM35" s="308"/>
      <c r="ON35" s="308"/>
      <c r="OO35" s="308"/>
      <c r="OP35" s="308"/>
      <c r="OQ35" s="308"/>
      <c r="OR35" s="308"/>
      <c r="OS35" s="308"/>
      <c r="OT35" s="308"/>
      <c r="OU35" s="308"/>
      <c r="OV35" s="308"/>
      <c r="OW35" s="308"/>
      <c r="OX35" s="308"/>
      <c r="OY35" s="308"/>
      <c r="OZ35" s="308"/>
      <c r="PA35" s="308"/>
      <c r="PB35" s="308"/>
      <c r="PC35" s="308"/>
      <c r="PD35" s="308"/>
      <c r="PE35" s="308"/>
      <c r="PF35" s="308"/>
      <c r="PG35" s="308"/>
      <c r="PH35" s="308"/>
      <c r="PI35" s="308"/>
      <c r="PJ35" s="308"/>
      <c r="PK35" s="308"/>
      <c r="PL35" s="308"/>
      <c r="PM35" s="308"/>
      <c r="PN35" s="308"/>
      <c r="PO35" s="308"/>
      <c r="PP35" s="308"/>
      <c r="PQ35" s="308"/>
      <c r="PR35" s="308"/>
      <c r="PS35" s="308"/>
      <c r="PT35" s="308"/>
      <c r="PU35" s="308"/>
      <c r="PV35" s="308"/>
      <c r="PW35" s="308"/>
      <c r="PX35" s="308"/>
      <c r="PY35" s="308"/>
      <c r="PZ35" s="308"/>
      <c r="QA35" s="308"/>
      <c r="QB35" s="308"/>
      <c r="QC35" s="308"/>
      <c r="QD35" s="308"/>
      <c r="QE35" s="308"/>
      <c r="QF35" s="308"/>
      <c r="QG35" s="308"/>
      <c r="QH35" s="308"/>
      <c r="QI35" s="308"/>
      <c r="QJ35" s="308"/>
      <c r="QK35" s="308"/>
      <c r="QL35" s="308"/>
      <c r="QM35" s="308"/>
      <c r="QN35" s="308"/>
      <c r="QO35" s="308"/>
      <c r="QP35" s="308"/>
      <c r="QQ35" s="308"/>
      <c r="QR35" s="308"/>
      <c r="QS35" s="308"/>
      <c r="QT35" s="308"/>
      <c r="QU35" s="308"/>
      <c r="QV35" s="308"/>
      <c r="QW35" s="308"/>
      <c r="QX35" s="308"/>
      <c r="QY35" s="308"/>
      <c r="QZ35" s="308"/>
      <c r="RA35" s="308"/>
      <c r="RB35" s="308"/>
      <c r="RC35" s="308"/>
      <c r="RD35" s="308"/>
      <c r="RE35" s="308"/>
      <c r="RF35" s="308"/>
      <c r="RG35" s="308"/>
      <c r="RH35" s="308"/>
      <c r="RI35" s="308"/>
      <c r="RJ35" s="308"/>
      <c r="RK35" s="308"/>
      <c r="RL35" s="308"/>
      <c r="RM35" s="308"/>
      <c r="RN35" s="308"/>
      <c r="RO35" s="308"/>
      <c r="RP35" s="308"/>
      <c r="RQ35" s="308"/>
      <c r="RR35" s="308"/>
      <c r="RS35" s="308"/>
      <c r="RT35" s="308"/>
      <c r="RU35" s="308"/>
      <c r="RV35" s="308"/>
      <c r="RW35" s="308"/>
      <c r="RX35" s="308"/>
      <c r="RY35" s="308"/>
      <c r="RZ35" s="308"/>
      <c r="SA35" s="308"/>
      <c r="SB35" s="308"/>
      <c r="SC35" s="308"/>
      <c r="SD35" s="308"/>
      <c r="SE35" s="308"/>
      <c r="SF35" s="308"/>
      <c r="SG35" s="308"/>
      <c r="SH35" s="308"/>
      <c r="SI35" s="308"/>
      <c r="SJ35" s="308"/>
      <c r="SK35" s="308"/>
      <c r="SL35" s="308"/>
      <c r="SM35" s="308"/>
      <c r="SN35" s="308"/>
      <c r="SO35" s="308"/>
      <c r="SP35" s="308"/>
      <c r="SQ35" s="308"/>
      <c r="SR35" s="308"/>
      <c r="SS35" s="308"/>
      <c r="ST35" s="308"/>
      <c r="SU35" s="308"/>
      <c r="SV35" s="308"/>
      <c r="SW35" s="308"/>
      <c r="SX35" s="308"/>
      <c r="SY35" s="308"/>
      <c r="SZ35" s="308"/>
      <c r="TA35" s="308"/>
      <c r="TB35" s="308"/>
      <c r="TC35" s="308"/>
      <c r="TD35" s="308"/>
      <c r="TE35" s="308"/>
      <c r="TF35" s="308"/>
      <c r="TG35" s="308"/>
      <c r="TH35" s="308"/>
      <c r="TI35" s="308"/>
      <c r="TJ35" s="308"/>
      <c r="TK35" s="308"/>
      <c r="TL35" s="308"/>
      <c r="TM35" s="308"/>
      <c r="TN35" s="308"/>
      <c r="TO35" s="308"/>
      <c r="TP35" s="308"/>
      <c r="TQ35" s="308"/>
      <c r="TR35" s="308"/>
      <c r="TS35" s="308"/>
      <c r="TT35" s="308"/>
      <c r="TU35" s="308"/>
      <c r="TV35" s="308"/>
      <c r="TW35" s="308"/>
      <c r="TX35" s="308"/>
      <c r="TY35" s="308"/>
      <c r="TZ35" s="308"/>
      <c r="UA35" s="308"/>
      <c r="UB35" s="308"/>
      <c r="UC35" s="308"/>
      <c r="UD35" s="308"/>
      <c r="UE35" s="308"/>
      <c r="UF35" s="308"/>
      <c r="UG35" s="308"/>
      <c r="UH35" s="308"/>
      <c r="UI35" s="308"/>
      <c r="UJ35" s="308"/>
      <c r="UK35" s="308"/>
      <c r="UL35" s="308"/>
      <c r="UM35" s="308"/>
      <c r="UN35" s="308"/>
      <c r="UO35" s="308"/>
      <c r="UP35" s="308"/>
      <c r="UQ35" s="308"/>
      <c r="UR35" s="308"/>
      <c r="US35" s="308"/>
      <c r="UT35" s="308"/>
      <c r="UU35" s="308"/>
      <c r="UV35" s="308"/>
      <c r="UW35" s="308"/>
      <c r="UX35" s="308"/>
      <c r="UY35" s="308"/>
      <c r="UZ35" s="308"/>
      <c r="VA35" s="308"/>
      <c r="VB35" s="308"/>
      <c r="VC35" s="308"/>
      <c r="VD35" s="308"/>
      <c r="VE35" s="308"/>
      <c r="VF35" s="308"/>
      <c r="VG35" s="308"/>
      <c r="VH35" s="308"/>
      <c r="VI35" s="308"/>
      <c r="VJ35" s="308"/>
      <c r="VK35" s="308"/>
      <c r="VL35" s="308"/>
      <c r="VM35" s="308"/>
      <c r="VN35" s="308"/>
      <c r="VO35" s="308"/>
      <c r="VP35" s="308"/>
      <c r="VQ35" s="308"/>
      <c r="VR35" s="308"/>
      <c r="VS35" s="308"/>
      <c r="VT35" s="308"/>
      <c r="VU35" s="308"/>
      <c r="VV35" s="308"/>
      <c r="VW35" s="308"/>
      <c r="VX35" s="308"/>
      <c r="VY35" s="308"/>
      <c r="VZ35" s="308"/>
      <c r="WA35" s="308"/>
      <c r="WB35" s="308"/>
      <c r="WC35" s="308"/>
      <c r="WD35" s="308"/>
      <c r="WE35" s="308"/>
      <c r="WF35" s="308"/>
      <c r="WG35" s="308"/>
      <c r="WH35" s="308"/>
      <c r="WI35" s="308"/>
      <c r="WJ35" s="308"/>
      <c r="WK35" s="308"/>
      <c r="WL35" s="308"/>
      <c r="WM35" s="308"/>
      <c r="WN35" s="308"/>
      <c r="WO35" s="308"/>
      <c r="WP35" s="308"/>
      <c r="WQ35" s="308"/>
      <c r="WR35" s="308"/>
      <c r="WS35" s="308"/>
      <c r="WT35" s="308"/>
      <c r="WU35" s="308"/>
      <c r="WV35" s="308"/>
      <c r="WW35" s="308"/>
      <c r="WX35" s="308"/>
      <c r="WY35" s="308"/>
      <c r="WZ35" s="308"/>
      <c r="XA35" s="308"/>
      <c r="XB35" s="308"/>
      <c r="XC35" s="308"/>
      <c r="XD35" s="308"/>
      <c r="XE35" s="308"/>
      <c r="XF35" s="308"/>
      <c r="XG35" s="308"/>
      <c r="XH35" s="308"/>
      <c r="XI35" s="308"/>
      <c r="XJ35" s="308"/>
      <c r="XK35" s="308"/>
      <c r="XL35" s="308"/>
      <c r="XM35" s="308"/>
      <c r="XN35" s="308"/>
      <c r="XO35" s="308"/>
      <c r="XP35" s="308"/>
      <c r="XQ35" s="308"/>
      <c r="XR35" s="308"/>
      <c r="XS35" s="308"/>
      <c r="XT35" s="308"/>
      <c r="XU35" s="308"/>
      <c r="XV35" s="308"/>
      <c r="XW35" s="308"/>
      <c r="XX35" s="308"/>
      <c r="XY35" s="308"/>
      <c r="XZ35" s="308"/>
      <c r="YA35" s="308"/>
      <c r="YB35" s="308"/>
      <c r="YC35" s="308"/>
      <c r="YD35" s="308"/>
      <c r="YE35" s="308"/>
      <c r="YF35" s="308"/>
      <c r="YG35" s="308"/>
      <c r="YH35" s="308"/>
      <c r="YI35" s="308"/>
      <c r="YJ35" s="308"/>
      <c r="YK35" s="308"/>
      <c r="YL35" s="308"/>
      <c r="YM35" s="308"/>
      <c r="YN35" s="308"/>
      <c r="YO35" s="308"/>
      <c r="YP35" s="308"/>
      <c r="YQ35" s="308"/>
      <c r="YR35" s="308"/>
      <c r="YS35" s="308"/>
      <c r="YT35" s="308"/>
      <c r="YU35" s="308"/>
      <c r="YV35" s="308"/>
      <c r="YW35" s="308"/>
      <c r="YX35" s="308"/>
      <c r="YY35" s="308"/>
      <c r="YZ35" s="308"/>
      <c r="ZA35" s="308"/>
      <c r="ZB35" s="308"/>
      <c r="ZC35" s="308"/>
      <c r="ZD35" s="308"/>
      <c r="ZE35" s="308"/>
      <c r="ZF35" s="308"/>
      <c r="ZG35" s="308"/>
      <c r="ZH35" s="308"/>
      <c r="ZI35" s="308"/>
      <c r="ZJ35" s="308"/>
      <c r="ZK35" s="308"/>
      <c r="ZL35" s="308"/>
      <c r="ZM35" s="308"/>
      <c r="ZN35" s="308"/>
      <c r="ZO35" s="308"/>
      <c r="ZP35" s="308"/>
      <c r="ZQ35" s="308"/>
      <c r="ZR35" s="308"/>
      <c r="ZS35" s="308"/>
      <c r="ZT35" s="308"/>
      <c r="ZU35" s="308"/>
      <c r="ZV35" s="308"/>
      <c r="ZW35" s="308"/>
      <c r="ZX35" s="308"/>
      <c r="ZY35" s="308"/>
      <c r="ZZ35" s="308"/>
      <c r="AAA35" s="308"/>
      <c r="AAB35" s="308"/>
      <c r="AAC35" s="308"/>
      <c r="AAD35" s="308"/>
      <c r="AAE35" s="308"/>
      <c r="AAF35" s="308"/>
      <c r="AAG35" s="308"/>
      <c r="AAH35" s="308"/>
      <c r="AAI35" s="308"/>
      <c r="AAJ35" s="308"/>
      <c r="AAK35" s="308"/>
      <c r="AAL35" s="308"/>
      <c r="AAM35" s="308"/>
      <c r="AAN35" s="308"/>
      <c r="AAO35" s="308"/>
      <c r="AAP35" s="308"/>
      <c r="AAQ35" s="308"/>
      <c r="AAR35" s="308"/>
      <c r="AAS35" s="308"/>
      <c r="AAT35" s="308"/>
      <c r="AAU35" s="308"/>
      <c r="AAV35" s="308"/>
      <c r="AAW35" s="308"/>
      <c r="AAX35" s="308"/>
      <c r="AAY35" s="308"/>
      <c r="AAZ35" s="308"/>
      <c r="ABA35" s="308"/>
      <c r="ABB35" s="308"/>
      <c r="ABC35" s="308"/>
      <c r="ABD35" s="308"/>
      <c r="ABE35" s="308"/>
      <c r="ABF35" s="308"/>
      <c r="ABG35" s="308"/>
      <c r="ABH35" s="308"/>
      <c r="ABI35" s="308"/>
      <c r="ABJ35" s="308"/>
      <c r="ABK35" s="308"/>
      <c r="ABL35" s="308"/>
      <c r="ABM35" s="308"/>
      <c r="ABN35" s="308"/>
      <c r="ABO35" s="308"/>
      <c r="ABP35" s="308"/>
      <c r="ABQ35" s="308"/>
      <c r="ABR35" s="308"/>
      <c r="ABS35" s="308"/>
      <c r="ABT35" s="308"/>
      <c r="ABU35" s="308"/>
      <c r="ABV35" s="308"/>
      <c r="ABW35" s="308"/>
      <c r="ABX35" s="308"/>
      <c r="ABY35" s="308"/>
      <c r="ABZ35" s="308"/>
      <c r="ACA35" s="308"/>
      <c r="ACB35" s="308"/>
      <c r="ACC35" s="308"/>
      <c r="ACD35" s="308"/>
      <c r="ACE35" s="308"/>
      <c r="ACF35" s="308"/>
      <c r="ACG35" s="308"/>
      <c r="ACH35" s="308"/>
      <c r="ACI35" s="308"/>
      <c r="ACJ35" s="308"/>
      <c r="ACK35" s="308"/>
      <c r="ACL35" s="308"/>
      <c r="ACM35" s="308"/>
      <c r="ACN35" s="308"/>
      <c r="ACO35" s="308"/>
      <c r="ACP35" s="308"/>
      <c r="ACQ35" s="308"/>
      <c r="ACR35" s="308"/>
      <c r="ACS35" s="308"/>
      <c r="ACT35" s="308"/>
      <c r="ACU35" s="308"/>
      <c r="ACV35" s="308"/>
      <c r="ACW35" s="308"/>
      <c r="ACX35" s="308"/>
      <c r="ACY35" s="308"/>
      <c r="ACZ35" s="308"/>
      <c r="ADA35" s="308"/>
      <c r="ADB35" s="308"/>
      <c r="ADC35" s="308"/>
      <c r="ADD35" s="308"/>
      <c r="ADE35" s="308"/>
      <c r="ADF35" s="308"/>
      <c r="ADG35" s="308"/>
      <c r="ADH35" s="308"/>
      <c r="ADI35" s="308"/>
      <c r="ADJ35" s="308"/>
      <c r="ADK35" s="308"/>
      <c r="ADL35" s="308"/>
      <c r="ADM35" s="308"/>
      <c r="ADN35" s="308"/>
      <c r="ADO35" s="308"/>
      <c r="ADP35" s="308"/>
      <c r="ADQ35" s="308"/>
      <c r="ADR35" s="308"/>
      <c r="ADS35" s="308"/>
      <c r="ADT35" s="308"/>
      <c r="ADU35" s="308"/>
      <c r="ADV35" s="308"/>
      <c r="ADW35" s="308"/>
      <c r="ADX35" s="308"/>
      <c r="ADY35" s="308"/>
      <c r="ADZ35" s="308"/>
      <c r="AEA35" s="308"/>
      <c r="AEB35" s="308"/>
      <c r="AEC35" s="308"/>
      <c r="AED35" s="308"/>
      <c r="AEE35" s="308"/>
      <c r="AEF35" s="308"/>
      <c r="AEG35" s="308"/>
      <c r="AEH35" s="308"/>
      <c r="AEI35" s="308"/>
      <c r="AEJ35" s="308"/>
      <c r="AEK35" s="308"/>
      <c r="AEL35" s="308"/>
      <c r="AEM35" s="308"/>
      <c r="AEN35" s="308"/>
      <c r="AEO35" s="308"/>
      <c r="AEP35" s="308"/>
      <c r="AEQ35" s="308"/>
      <c r="AER35" s="308"/>
      <c r="AES35" s="308"/>
      <c r="AET35" s="308"/>
      <c r="AEU35" s="308"/>
      <c r="AEV35" s="308"/>
      <c r="AEW35" s="308"/>
      <c r="AEX35" s="308"/>
      <c r="AEY35" s="308"/>
      <c r="AEZ35" s="308"/>
      <c r="AFA35" s="308"/>
      <c r="AFB35" s="308"/>
      <c r="AFC35" s="308"/>
      <c r="AFD35" s="308"/>
      <c r="AFE35" s="308"/>
      <c r="AFF35" s="308"/>
      <c r="AFG35" s="308"/>
      <c r="AFH35" s="308"/>
      <c r="AFI35" s="308"/>
      <c r="AFJ35" s="308"/>
      <c r="AFK35" s="308"/>
      <c r="AFL35" s="308"/>
      <c r="AFM35" s="308"/>
      <c r="AFN35" s="308"/>
      <c r="AFO35" s="308"/>
      <c r="AFP35" s="308"/>
      <c r="AFQ35" s="308"/>
      <c r="AFR35" s="308"/>
      <c r="AFS35" s="308"/>
      <c r="AFT35" s="308"/>
      <c r="AFU35" s="308"/>
      <c r="AFV35" s="308"/>
      <c r="AFW35" s="308"/>
      <c r="AFX35" s="308"/>
      <c r="AFY35" s="308"/>
      <c r="AFZ35" s="308"/>
      <c r="AGA35" s="308"/>
      <c r="AGB35" s="308"/>
      <c r="AGC35" s="308"/>
      <c r="AGD35" s="308"/>
      <c r="AGE35" s="308"/>
      <c r="AGF35" s="308"/>
      <c r="AGG35" s="308"/>
      <c r="AGH35" s="308"/>
      <c r="AGI35" s="308"/>
      <c r="AGJ35" s="308"/>
      <c r="AGK35" s="308"/>
      <c r="AGL35" s="308"/>
      <c r="AGM35" s="308"/>
      <c r="AGN35" s="308"/>
      <c r="AGO35" s="308"/>
      <c r="AGP35" s="308"/>
      <c r="AGQ35" s="308"/>
      <c r="AGR35" s="308"/>
      <c r="AGS35" s="308"/>
      <c r="AGT35" s="308"/>
      <c r="AGU35" s="308"/>
      <c r="AGV35" s="308"/>
      <c r="AGW35" s="308"/>
      <c r="AGX35" s="308"/>
      <c r="AGY35" s="308"/>
      <c r="AGZ35" s="308"/>
      <c r="AHA35" s="308"/>
      <c r="AHB35" s="308"/>
      <c r="AHC35" s="308"/>
      <c r="AHD35" s="308"/>
      <c r="AHE35" s="308"/>
      <c r="AHF35" s="308"/>
      <c r="AHG35" s="308"/>
      <c r="AHH35" s="308"/>
      <c r="AHI35" s="308"/>
      <c r="AHJ35" s="308"/>
      <c r="AHK35" s="308"/>
      <c r="AHL35" s="308"/>
      <c r="AHM35" s="308"/>
      <c r="AHN35" s="308"/>
      <c r="AHO35" s="308"/>
      <c r="AHP35" s="308"/>
      <c r="AHQ35" s="308"/>
      <c r="AHR35" s="308"/>
      <c r="AHS35" s="308"/>
      <c r="AHT35" s="308"/>
      <c r="AHU35" s="308"/>
      <c r="AHV35" s="308"/>
      <c r="AHW35" s="308"/>
      <c r="AHX35" s="308"/>
      <c r="AHY35" s="308"/>
      <c r="AHZ35" s="308"/>
      <c r="AIA35" s="308"/>
      <c r="AIB35" s="308"/>
      <c r="AIC35" s="308"/>
      <c r="AID35" s="308"/>
      <c r="AIE35" s="308"/>
      <c r="AIF35" s="308"/>
      <c r="AIG35" s="308"/>
      <c r="AIH35" s="308"/>
      <c r="AII35" s="308"/>
      <c r="AIJ35" s="308"/>
      <c r="AIK35" s="308"/>
      <c r="AIL35" s="308"/>
      <c r="AIM35" s="308"/>
      <c r="AIN35" s="308"/>
      <c r="AIO35" s="308"/>
      <c r="AIP35" s="308"/>
      <c r="AIQ35" s="308"/>
      <c r="AIR35" s="308"/>
      <c r="AIS35" s="308"/>
      <c r="AIT35" s="308"/>
      <c r="AIU35" s="308"/>
      <c r="AIV35" s="308"/>
      <c r="AIW35" s="308"/>
      <c r="AIX35" s="308"/>
      <c r="AIY35" s="308"/>
      <c r="AIZ35" s="308"/>
      <c r="AJA35" s="308"/>
      <c r="AJB35" s="308"/>
      <c r="AJC35" s="308"/>
    </row>
    <row r="36" spans="1:940" s="545" customFormat="1">
      <c r="A36" s="113">
        <f t="shared" si="0"/>
        <v>29</v>
      </c>
      <c r="B36" s="113">
        <v>1576</v>
      </c>
      <c r="C36" s="113" t="s">
        <v>63</v>
      </c>
      <c r="D36" s="117">
        <v>1000000</v>
      </c>
      <c r="E36" s="117">
        <v>1000000</v>
      </c>
      <c r="F36" s="117">
        <f t="shared" si="1"/>
        <v>0</v>
      </c>
      <c r="G36" s="117">
        <v>500000</v>
      </c>
      <c r="H36" s="117">
        <v>354021.17</v>
      </c>
      <c r="I36" s="117">
        <v>44752</v>
      </c>
      <c r="J36" s="117"/>
      <c r="K36" s="117">
        <f t="shared" si="18"/>
        <v>44752</v>
      </c>
      <c r="L36" s="117">
        <f t="shared" si="3"/>
        <v>398773.17</v>
      </c>
      <c r="M36" s="117">
        <f>P36+S36-50000</f>
        <v>51226.830000000016</v>
      </c>
      <c r="N36" s="117"/>
      <c r="O36" s="117">
        <f t="shared" si="10"/>
        <v>550000</v>
      </c>
      <c r="P36" s="117">
        <f t="shared" si="4"/>
        <v>101226.83000000002</v>
      </c>
      <c r="Q36" s="117"/>
      <c r="R36" s="117"/>
      <c r="S36" s="117">
        <f t="shared" si="19"/>
        <v>0</v>
      </c>
      <c r="T36" s="117">
        <f t="shared" si="6"/>
        <v>50000</v>
      </c>
      <c r="U36" s="117">
        <f t="shared" si="7"/>
        <v>-50000</v>
      </c>
      <c r="V36" s="117">
        <f t="shared" si="8"/>
        <v>-50000</v>
      </c>
      <c r="W36" s="543"/>
      <c r="X36" s="117"/>
      <c r="Y36" s="117"/>
      <c r="Z36" s="113"/>
      <c r="AA36" s="113">
        <v>732000</v>
      </c>
      <c r="AB36" s="117"/>
      <c r="AC36" s="117"/>
      <c r="AD36" s="117">
        <v>-50000</v>
      </c>
      <c r="AE36" s="117"/>
      <c r="AF36" s="117"/>
      <c r="AG36" s="117"/>
      <c r="AH36" s="117"/>
      <c r="AI36" s="117"/>
      <c r="AJ36" s="117"/>
      <c r="AK36" s="117">
        <f t="shared" si="11"/>
        <v>-50000</v>
      </c>
      <c r="AL36" s="113"/>
      <c r="AM36" s="566">
        <f t="shared" si="12"/>
        <v>-50000</v>
      </c>
      <c r="AN36" s="117">
        <f t="shared" si="13"/>
        <v>0</v>
      </c>
      <c r="AO36" s="117">
        <f t="shared" si="14"/>
        <v>-50000</v>
      </c>
      <c r="AP36" s="565"/>
      <c r="AQ36" s="565"/>
      <c r="AR36" s="565"/>
      <c r="AS36" s="565"/>
      <c r="AT36" s="117">
        <f t="shared" si="15"/>
        <v>0</v>
      </c>
      <c r="AU36" s="565"/>
      <c r="AV36" s="565"/>
      <c r="AW36" s="565"/>
      <c r="AX36" s="565"/>
      <c r="AY36" s="117">
        <f t="shared" si="16"/>
        <v>0</v>
      </c>
      <c r="AZ36" s="565"/>
      <c r="BA36" s="565"/>
      <c r="BB36" s="565"/>
      <c r="BC36" s="565"/>
      <c r="AJD36" s="546"/>
    </row>
    <row r="37" spans="1:940" s="545" customFormat="1">
      <c r="A37" s="113">
        <f t="shared" si="0"/>
        <v>30</v>
      </c>
      <c r="B37" s="113">
        <v>1587</v>
      </c>
      <c r="C37" s="113" t="s">
        <v>169</v>
      </c>
      <c r="D37" s="117">
        <v>34200000</v>
      </c>
      <c r="E37" s="117">
        <v>34200000</v>
      </c>
      <c r="F37" s="117">
        <f t="shared" si="1"/>
        <v>0</v>
      </c>
      <c r="G37" s="117">
        <v>10800000</v>
      </c>
      <c r="H37" s="117">
        <v>7933031.1699999999</v>
      </c>
      <c r="I37" s="117">
        <v>512415.18</v>
      </c>
      <c r="J37" s="117">
        <v>79670.53</v>
      </c>
      <c r="K37" s="117">
        <f t="shared" si="18"/>
        <v>592085.71</v>
      </c>
      <c r="L37" s="117">
        <f t="shared" si="3"/>
        <v>8525116.879999999</v>
      </c>
      <c r="M37" s="117">
        <f>P37+S37-1800000</f>
        <v>474883.12000000104</v>
      </c>
      <c r="N37" s="117">
        <f>10000000-8200000</f>
        <v>1800000</v>
      </c>
      <c r="O37" s="117">
        <f t="shared" si="10"/>
        <v>23400000</v>
      </c>
      <c r="P37" s="117">
        <f t="shared" si="4"/>
        <v>2274883.120000001</v>
      </c>
      <c r="Q37" s="117"/>
      <c r="R37" s="117"/>
      <c r="S37" s="117">
        <f t="shared" si="19"/>
        <v>0</v>
      </c>
      <c r="T37" s="117">
        <f t="shared" si="6"/>
        <v>1800000</v>
      </c>
      <c r="U37" s="117">
        <f t="shared" si="7"/>
        <v>0</v>
      </c>
      <c r="V37" s="117">
        <f t="shared" si="8"/>
        <v>0</v>
      </c>
      <c r="W37" s="543"/>
      <c r="X37" s="117"/>
      <c r="Y37" s="117"/>
      <c r="Z37" s="113"/>
      <c r="AA37" s="113">
        <v>742000</v>
      </c>
      <c r="AB37" s="117"/>
      <c r="AC37" s="117"/>
      <c r="AD37" s="117"/>
      <c r="AE37" s="117"/>
      <c r="AF37" s="117"/>
      <c r="AG37" s="117"/>
      <c r="AH37" s="117"/>
      <c r="AI37" s="117"/>
      <c r="AJ37" s="117"/>
      <c r="AK37" s="117">
        <f t="shared" si="11"/>
        <v>0</v>
      </c>
      <c r="AL37" s="113"/>
      <c r="AM37" s="566">
        <f t="shared" si="12"/>
        <v>0</v>
      </c>
      <c r="AN37" s="117">
        <f t="shared" si="13"/>
        <v>0</v>
      </c>
      <c r="AO37" s="117">
        <f t="shared" si="14"/>
        <v>0</v>
      </c>
      <c r="AP37" s="565"/>
      <c r="AQ37" s="565"/>
      <c r="AR37" s="565"/>
      <c r="AS37" s="565"/>
      <c r="AT37" s="117">
        <f t="shared" si="15"/>
        <v>0</v>
      </c>
      <c r="AU37" s="565"/>
      <c r="AV37" s="565"/>
      <c r="AW37" s="565"/>
      <c r="AX37" s="565"/>
      <c r="AY37" s="117">
        <f t="shared" si="16"/>
        <v>0</v>
      </c>
      <c r="AZ37" s="565"/>
      <c r="BA37" s="565"/>
      <c r="BB37" s="565"/>
      <c r="BC37" s="565"/>
      <c r="AJD37" s="546"/>
    </row>
    <row r="38" spans="1:940" s="545" customFormat="1">
      <c r="A38" s="113">
        <f t="shared" si="0"/>
        <v>31</v>
      </c>
      <c r="B38" s="113">
        <v>1601</v>
      </c>
      <c r="C38" s="113" t="s">
        <v>48</v>
      </c>
      <c r="D38" s="117">
        <v>700000</v>
      </c>
      <c r="E38" s="117">
        <v>700000</v>
      </c>
      <c r="F38" s="117">
        <f t="shared" si="1"/>
        <v>0</v>
      </c>
      <c r="G38" s="117">
        <v>500000</v>
      </c>
      <c r="H38" s="117">
        <v>404174.79</v>
      </c>
      <c r="I38" s="117"/>
      <c r="J38" s="117">
        <v>67010.84</v>
      </c>
      <c r="K38" s="117">
        <f t="shared" si="18"/>
        <v>67010.84</v>
      </c>
      <c r="L38" s="117">
        <f t="shared" si="3"/>
        <v>471185.63</v>
      </c>
      <c r="M38" s="117">
        <f t="shared" ref="M38:M47" si="20">P38+S38</f>
        <v>28814.369999999995</v>
      </c>
      <c r="N38" s="117">
        <v>150000</v>
      </c>
      <c r="O38" s="117">
        <f t="shared" si="10"/>
        <v>50000</v>
      </c>
      <c r="P38" s="117">
        <f t="shared" si="4"/>
        <v>28814.369999999995</v>
      </c>
      <c r="Q38" s="117"/>
      <c r="R38" s="117"/>
      <c r="S38" s="117">
        <f t="shared" si="19"/>
        <v>0</v>
      </c>
      <c r="T38" s="117">
        <f t="shared" si="6"/>
        <v>0</v>
      </c>
      <c r="U38" s="117">
        <f t="shared" si="7"/>
        <v>150000</v>
      </c>
      <c r="V38" s="117">
        <f t="shared" si="8"/>
        <v>150000</v>
      </c>
      <c r="W38" s="543"/>
      <c r="X38" s="117"/>
      <c r="Y38" s="117"/>
      <c r="Z38" s="113"/>
      <c r="AA38" s="113">
        <v>742000</v>
      </c>
      <c r="AB38" s="117"/>
      <c r="AC38" s="117"/>
      <c r="AD38" s="117"/>
      <c r="AE38" s="117"/>
      <c r="AF38" s="117">
        <v>50000</v>
      </c>
      <c r="AG38" s="117">
        <v>100000</v>
      </c>
      <c r="AH38" s="117"/>
      <c r="AI38" s="117"/>
      <c r="AJ38" s="117"/>
      <c r="AK38" s="117">
        <f t="shared" si="11"/>
        <v>150000</v>
      </c>
      <c r="AL38" s="113"/>
      <c r="AM38" s="566">
        <f t="shared" si="12"/>
        <v>150000</v>
      </c>
      <c r="AN38" s="117">
        <f t="shared" si="13"/>
        <v>0</v>
      </c>
      <c r="AO38" s="117">
        <f t="shared" si="14"/>
        <v>150000</v>
      </c>
      <c r="AP38" s="565"/>
      <c r="AQ38" s="565"/>
      <c r="AR38" s="565"/>
      <c r="AS38" s="565"/>
      <c r="AT38" s="117">
        <f t="shared" si="15"/>
        <v>0</v>
      </c>
      <c r="AU38" s="565"/>
      <c r="AV38" s="565"/>
      <c r="AW38" s="565"/>
      <c r="AX38" s="565"/>
      <c r="AY38" s="117">
        <f t="shared" si="16"/>
        <v>0</v>
      </c>
      <c r="AZ38" s="565"/>
      <c r="BA38" s="565"/>
      <c r="BB38" s="565"/>
      <c r="BC38" s="565"/>
      <c r="AJD38" s="546"/>
    </row>
    <row r="39" spans="1:940" s="545" customFormat="1">
      <c r="A39" s="113">
        <f t="shared" si="0"/>
        <v>32</v>
      </c>
      <c r="B39" s="113">
        <v>1602</v>
      </c>
      <c r="C39" s="113" t="s">
        <v>590</v>
      </c>
      <c r="D39" s="117">
        <v>34500000</v>
      </c>
      <c r="E39" s="117">
        <v>34500000</v>
      </c>
      <c r="F39" s="117">
        <f t="shared" si="1"/>
        <v>0</v>
      </c>
      <c r="G39" s="117">
        <v>34500000</v>
      </c>
      <c r="H39" s="117">
        <v>1793295.18</v>
      </c>
      <c r="I39" s="117">
        <v>29430679.43</v>
      </c>
      <c r="J39" s="117">
        <v>738138.81</v>
      </c>
      <c r="K39" s="117">
        <f t="shared" si="18"/>
        <v>30168818.239999998</v>
      </c>
      <c r="L39" s="117">
        <f t="shared" si="3"/>
        <v>31962113.419999998</v>
      </c>
      <c r="M39" s="117">
        <f t="shared" si="20"/>
        <v>2537886.5800000019</v>
      </c>
      <c r="N39" s="117"/>
      <c r="O39" s="117">
        <f t="shared" si="10"/>
        <v>0</v>
      </c>
      <c r="P39" s="117">
        <f t="shared" si="4"/>
        <v>2537886.5800000019</v>
      </c>
      <c r="Q39" s="117"/>
      <c r="R39" s="117"/>
      <c r="S39" s="117">
        <f t="shared" si="19"/>
        <v>0</v>
      </c>
      <c r="T39" s="117">
        <f t="shared" si="6"/>
        <v>0</v>
      </c>
      <c r="U39" s="117">
        <f t="shared" si="7"/>
        <v>0</v>
      </c>
      <c r="V39" s="117">
        <f t="shared" si="8"/>
        <v>-488827</v>
      </c>
      <c r="W39" s="543"/>
      <c r="X39" s="117"/>
      <c r="Y39" s="117"/>
      <c r="Z39" s="117">
        <v>488827</v>
      </c>
      <c r="AA39" s="113">
        <v>742000</v>
      </c>
      <c r="AB39" s="117"/>
      <c r="AC39" s="117"/>
      <c r="AD39" s="117"/>
      <c r="AE39" s="117"/>
      <c r="AF39" s="117"/>
      <c r="AG39" s="117"/>
      <c r="AH39" s="117"/>
      <c r="AI39" s="117"/>
      <c r="AJ39" s="117"/>
      <c r="AK39" s="117">
        <f t="shared" si="11"/>
        <v>0</v>
      </c>
      <c r="AL39" s="113"/>
      <c r="AM39" s="566">
        <f t="shared" si="12"/>
        <v>0</v>
      </c>
      <c r="AN39" s="117">
        <f t="shared" si="13"/>
        <v>0</v>
      </c>
      <c r="AO39" s="117">
        <f t="shared" si="14"/>
        <v>0</v>
      </c>
      <c r="AP39" s="565"/>
      <c r="AQ39" s="565"/>
      <c r="AR39" s="565"/>
      <c r="AS39" s="565"/>
      <c r="AT39" s="117">
        <f t="shared" si="15"/>
        <v>0</v>
      </c>
      <c r="AU39" s="565"/>
      <c r="AV39" s="565"/>
      <c r="AW39" s="565"/>
      <c r="AX39" s="565"/>
      <c r="AY39" s="117">
        <f t="shared" si="16"/>
        <v>-488827</v>
      </c>
      <c r="AZ39" s="565"/>
      <c r="BA39" s="565"/>
      <c r="BB39" s="565"/>
      <c r="BC39" s="117">
        <v>488827</v>
      </c>
      <c r="AJD39" s="546"/>
    </row>
    <row r="40" spans="1:940" s="5" customFormat="1">
      <c r="A40" s="113">
        <f t="shared" si="0"/>
        <v>33</v>
      </c>
      <c r="B40" s="244">
        <v>1606</v>
      </c>
      <c r="C40" s="244" t="s">
        <v>920</v>
      </c>
      <c r="D40" s="4">
        <v>1229574</v>
      </c>
      <c r="E40" s="4">
        <v>1229574</v>
      </c>
      <c r="F40" s="4">
        <f t="shared" si="1"/>
        <v>0</v>
      </c>
      <c r="G40" s="4">
        <v>1229574</v>
      </c>
      <c r="H40" s="4">
        <v>1228338</v>
      </c>
      <c r="I40" s="4"/>
      <c r="J40" s="4"/>
      <c r="K40" s="4">
        <f>SUM(I40:J40)</f>
        <v>0</v>
      </c>
      <c r="L40" s="4">
        <f t="shared" si="3"/>
        <v>1228338</v>
      </c>
      <c r="M40" s="4">
        <f t="shared" si="20"/>
        <v>1236</v>
      </c>
      <c r="N40" s="4"/>
      <c r="O40" s="4">
        <f t="shared" si="10"/>
        <v>0</v>
      </c>
      <c r="P40" s="4">
        <f t="shared" si="4"/>
        <v>1236</v>
      </c>
      <c r="Q40" s="4"/>
      <c r="R40" s="4"/>
      <c r="S40" s="4">
        <f t="shared" si="19"/>
        <v>0</v>
      </c>
      <c r="T40" s="4">
        <f t="shared" si="6"/>
        <v>0</v>
      </c>
      <c r="U40" s="4">
        <f t="shared" si="7"/>
        <v>0</v>
      </c>
      <c r="V40" s="4">
        <f t="shared" si="8"/>
        <v>0</v>
      </c>
      <c r="W40" s="4"/>
      <c r="X40" s="4"/>
      <c r="Y40" s="4"/>
      <c r="Z40" s="3"/>
      <c r="AA40" s="113">
        <v>829000</v>
      </c>
      <c r="AB40" s="117"/>
      <c r="AC40" s="117"/>
      <c r="AD40" s="117"/>
      <c r="AE40" s="117"/>
      <c r="AF40" s="117"/>
      <c r="AG40" s="117"/>
      <c r="AH40" s="117"/>
      <c r="AI40" s="117"/>
      <c r="AJ40" s="117"/>
      <c r="AK40" s="117">
        <f t="shared" si="11"/>
        <v>0</v>
      </c>
      <c r="AL40" s="3"/>
      <c r="AM40" s="566">
        <f t="shared" si="12"/>
        <v>0</v>
      </c>
      <c r="AN40" s="117">
        <f t="shared" si="13"/>
        <v>0</v>
      </c>
      <c r="AO40" s="117">
        <f t="shared" si="14"/>
        <v>0</v>
      </c>
      <c r="AP40" s="565"/>
      <c r="AQ40" s="565"/>
      <c r="AR40" s="565"/>
      <c r="AS40" s="565"/>
      <c r="AT40" s="117">
        <f t="shared" si="15"/>
        <v>0</v>
      </c>
      <c r="AU40" s="565"/>
      <c r="AV40" s="565"/>
      <c r="AW40" s="565"/>
      <c r="AX40" s="565"/>
      <c r="AY40" s="117">
        <f t="shared" si="16"/>
        <v>0</v>
      </c>
      <c r="AZ40" s="565"/>
      <c r="BA40" s="565"/>
      <c r="BB40" s="565"/>
      <c r="BC40" s="565"/>
    </row>
    <row r="41" spans="1:940" s="545" customFormat="1">
      <c r="A41" s="113">
        <f t="shared" si="0"/>
        <v>34</v>
      </c>
      <c r="B41" s="113">
        <v>1670</v>
      </c>
      <c r="C41" s="113" t="s">
        <v>170</v>
      </c>
      <c r="D41" s="117">
        <v>12500000</v>
      </c>
      <c r="E41" s="117">
        <v>12500000</v>
      </c>
      <c r="F41" s="117">
        <f t="shared" si="1"/>
        <v>0</v>
      </c>
      <c r="G41" s="117">
        <v>3800000</v>
      </c>
      <c r="H41" s="117">
        <v>143086</v>
      </c>
      <c r="I41" s="117">
        <v>57002.400000000001</v>
      </c>
      <c r="J41" s="117">
        <v>24018</v>
      </c>
      <c r="K41" s="117">
        <f t="shared" si="18"/>
        <v>81020.399999999994</v>
      </c>
      <c r="L41" s="117">
        <f t="shared" si="3"/>
        <v>224106.4</v>
      </c>
      <c r="M41" s="117">
        <f t="shared" si="20"/>
        <v>3575893.6</v>
      </c>
      <c r="N41" s="117">
        <f>4900000-4900000</f>
        <v>0</v>
      </c>
      <c r="O41" s="117">
        <f t="shared" si="10"/>
        <v>8700000</v>
      </c>
      <c r="P41" s="117">
        <f t="shared" si="4"/>
        <v>3575893.6</v>
      </c>
      <c r="Q41" s="117"/>
      <c r="R41" s="117"/>
      <c r="S41" s="117">
        <f t="shared" si="19"/>
        <v>0</v>
      </c>
      <c r="T41" s="117">
        <f t="shared" si="6"/>
        <v>0</v>
      </c>
      <c r="U41" s="117">
        <f t="shared" si="7"/>
        <v>0</v>
      </c>
      <c r="V41" s="117">
        <f t="shared" si="8"/>
        <v>0</v>
      </c>
      <c r="W41" s="543"/>
      <c r="X41" s="117"/>
      <c r="Y41" s="117"/>
      <c r="Z41" s="113"/>
      <c r="AA41" s="113">
        <v>742000</v>
      </c>
      <c r="AB41" s="117"/>
      <c r="AC41" s="117"/>
      <c r="AD41" s="117"/>
      <c r="AE41" s="117"/>
      <c r="AF41" s="117"/>
      <c r="AG41" s="117"/>
      <c r="AH41" s="117"/>
      <c r="AI41" s="117"/>
      <c r="AJ41" s="117"/>
      <c r="AK41" s="117">
        <f t="shared" si="11"/>
        <v>0</v>
      </c>
      <c r="AL41" s="113"/>
      <c r="AM41" s="566">
        <f t="shared" si="12"/>
        <v>0</v>
      </c>
      <c r="AN41" s="117">
        <f t="shared" si="13"/>
        <v>0</v>
      </c>
      <c r="AO41" s="117">
        <f t="shared" si="14"/>
        <v>0</v>
      </c>
      <c r="AP41" s="565"/>
      <c r="AQ41" s="565"/>
      <c r="AR41" s="565"/>
      <c r="AS41" s="565"/>
      <c r="AT41" s="117">
        <f t="shared" si="15"/>
        <v>0</v>
      </c>
      <c r="AU41" s="565"/>
      <c r="AV41" s="565"/>
      <c r="AW41" s="565"/>
      <c r="AX41" s="565"/>
      <c r="AY41" s="117">
        <f t="shared" si="16"/>
        <v>0</v>
      </c>
      <c r="AZ41" s="565"/>
      <c r="BA41" s="565"/>
      <c r="BB41" s="565"/>
      <c r="BC41" s="565"/>
      <c r="AJD41" s="546"/>
    </row>
    <row r="42" spans="1:940" s="546" customFormat="1">
      <c r="A42" s="113">
        <f t="shared" si="0"/>
        <v>35</v>
      </c>
      <c r="B42" s="244">
        <v>1719</v>
      </c>
      <c r="C42" s="244" t="s">
        <v>921</v>
      </c>
      <c r="D42" s="117">
        <f>1000000-515000</f>
        <v>485000</v>
      </c>
      <c r="E42" s="117">
        <v>1000000</v>
      </c>
      <c r="F42" s="117">
        <f t="shared" si="1"/>
        <v>-515000</v>
      </c>
      <c r="G42" s="117">
        <v>1000000</v>
      </c>
      <c r="H42" s="117">
        <v>482652.87</v>
      </c>
      <c r="I42" s="117"/>
      <c r="J42" s="117">
        <v>1899.06</v>
      </c>
      <c r="K42" s="117">
        <f t="shared" si="18"/>
        <v>1899.06</v>
      </c>
      <c r="L42" s="117">
        <f t="shared" si="3"/>
        <v>484551.93</v>
      </c>
      <c r="M42" s="117">
        <f>P42+S42-515000</f>
        <v>448.07000000000698</v>
      </c>
      <c r="N42" s="117"/>
      <c r="O42" s="117">
        <f t="shared" si="10"/>
        <v>0</v>
      </c>
      <c r="P42" s="117">
        <f t="shared" si="4"/>
        <v>515448.07</v>
      </c>
      <c r="Q42" s="117"/>
      <c r="R42" s="117"/>
      <c r="S42" s="117">
        <f t="shared" si="19"/>
        <v>0</v>
      </c>
      <c r="T42" s="117">
        <f t="shared" si="6"/>
        <v>515000</v>
      </c>
      <c r="U42" s="117">
        <f t="shared" si="7"/>
        <v>-515000</v>
      </c>
      <c r="V42" s="117">
        <f t="shared" si="8"/>
        <v>-515000</v>
      </c>
      <c r="W42" s="543"/>
      <c r="X42" s="117"/>
      <c r="Y42" s="117"/>
      <c r="Z42" s="113"/>
      <c r="AA42" s="113">
        <v>742000</v>
      </c>
      <c r="AB42" s="117"/>
      <c r="AC42" s="117"/>
      <c r="AD42" s="117">
        <v>-515000</v>
      </c>
      <c r="AE42" s="117"/>
      <c r="AF42" s="117"/>
      <c r="AG42" s="117"/>
      <c r="AH42" s="117"/>
      <c r="AI42" s="117"/>
      <c r="AJ42" s="117"/>
      <c r="AK42" s="117">
        <f t="shared" si="11"/>
        <v>-515000</v>
      </c>
      <c r="AL42" s="565"/>
      <c r="AM42" s="566">
        <f t="shared" si="12"/>
        <v>-515000</v>
      </c>
      <c r="AN42" s="117">
        <f t="shared" si="13"/>
        <v>0</v>
      </c>
      <c r="AO42" s="117">
        <f t="shared" si="14"/>
        <v>-515000</v>
      </c>
      <c r="AP42" s="565"/>
      <c r="AQ42" s="565"/>
      <c r="AR42" s="565"/>
      <c r="AS42" s="565"/>
      <c r="AT42" s="117">
        <f t="shared" si="15"/>
        <v>0</v>
      </c>
      <c r="AU42" s="565"/>
      <c r="AV42" s="565"/>
      <c r="AW42" s="565"/>
      <c r="AX42" s="565"/>
      <c r="AY42" s="117">
        <f t="shared" si="16"/>
        <v>0</v>
      </c>
      <c r="AZ42" s="565"/>
      <c r="BA42" s="565"/>
      <c r="BB42" s="565"/>
      <c r="BC42" s="565"/>
      <c r="BD42" s="308"/>
      <c r="BE42" s="308"/>
      <c r="BF42" s="308"/>
      <c r="BG42" s="308"/>
      <c r="BH42" s="308"/>
      <c r="BI42" s="308"/>
      <c r="BJ42" s="308"/>
      <c r="BK42" s="308"/>
      <c r="BL42" s="308"/>
      <c r="BM42" s="308"/>
      <c r="BN42" s="308"/>
      <c r="BO42" s="308"/>
      <c r="BP42" s="308"/>
      <c r="BQ42" s="308"/>
      <c r="BR42" s="308"/>
      <c r="BS42" s="308"/>
      <c r="BT42" s="308"/>
      <c r="BU42" s="308"/>
      <c r="BV42" s="308"/>
      <c r="BW42" s="308"/>
      <c r="BX42" s="308"/>
      <c r="BY42" s="308"/>
      <c r="BZ42" s="308"/>
      <c r="CA42" s="308"/>
      <c r="CB42" s="308"/>
      <c r="CC42" s="308"/>
      <c r="CD42" s="308"/>
      <c r="CE42" s="308"/>
      <c r="CF42" s="308"/>
      <c r="CG42" s="308"/>
      <c r="CH42" s="308"/>
      <c r="CI42" s="308"/>
      <c r="CJ42" s="308"/>
      <c r="CK42" s="308"/>
      <c r="CL42" s="308"/>
      <c r="CM42" s="308"/>
      <c r="CN42" s="308"/>
      <c r="CO42" s="308"/>
      <c r="CP42" s="308"/>
      <c r="CQ42" s="308"/>
      <c r="CR42" s="308"/>
      <c r="CS42" s="308"/>
      <c r="CT42" s="308"/>
      <c r="CU42" s="308"/>
      <c r="CV42" s="308"/>
      <c r="CW42" s="308"/>
      <c r="CX42" s="308"/>
      <c r="CY42" s="308"/>
      <c r="CZ42" s="308"/>
      <c r="DA42" s="308"/>
      <c r="DB42" s="308"/>
      <c r="DC42" s="308"/>
      <c r="DD42" s="308"/>
      <c r="DE42" s="308"/>
      <c r="DF42" s="308"/>
      <c r="DG42" s="308"/>
      <c r="DH42" s="308"/>
      <c r="DI42" s="308"/>
      <c r="DJ42" s="308"/>
      <c r="DK42" s="308"/>
      <c r="DL42" s="308"/>
      <c r="DM42" s="308"/>
      <c r="DN42" s="308"/>
      <c r="DO42" s="308"/>
      <c r="DP42" s="308"/>
      <c r="DQ42" s="308"/>
      <c r="DR42" s="308"/>
      <c r="DS42" s="308"/>
      <c r="DT42" s="308"/>
      <c r="DU42" s="308"/>
      <c r="DV42" s="308"/>
      <c r="DW42" s="308"/>
      <c r="DX42" s="308"/>
      <c r="DY42" s="308"/>
      <c r="DZ42" s="308"/>
      <c r="EA42" s="308"/>
      <c r="EB42" s="308"/>
      <c r="EC42" s="308"/>
      <c r="ED42" s="308"/>
      <c r="EE42" s="308"/>
      <c r="EF42" s="308"/>
      <c r="EG42" s="308"/>
      <c r="EH42" s="308"/>
      <c r="EI42" s="308"/>
      <c r="EJ42" s="308"/>
      <c r="EK42" s="308"/>
      <c r="EL42" s="308"/>
      <c r="EM42" s="308"/>
      <c r="EN42" s="308"/>
      <c r="EO42" s="308"/>
      <c r="EP42" s="308"/>
      <c r="EQ42" s="308"/>
      <c r="ER42" s="308"/>
      <c r="ES42" s="308"/>
      <c r="ET42" s="308"/>
      <c r="EU42" s="308"/>
      <c r="EV42" s="308"/>
      <c r="EW42" s="308"/>
      <c r="EX42" s="308"/>
      <c r="EY42" s="308"/>
      <c r="EZ42" s="308"/>
      <c r="FA42" s="308"/>
      <c r="FB42" s="308"/>
      <c r="FC42" s="308"/>
      <c r="FD42" s="308"/>
      <c r="FE42" s="308"/>
      <c r="FF42" s="308"/>
      <c r="FG42" s="308"/>
      <c r="FH42" s="308"/>
      <c r="FI42" s="308"/>
      <c r="FJ42" s="308"/>
      <c r="FK42" s="308"/>
      <c r="FL42" s="308"/>
      <c r="FM42" s="308"/>
      <c r="FN42" s="308"/>
      <c r="FO42" s="308"/>
      <c r="FP42" s="308"/>
      <c r="FQ42" s="308"/>
      <c r="FR42" s="308"/>
      <c r="FS42" s="308"/>
      <c r="FT42" s="308"/>
      <c r="FU42" s="308"/>
      <c r="FV42" s="308"/>
      <c r="FW42" s="308"/>
      <c r="FX42" s="308"/>
      <c r="FY42" s="308"/>
      <c r="FZ42" s="308"/>
      <c r="GA42" s="308"/>
      <c r="GB42" s="308"/>
      <c r="GC42" s="308"/>
      <c r="GD42" s="308"/>
      <c r="GE42" s="308"/>
      <c r="GF42" s="308"/>
      <c r="GG42" s="308"/>
      <c r="GH42" s="308"/>
      <c r="GI42" s="308"/>
      <c r="GJ42" s="308"/>
      <c r="GK42" s="308"/>
      <c r="GL42" s="308"/>
      <c r="GM42" s="308"/>
      <c r="GN42" s="308"/>
      <c r="GO42" s="308"/>
      <c r="GP42" s="308"/>
      <c r="GQ42" s="308"/>
      <c r="GR42" s="308"/>
      <c r="GS42" s="308"/>
      <c r="GT42" s="308"/>
      <c r="GU42" s="308"/>
      <c r="GV42" s="308"/>
      <c r="GW42" s="308"/>
      <c r="GX42" s="308"/>
      <c r="GY42" s="308"/>
      <c r="GZ42" s="308"/>
      <c r="HA42" s="308"/>
      <c r="HB42" s="308"/>
      <c r="HC42" s="308"/>
      <c r="HD42" s="308"/>
      <c r="HE42" s="308"/>
      <c r="HF42" s="308"/>
      <c r="HG42" s="308"/>
      <c r="HH42" s="308"/>
      <c r="HI42" s="308"/>
      <c r="HJ42" s="308"/>
      <c r="HK42" s="308"/>
      <c r="HL42" s="308"/>
      <c r="HM42" s="308"/>
      <c r="HN42" s="308"/>
      <c r="HO42" s="308"/>
      <c r="HP42" s="308"/>
      <c r="HQ42" s="308"/>
      <c r="HR42" s="308"/>
      <c r="HS42" s="308"/>
      <c r="HT42" s="308"/>
      <c r="HU42" s="308"/>
      <c r="HV42" s="308"/>
      <c r="HW42" s="308"/>
      <c r="HX42" s="308"/>
      <c r="HY42" s="308"/>
      <c r="HZ42" s="308"/>
      <c r="IA42" s="308"/>
      <c r="IB42" s="308"/>
      <c r="IC42" s="308"/>
      <c r="ID42" s="308"/>
      <c r="IE42" s="308"/>
      <c r="IF42" s="308"/>
      <c r="IG42" s="308"/>
      <c r="IH42" s="308"/>
      <c r="II42" s="308"/>
      <c r="IJ42" s="308"/>
      <c r="IK42" s="308"/>
      <c r="IL42" s="308"/>
      <c r="IM42" s="308"/>
      <c r="IN42" s="308"/>
      <c r="IO42" s="308"/>
      <c r="IP42" s="308"/>
      <c r="IQ42" s="308"/>
      <c r="IR42" s="308"/>
      <c r="IS42" s="308"/>
      <c r="IT42" s="308"/>
      <c r="IU42" s="308"/>
      <c r="IV42" s="308"/>
      <c r="IW42" s="308"/>
      <c r="IX42" s="308"/>
      <c r="IY42" s="308"/>
      <c r="IZ42" s="308"/>
      <c r="JA42" s="308"/>
      <c r="JB42" s="308"/>
      <c r="JC42" s="308"/>
      <c r="JD42" s="308"/>
      <c r="JE42" s="308"/>
      <c r="JF42" s="308"/>
      <c r="JG42" s="308"/>
      <c r="JH42" s="308"/>
      <c r="JI42" s="308"/>
      <c r="JJ42" s="308"/>
      <c r="JK42" s="308"/>
      <c r="JL42" s="308"/>
      <c r="JM42" s="308"/>
      <c r="JN42" s="308"/>
      <c r="JO42" s="308"/>
      <c r="JP42" s="308"/>
      <c r="JQ42" s="308"/>
      <c r="JR42" s="308"/>
      <c r="JS42" s="308"/>
      <c r="JT42" s="308"/>
      <c r="JU42" s="308"/>
      <c r="JV42" s="308"/>
      <c r="JW42" s="308"/>
      <c r="JX42" s="308"/>
      <c r="JY42" s="308"/>
      <c r="JZ42" s="308"/>
      <c r="KA42" s="308"/>
      <c r="KB42" s="308"/>
      <c r="KC42" s="308"/>
      <c r="KD42" s="308"/>
      <c r="KE42" s="308"/>
      <c r="KF42" s="308"/>
      <c r="KG42" s="308"/>
      <c r="KH42" s="308"/>
      <c r="KI42" s="308"/>
      <c r="KJ42" s="308"/>
      <c r="KK42" s="308"/>
      <c r="KL42" s="308"/>
      <c r="KM42" s="308"/>
      <c r="KN42" s="308"/>
      <c r="KO42" s="308"/>
      <c r="KP42" s="308"/>
      <c r="KQ42" s="308"/>
      <c r="KR42" s="308"/>
      <c r="KS42" s="308"/>
      <c r="KT42" s="308"/>
      <c r="KU42" s="308"/>
      <c r="KV42" s="308"/>
      <c r="KW42" s="308"/>
      <c r="KX42" s="308"/>
      <c r="KY42" s="308"/>
      <c r="KZ42" s="308"/>
      <c r="LA42" s="308"/>
      <c r="LB42" s="308"/>
      <c r="LC42" s="308"/>
      <c r="LD42" s="308"/>
      <c r="LE42" s="308"/>
      <c r="LF42" s="308"/>
      <c r="LG42" s="308"/>
      <c r="LH42" s="308"/>
      <c r="LI42" s="308"/>
      <c r="LJ42" s="308"/>
      <c r="LK42" s="308"/>
      <c r="LL42" s="308"/>
      <c r="LM42" s="308"/>
      <c r="LN42" s="308"/>
      <c r="LO42" s="308"/>
      <c r="LP42" s="308"/>
      <c r="LQ42" s="308"/>
      <c r="LR42" s="308"/>
      <c r="LS42" s="308"/>
      <c r="LT42" s="308"/>
      <c r="LU42" s="308"/>
      <c r="LV42" s="308"/>
      <c r="LW42" s="308"/>
      <c r="LX42" s="308"/>
      <c r="LY42" s="308"/>
      <c r="LZ42" s="308"/>
      <c r="MA42" s="308"/>
      <c r="MB42" s="308"/>
      <c r="MC42" s="308"/>
      <c r="MD42" s="308"/>
      <c r="ME42" s="308"/>
      <c r="MF42" s="308"/>
      <c r="MG42" s="308"/>
      <c r="MH42" s="308"/>
      <c r="MI42" s="308"/>
      <c r="MJ42" s="308"/>
      <c r="MK42" s="308"/>
      <c r="ML42" s="308"/>
      <c r="MM42" s="308"/>
      <c r="MN42" s="308"/>
      <c r="MO42" s="308"/>
      <c r="MP42" s="308"/>
      <c r="MQ42" s="308"/>
      <c r="MR42" s="308"/>
      <c r="MS42" s="308"/>
      <c r="MT42" s="308"/>
      <c r="MU42" s="308"/>
      <c r="MV42" s="308"/>
      <c r="MW42" s="308"/>
      <c r="MX42" s="308"/>
      <c r="MY42" s="308"/>
      <c r="MZ42" s="308"/>
      <c r="NA42" s="308"/>
      <c r="NB42" s="308"/>
      <c r="NC42" s="308"/>
      <c r="ND42" s="308"/>
      <c r="NE42" s="308"/>
      <c r="NF42" s="308"/>
      <c r="NG42" s="308"/>
      <c r="NH42" s="308"/>
      <c r="NI42" s="308"/>
      <c r="NJ42" s="308"/>
      <c r="NK42" s="308"/>
      <c r="NL42" s="308"/>
      <c r="NM42" s="308"/>
      <c r="NN42" s="308"/>
      <c r="NO42" s="308"/>
      <c r="NP42" s="308"/>
      <c r="NQ42" s="308"/>
      <c r="NR42" s="308"/>
      <c r="NS42" s="308"/>
      <c r="NT42" s="308"/>
      <c r="NU42" s="308"/>
      <c r="NV42" s="308"/>
      <c r="NW42" s="308"/>
      <c r="NX42" s="308"/>
      <c r="NY42" s="308"/>
      <c r="NZ42" s="308"/>
      <c r="OA42" s="308"/>
      <c r="OB42" s="308"/>
      <c r="OC42" s="308"/>
      <c r="OD42" s="308"/>
      <c r="OE42" s="308"/>
      <c r="OF42" s="308"/>
      <c r="OG42" s="308"/>
      <c r="OH42" s="308"/>
      <c r="OI42" s="308"/>
      <c r="OJ42" s="308"/>
      <c r="OK42" s="308"/>
      <c r="OL42" s="308"/>
      <c r="OM42" s="308"/>
      <c r="ON42" s="308"/>
      <c r="OO42" s="308"/>
      <c r="OP42" s="308"/>
      <c r="OQ42" s="308"/>
      <c r="OR42" s="308"/>
      <c r="OS42" s="308"/>
      <c r="OT42" s="308"/>
      <c r="OU42" s="308"/>
      <c r="OV42" s="308"/>
      <c r="OW42" s="308"/>
      <c r="OX42" s="308"/>
      <c r="OY42" s="308"/>
      <c r="OZ42" s="308"/>
      <c r="PA42" s="308"/>
      <c r="PB42" s="308"/>
      <c r="PC42" s="308"/>
      <c r="PD42" s="308"/>
      <c r="PE42" s="308"/>
      <c r="PF42" s="308"/>
      <c r="PG42" s="308"/>
      <c r="PH42" s="308"/>
      <c r="PI42" s="308"/>
      <c r="PJ42" s="308"/>
      <c r="PK42" s="308"/>
      <c r="PL42" s="308"/>
      <c r="PM42" s="308"/>
      <c r="PN42" s="308"/>
      <c r="PO42" s="308"/>
      <c r="PP42" s="308"/>
      <c r="PQ42" s="308"/>
      <c r="PR42" s="308"/>
      <c r="PS42" s="308"/>
      <c r="PT42" s="308"/>
      <c r="PU42" s="308"/>
      <c r="PV42" s="308"/>
      <c r="PW42" s="308"/>
      <c r="PX42" s="308"/>
      <c r="PY42" s="308"/>
      <c r="PZ42" s="308"/>
      <c r="QA42" s="308"/>
      <c r="QB42" s="308"/>
      <c r="QC42" s="308"/>
      <c r="QD42" s="308"/>
      <c r="QE42" s="308"/>
      <c r="QF42" s="308"/>
      <c r="QG42" s="308"/>
      <c r="QH42" s="308"/>
      <c r="QI42" s="308"/>
      <c r="QJ42" s="308"/>
      <c r="QK42" s="308"/>
      <c r="QL42" s="308"/>
      <c r="QM42" s="308"/>
      <c r="QN42" s="308"/>
      <c r="QO42" s="308"/>
      <c r="QP42" s="308"/>
      <c r="QQ42" s="308"/>
      <c r="QR42" s="308"/>
      <c r="QS42" s="308"/>
      <c r="QT42" s="308"/>
      <c r="QU42" s="308"/>
      <c r="QV42" s="308"/>
      <c r="QW42" s="308"/>
      <c r="QX42" s="308"/>
      <c r="QY42" s="308"/>
      <c r="QZ42" s="308"/>
      <c r="RA42" s="308"/>
      <c r="RB42" s="308"/>
      <c r="RC42" s="308"/>
      <c r="RD42" s="308"/>
      <c r="RE42" s="308"/>
      <c r="RF42" s="308"/>
      <c r="RG42" s="308"/>
      <c r="RH42" s="308"/>
      <c r="RI42" s="308"/>
      <c r="RJ42" s="308"/>
      <c r="RK42" s="308"/>
      <c r="RL42" s="308"/>
      <c r="RM42" s="308"/>
      <c r="RN42" s="308"/>
      <c r="RO42" s="308"/>
      <c r="RP42" s="308"/>
      <c r="RQ42" s="308"/>
      <c r="RR42" s="308"/>
      <c r="RS42" s="308"/>
      <c r="RT42" s="308"/>
      <c r="RU42" s="308"/>
      <c r="RV42" s="308"/>
      <c r="RW42" s="308"/>
      <c r="RX42" s="308"/>
      <c r="RY42" s="308"/>
      <c r="RZ42" s="308"/>
      <c r="SA42" s="308"/>
      <c r="SB42" s="308"/>
      <c r="SC42" s="308"/>
      <c r="SD42" s="308"/>
      <c r="SE42" s="308"/>
      <c r="SF42" s="308"/>
      <c r="SG42" s="308"/>
      <c r="SH42" s="308"/>
      <c r="SI42" s="308"/>
      <c r="SJ42" s="308"/>
      <c r="SK42" s="308"/>
      <c r="SL42" s="308"/>
      <c r="SM42" s="308"/>
      <c r="SN42" s="308"/>
      <c r="SO42" s="308"/>
      <c r="SP42" s="308"/>
      <c r="SQ42" s="308"/>
      <c r="SR42" s="308"/>
      <c r="SS42" s="308"/>
      <c r="ST42" s="308"/>
      <c r="SU42" s="308"/>
      <c r="SV42" s="308"/>
      <c r="SW42" s="308"/>
      <c r="SX42" s="308"/>
      <c r="SY42" s="308"/>
      <c r="SZ42" s="308"/>
      <c r="TA42" s="308"/>
      <c r="TB42" s="308"/>
      <c r="TC42" s="308"/>
      <c r="TD42" s="308"/>
      <c r="TE42" s="308"/>
      <c r="TF42" s="308"/>
      <c r="TG42" s="308"/>
      <c r="TH42" s="308"/>
      <c r="TI42" s="308"/>
      <c r="TJ42" s="308"/>
      <c r="TK42" s="308"/>
      <c r="TL42" s="308"/>
      <c r="TM42" s="308"/>
      <c r="TN42" s="308"/>
      <c r="TO42" s="308"/>
      <c r="TP42" s="308"/>
      <c r="TQ42" s="308"/>
      <c r="TR42" s="308"/>
      <c r="TS42" s="308"/>
      <c r="TT42" s="308"/>
      <c r="TU42" s="308"/>
      <c r="TV42" s="308"/>
      <c r="TW42" s="308"/>
      <c r="TX42" s="308"/>
      <c r="TY42" s="308"/>
      <c r="TZ42" s="308"/>
      <c r="UA42" s="308"/>
      <c r="UB42" s="308"/>
      <c r="UC42" s="308"/>
      <c r="UD42" s="308"/>
      <c r="UE42" s="308"/>
      <c r="UF42" s="308"/>
      <c r="UG42" s="308"/>
      <c r="UH42" s="308"/>
      <c r="UI42" s="308"/>
      <c r="UJ42" s="308"/>
      <c r="UK42" s="308"/>
      <c r="UL42" s="308"/>
      <c r="UM42" s="308"/>
      <c r="UN42" s="308"/>
      <c r="UO42" s="308"/>
      <c r="UP42" s="308"/>
      <c r="UQ42" s="308"/>
      <c r="UR42" s="308"/>
      <c r="US42" s="308"/>
      <c r="UT42" s="308"/>
      <c r="UU42" s="308"/>
      <c r="UV42" s="308"/>
      <c r="UW42" s="308"/>
      <c r="UX42" s="308"/>
      <c r="UY42" s="308"/>
      <c r="UZ42" s="308"/>
      <c r="VA42" s="308"/>
      <c r="VB42" s="308"/>
      <c r="VC42" s="308"/>
      <c r="VD42" s="308"/>
      <c r="VE42" s="308"/>
      <c r="VF42" s="308"/>
      <c r="VG42" s="308"/>
      <c r="VH42" s="308"/>
      <c r="VI42" s="308"/>
      <c r="VJ42" s="308"/>
      <c r="VK42" s="308"/>
      <c r="VL42" s="308"/>
      <c r="VM42" s="308"/>
      <c r="VN42" s="308"/>
      <c r="VO42" s="308"/>
      <c r="VP42" s="308"/>
      <c r="VQ42" s="308"/>
      <c r="VR42" s="308"/>
      <c r="VS42" s="308"/>
      <c r="VT42" s="308"/>
      <c r="VU42" s="308"/>
      <c r="VV42" s="308"/>
      <c r="VW42" s="308"/>
      <c r="VX42" s="308"/>
      <c r="VY42" s="308"/>
      <c r="VZ42" s="308"/>
      <c r="WA42" s="308"/>
      <c r="WB42" s="308"/>
      <c r="WC42" s="308"/>
      <c r="WD42" s="308"/>
      <c r="WE42" s="308"/>
      <c r="WF42" s="308"/>
      <c r="WG42" s="308"/>
      <c r="WH42" s="308"/>
      <c r="WI42" s="308"/>
      <c r="WJ42" s="308"/>
      <c r="WK42" s="308"/>
      <c r="WL42" s="308"/>
      <c r="WM42" s="308"/>
      <c r="WN42" s="308"/>
      <c r="WO42" s="308"/>
      <c r="WP42" s="308"/>
      <c r="WQ42" s="308"/>
      <c r="WR42" s="308"/>
      <c r="WS42" s="308"/>
      <c r="WT42" s="308"/>
      <c r="WU42" s="308"/>
      <c r="WV42" s="308"/>
      <c r="WW42" s="308"/>
      <c r="WX42" s="308"/>
      <c r="WY42" s="308"/>
      <c r="WZ42" s="308"/>
      <c r="XA42" s="308"/>
      <c r="XB42" s="308"/>
      <c r="XC42" s="308"/>
      <c r="XD42" s="308"/>
      <c r="XE42" s="308"/>
      <c r="XF42" s="308"/>
      <c r="XG42" s="308"/>
      <c r="XH42" s="308"/>
      <c r="XI42" s="308"/>
      <c r="XJ42" s="308"/>
      <c r="XK42" s="308"/>
      <c r="XL42" s="308"/>
      <c r="XM42" s="308"/>
      <c r="XN42" s="308"/>
      <c r="XO42" s="308"/>
      <c r="XP42" s="308"/>
      <c r="XQ42" s="308"/>
      <c r="XR42" s="308"/>
      <c r="XS42" s="308"/>
      <c r="XT42" s="308"/>
      <c r="XU42" s="308"/>
      <c r="XV42" s="308"/>
      <c r="XW42" s="308"/>
      <c r="XX42" s="308"/>
      <c r="XY42" s="308"/>
      <c r="XZ42" s="308"/>
      <c r="YA42" s="308"/>
      <c r="YB42" s="308"/>
      <c r="YC42" s="308"/>
      <c r="YD42" s="308"/>
      <c r="YE42" s="308"/>
      <c r="YF42" s="308"/>
      <c r="YG42" s="308"/>
      <c r="YH42" s="308"/>
      <c r="YI42" s="308"/>
      <c r="YJ42" s="308"/>
      <c r="YK42" s="308"/>
      <c r="YL42" s="308"/>
      <c r="YM42" s="308"/>
      <c r="YN42" s="308"/>
      <c r="YO42" s="308"/>
      <c r="YP42" s="308"/>
      <c r="YQ42" s="308"/>
      <c r="YR42" s="308"/>
      <c r="YS42" s="308"/>
      <c r="YT42" s="308"/>
      <c r="YU42" s="308"/>
      <c r="YV42" s="308"/>
      <c r="YW42" s="308"/>
      <c r="YX42" s="308"/>
      <c r="YY42" s="308"/>
      <c r="YZ42" s="308"/>
      <c r="ZA42" s="308"/>
      <c r="ZB42" s="308"/>
      <c r="ZC42" s="308"/>
      <c r="ZD42" s="308"/>
      <c r="ZE42" s="308"/>
      <c r="ZF42" s="308"/>
      <c r="ZG42" s="308"/>
      <c r="ZH42" s="308"/>
      <c r="ZI42" s="308"/>
      <c r="ZJ42" s="308"/>
      <c r="ZK42" s="308"/>
      <c r="ZL42" s="308"/>
      <c r="ZM42" s="308"/>
      <c r="ZN42" s="308"/>
      <c r="ZO42" s="308"/>
      <c r="ZP42" s="308"/>
      <c r="ZQ42" s="308"/>
      <c r="ZR42" s="308"/>
      <c r="ZS42" s="308"/>
      <c r="ZT42" s="308"/>
      <c r="ZU42" s="308"/>
      <c r="ZV42" s="308"/>
      <c r="ZW42" s="308"/>
      <c r="ZX42" s="308"/>
      <c r="ZY42" s="308"/>
      <c r="ZZ42" s="308"/>
      <c r="AAA42" s="308"/>
      <c r="AAB42" s="308"/>
      <c r="AAC42" s="308"/>
      <c r="AAD42" s="308"/>
      <c r="AAE42" s="308"/>
      <c r="AAF42" s="308"/>
      <c r="AAG42" s="308"/>
      <c r="AAH42" s="308"/>
      <c r="AAI42" s="308"/>
      <c r="AAJ42" s="308"/>
      <c r="AAK42" s="308"/>
      <c r="AAL42" s="308"/>
      <c r="AAM42" s="308"/>
      <c r="AAN42" s="308"/>
      <c r="AAO42" s="308"/>
      <c r="AAP42" s="308"/>
      <c r="AAQ42" s="308"/>
      <c r="AAR42" s="308"/>
      <c r="AAS42" s="308"/>
      <c r="AAT42" s="308"/>
      <c r="AAU42" s="308"/>
      <c r="AAV42" s="308"/>
      <c r="AAW42" s="308"/>
      <c r="AAX42" s="308"/>
      <c r="AAY42" s="308"/>
      <c r="AAZ42" s="308"/>
      <c r="ABA42" s="308"/>
      <c r="ABB42" s="308"/>
      <c r="ABC42" s="308"/>
      <c r="ABD42" s="308"/>
      <c r="ABE42" s="308"/>
      <c r="ABF42" s="308"/>
      <c r="ABG42" s="308"/>
      <c r="ABH42" s="308"/>
      <c r="ABI42" s="308"/>
      <c r="ABJ42" s="308"/>
      <c r="ABK42" s="308"/>
      <c r="ABL42" s="308"/>
      <c r="ABM42" s="308"/>
      <c r="ABN42" s="308"/>
      <c r="ABO42" s="308"/>
      <c r="ABP42" s="308"/>
      <c r="ABQ42" s="308"/>
      <c r="ABR42" s="308"/>
      <c r="ABS42" s="308"/>
      <c r="ABT42" s="308"/>
      <c r="ABU42" s="308"/>
      <c r="ABV42" s="308"/>
      <c r="ABW42" s="308"/>
      <c r="ABX42" s="308"/>
      <c r="ABY42" s="308"/>
      <c r="ABZ42" s="308"/>
      <c r="ACA42" s="308"/>
      <c r="ACB42" s="308"/>
      <c r="ACC42" s="308"/>
      <c r="ACD42" s="308"/>
      <c r="ACE42" s="308"/>
      <c r="ACF42" s="308"/>
      <c r="ACG42" s="308"/>
      <c r="ACH42" s="308"/>
      <c r="ACI42" s="308"/>
      <c r="ACJ42" s="308"/>
      <c r="ACK42" s="308"/>
      <c r="ACL42" s="308"/>
      <c r="ACM42" s="308"/>
      <c r="ACN42" s="308"/>
      <c r="ACO42" s="308"/>
      <c r="ACP42" s="308"/>
      <c r="ACQ42" s="308"/>
      <c r="ACR42" s="308"/>
      <c r="ACS42" s="308"/>
      <c r="ACT42" s="308"/>
      <c r="ACU42" s="308"/>
      <c r="ACV42" s="308"/>
      <c r="ACW42" s="308"/>
      <c r="ACX42" s="308"/>
      <c r="ACY42" s="308"/>
      <c r="ACZ42" s="308"/>
      <c r="ADA42" s="308"/>
      <c r="ADB42" s="308"/>
      <c r="ADC42" s="308"/>
      <c r="ADD42" s="308"/>
      <c r="ADE42" s="308"/>
      <c r="ADF42" s="308"/>
      <c r="ADG42" s="308"/>
      <c r="ADH42" s="308"/>
      <c r="ADI42" s="308"/>
      <c r="ADJ42" s="308"/>
      <c r="ADK42" s="308"/>
      <c r="ADL42" s="308"/>
      <c r="ADM42" s="308"/>
      <c r="ADN42" s="308"/>
      <c r="ADO42" s="308"/>
      <c r="ADP42" s="308"/>
      <c r="ADQ42" s="308"/>
      <c r="ADR42" s="308"/>
      <c r="ADS42" s="308"/>
      <c r="ADT42" s="308"/>
      <c r="ADU42" s="308"/>
      <c r="ADV42" s="308"/>
      <c r="ADW42" s="308"/>
      <c r="ADX42" s="308"/>
      <c r="ADY42" s="308"/>
      <c r="ADZ42" s="308"/>
      <c r="AEA42" s="308"/>
      <c r="AEB42" s="308"/>
      <c r="AEC42" s="308"/>
      <c r="AED42" s="308"/>
      <c r="AEE42" s="308"/>
      <c r="AEF42" s="308"/>
      <c r="AEG42" s="308"/>
      <c r="AEH42" s="308"/>
      <c r="AEI42" s="308"/>
      <c r="AEJ42" s="308"/>
      <c r="AEK42" s="308"/>
      <c r="AEL42" s="308"/>
      <c r="AEM42" s="308"/>
      <c r="AEN42" s="308"/>
      <c r="AEO42" s="308"/>
      <c r="AEP42" s="308"/>
      <c r="AEQ42" s="308"/>
      <c r="AER42" s="308"/>
      <c r="AES42" s="308"/>
      <c r="AET42" s="308"/>
      <c r="AEU42" s="308"/>
      <c r="AEV42" s="308"/>
      <c r="AEW42" s="308"/>
      <c r="AEX42" s="308"/>
      <c r="AEY42" s="308"/>
      <c r="AEZ42" s="308"/>
      <c r="AFA42" s="308"/>
      <c r="AFB42" s="308"/>
      <c r="AFC42" s="308"/>
      <c r="AFD42" s="308"/>
      <c r="AFE42" s="308"/>
      <c r="AFF42" s="308"/>
      <c r="AFG42" s="308"/>
      <c r="AFH42" s="308"/>
      <c r="AFI42" s="308"/>
      <c r="AFJ42" s="308"/>
      <c r="AFK42" s="308"/>
      <c r="AFL42" s="308"/>
      <c r="AFM42" s="308"/>
      <c r="AFN42" s="308"/>
      <c r="AFO42" s="308"/>
      <c r="AFP42" s="308"/>
      <c r="AFQ42" s="308"/>
      <c r="AFR42" s="308"/>
      <c r="AFS42" s="308"/>
      <c r="AFT42" s="308"/>
      <c r="AFU42" s="308"/>
      <c r="AFV42" s="308"/>
      <c r="AFW42" s="308"/>
      <c r="AFX42" s="308"/>
      <c r="AFY42" s="308"/>
      <c r="AFZ42" s="308"/>
      <c r="AGA42" s="308"/>
      <c r="AGB42" s="308"/>
      <c r="AGC42" s="308"/>
      <c r="AGD42" s="308"/>
      <c r="AGE42" s="308"/>
      <c r="AGF42" s="308"/>
      <c r="AGG42" s="308"/>
      <c r="AGH42" s="308"/>
      <c r="AGI42" s="308"/>
      <c r="AGJ42" s="308"/>
      <c r="AGK42" s="308"/>
      <c r="AGL42" s="308"/>
      <c r="AGM42" s="308"/>
      <c r="AGN42" s="308"/>
      <c r="AGO42" s="308"/>
      <c r="AGP42" s="308"/>
      <c r="AGQ42" s="308"/>
      <c r="AGR42" s="308"/>
      <c r="AGS42" s="308"/>
      <c r="AGT42" s="308"/>
      <c r="AGU42" s="308"/>
      <c r="AGV42" s="308"/>
      <c r="AGW42" s="308"/>
      <c r="AGX42" s="308"/>
      <c r="AGY42" s="308"/>
      <c r="AGZ42" s="308"/>
      <c r="AHA42" s="308"/>
      <c r="AHB42" s="308"/>
      <c r="AHC42" s="308"/>
      <c r="AHD42" s="308"/>
      <c r="AHE42" s="308"/>
      <c r="AHF42" s="308"/>
      <c r="AHG42" s="308"/>
      <c r="AHH42" s="308"/>
      <c r="AHI42" s="308"/>
      <c r="AHJ42" s="308"/>
      <c r="AHK42" s="308"/>
      <c r="AHL42" s="308"/>
      <c r="AHM42" s="308"/>
      <c r="AHN42" s="308"/>
      <c r="AHO42" s="308"/>
      <c r="AHP42" s="308"/>
      <c r="AHQ42" s="308"/>
      <c r="AHR42" s="308"/>
      <c r="AHS42" s="308"/>
      <c r="AHT42" s="308"/>
      <c r="AHU42" s="308"/>
      <c r="AHV42" s="308"/>
      <c r="AHW42" s="308"/>
      <c r="AHX42" s="308"/>
      <c r="AHY42" s="308"/>
      <c r="AHZ42" s="308"/>
      <c r="AIA42" s="308"/>
      <c r="AIB42" s="308"/>
      <c r="AIC42" s="308"/>
      <c r="AID42" s="308"/>
      <c r="AIE42" s="308"/>
      <c r="AIF42" s="308"/>
      <c r="AIG42" s="308"/>
      <c r="AIH42" s="308"/>
      <c r="AII42" s="308"/>
      <c r="AIJ42" s="308"/>
      <c r="AIK42" s="308"/>
      <c r="AIL42" s="308"/>
      <c r="AIM42" s="308"/>
      <c r="AIN42" s="308"/>
      <c r="AIO42" s="308"/>
      <c r="AIP42" s="308"/>
      <c r="AIQ42" s="308"/>
      <c r="AIR42" s="308"/>
      <c r="AIS42" s="308"/>
      <c r="AIT42" s="308"/>
      <c r="AIU42" s="308"/>
      <c r="AIV42" s="308"/>
      <c r="AIW42" s="308"/>
      <c r="AIX42" s="308"/>
      <c r="AIY42" s="308"/>
      <c r="AIZ42" s="308"/>
      <c r="AJA42" s="308"/>
      <c r="AJB42" s="308"/>
      <c r="AJC42" s="308"/>
    </row>
    <row r="43" spans="1:940" s="546" customFormat="1">
      <c r="A43" s="113">
        <f t="shared" si="0"/>
        <v>36</v>
      </c>
      <c r="B43" s="113">
        <v>1722</v>
      </c>
      <c r="C43" s="113" t="s">
        <v>50</v>
      </c>
      <c r="D43" s="117">
        <v>2400000</v>
      </c>
      <c r="E43" s="117">
        <v>2400000</v>
      </c>
      <c r="F43" s="117">
        <f t="shared" si="1"/>
        <v>0</v>
      </c>
      <c r="G43" s="117">
        <v>400000</v>
      </c>
      <c r="H43" s="117">
        <v>98067.4</v>
      </c>
      <c r="I43" s="117">
        <v>67052.7</v>
      </c>
      <c r="J43" s="117">
        <v>47158.73</v>
      </c>
      <c r="K43" s="117">
        <f t="shared" si="18"/>
        <v>114211.43</v>
      </c>
      <c r="L43" s="117">
        <f t="shared" si="3"/>
        <v>212278.83</v>
      </c>
      <c r="M43" s="117">
        <f>P43+S43-180000</f>
        <v>7721.1700000000128</v>
      </c>
      <c r="N43" s="117">
        <f>500000-500000+180000</f>
        <v>180000</v>
      </c>
      <c r="O43" s="117">
        <f t="shared" si="10"/>
        <v>2000000</v>
      </c>
      <c r="P43" s="117">
        <f t="shared" si="4"/>
        <v>187721.17</v>
      </c>
      <c r="Q43" s="117"/>
      <c r="R43" s="117"/>
      <c r="S43" s="117">
        <f t="shared" si="19"/>
        <v>0</v>
      </c>
      <c r="T43" s="117">
        <f t="shared" si="6"/>
        <v>180000</v>
      </c>
      <c r="U43" s="117">
        <f t="shared" si="7"/>
        <v>0</v>
      </c>
      <c r="V43" s="117">
        <f t="shared" si="8"/>
        <v>0</v>
      </c>
      <c r="W43" s="543"/>
      <c r="X43" s="117"/>
      <c r="Y43" s="117"/>
      <c r="Z43" s="113"/>
      <c r="AA43" s="113">
        <v>742000</v>
      </c>
      <c r="AB43" s="117"/>
      <c r="AC43" s="117"/>
      <c r="AD43" s="117"/>
      <c r="AE43" s="117"/>
      <c r="AF43" s="117"/>
      <c r="AG43" s="117"/>
      <c r="AH43" s="117"/>
      <c r="AI43" s="117"/>
      <c r="AJ43" s="117"/>
      <c r="AK43" s="117">
        <f t="shared" si="11"/>
        <v>0</v>
      </c>
      <c r="AL43" s="565"/>
      <c r="AM43" s="566">
        <f t="shared" si="12"/>
        <v>0</v>
      </c>
      <c r="AN43" s="117">
        <f t="shared" si="13"/>
        <v>0</v>
      </c>
      <c r="AO43" s="117">
        <f t="shared" si="14"/>
        <v>0</v>
      </c>
      <c r="AP43" s="565"/>
      <c r="AQ43" s="565"/>
      <c r="AR43" s="565"/>
      <c r="AS43" s="565"/>
      <c r="AT43" s="117">
        <f t="shared" si="15"/>
        <v>0</v>
      </c>
      <c r="AU43" s="565"/>
      <c r="AV43" s="565"/>
      <c r="AW43" s="565"/>
      <c r="AX43" s="565"/>
      <c r="AY43" s="117">
        <f t="shared" si="16"/>
        <v>0</v>
      </c>
      <c r="AZ43" s="565"/>
      <c r="BA43" s="565"/>
      <c r="BB43" s="565"/>
      <c r="BC43" s="565"/>
      <c r="BD43" s="308"/>
      <c r="BE43" s="308"/>
      <c r="BF43" s="308"/>
      <c r="BG43" s="308"/>
      <c r="BH43" s="308"/>
      <c r="BI43" s="308"/>
      <c r="BJ43" s="308"/>
      <c r="BK43" s="308"/>
      <c r="BL43" s="308"/>
      <c r="BM43" s="308"/>
      <c r="BN43" s="308"/>
      <c r="BO43" s="308"/>
      <c r="BP43" s="308"/>
      <c r="BQ43" s="308"/>
      <c r="BR43" s="308"/>
      <c r="BS43" s="308"/>
      <c r="BT43" s="308"/>
      <c r="BU43" s="308"/>
      <c r="BV43" s="308"/>
      <c r="BW43" s="308"/>
      <c r="BX43" s="308"/>
      <c r="BY43" s="308"/>
      <c r="BZ43" s="308"/>
      <c r="CA43" s="308"/>
      <c r="CB43" s="308"/>
      <c r="CC43" s="308"/>
      <c r="CD43" s="308"/>
      <c r="CE43" s="308"/>
      <c r="CF43" s="308"/>
      <c r="CG43" s="308"/>
      <c r="CH43" s="308"/>
      <c r="CI43" s="308"/>
      <c r="CJ43" s="308"/>
      <c r="CK43" s="308"/>
      <c r="CL43" s="308"/>
      <c r="CM43" s="308"/>
      <c r="CN43" s="308"/>
      <c r="CO43" s="308"/>
      <c r="CP43" s="308"/>
      <c r="CQ43" s="308"/>
      <c r="CR43" s="308"/>
      <c r="CS43" s="308"/>
      <c r="CT43" s="308"/>
      <c r="CU43" s="308"/>
      <c r="CV43" s="308"/>
      <c r="CW43" s="308"/>
      <c r="CX43" s="308"/>
      <c r="CY43" s="308"/>
      <c r="CZ43" s="308"/>
      <c r="DA43" s="308"/>
      <c r="DB43" s="308"/>
      <c r="DC43" s="308"/>
      <c r="DD43" s="308"/>
      <c r="DE43" s="308"/>
      <c r="DF43" s="308"/>
      <c r="DG43" s="308"/>
      <c r="DH43" s="308"/>
      <c r="DI43" s="308"/>
      <c r="DJ43" s="308"/>
      <c r="DK43" s="308"/>
      <c r="DL43" s="308"/>
      <c r="DM43" s="308"/>
      <c r="DN43" s="308"/>
      <c r="DO43" s="308"/>
      <c r="DP43" s="308"/>
      <c r="DQ43" s="308"/>
      <c r="DR43" s="308"/>
      <c r="DS43" s="308"/>
      <c r="DT43" s="308"/>
      <c r="DU43" s="308"/>
      <c r="DV43" s="308"/>
      <c r="DW43" s="308"/>
      <c r="DX43" s="308"/>
      <c r="DY43" s="308"/>
      <c r="DZ43" s="308"/>
      <c r="EA43" s="308"/>
      <c r="EB43" s="308"/>
      <c r="EC43" s="308"/>
      <c r="ED43" s="308"/>
      <c r="EE43" s="308"/>
      <c r="EF43" s="308"/>
      <c r="EG43" s="308"/>
      <c r="EH43" s="308"/>
      <c r="EI43" s="308"/>
      <c r="EJ43" s="308"/>
      <c r="EK43" s="308"/>
      <c r="EL43" s="308"/>
      <c r="EM43" s="308"/>
      <c r="EN43" s="308"/>
      <c r="EO43" s="308"/>
      <c r="EP43" s="308"/>
      <c r="EQ43" s="308"/>
      <c r="ER43" s="308"/>
      <c r="ES43" s="308"/>
      <c r="ET43" s="308"/>
      <c r="EU43" s="308"/>
      <c r="EV43" s="308"/>
      <c r="EW43" s="308"/>
      <c r="EX43" s="308"/>
      <c r="EY43" s="308"/>
      <c r="EZ43" s="308"/>
      <c r="FA43" s="308"/>
      <c r="FB43" s="308"/>
      <c r="FC43" s="308"/>
      <c r="FD43" s="308"/>
      <c r="FE43" s="308"/>
      <c r="FF43" s="308"/>
      <c r="FG43" s="308"/>
      <c r="FH43" s="308"/>
      <c r="FI43" s="308"/>
      <c r="FJ43" s="308"/>
      <c r="FK43" s="308"/>
      <c r="FL43" s="308"/>
      <c r="FM43" s="308"/>
      <c r="FN43" s="308"/>
      <c r="FO43" s="308"/>
      <c r="FP43" s="308"/>
      <c r="FQ43" s="308"/>
      <c r="FR43" s="308"/>
      <c r="FS43" s="308"/>
      <c r="FT43" s="308"/>
      <c r="FU43" s="308"/>
      <c r="FV43" s="308"/>
      <c r="FW43" s="308"/>
      <c r="FX43" s="308"/>
      <c r="FY43" s="308"/>
      <c r="FZ43" s="308"/>
      <c r="GA43" s="308"/>
      <c r="GB43" s="308"/>
      <c r="GC43" s="308"/>
      <c r="GD43" s="308"/>
      <c r="GE43" s="308"/>
      <c r="GF43" s="308"/>
      <c r="GG43" s="308"/>
      <c r="GH43" s="308"/>
      <c r="GI43" s="308"/>
      <c r="GJ43" s="308"/>
      <c r="GK43" s="308"/>
      <c r="GL43" s="308"/>
      <c r="GM43" s="308"/>
      <c r="GN43" s="308"/>
      <c r="GO43" s="308"/>
      <c r="GP43" s="308"/>
      <c r="GQ43" s="308"/>
      <c r="GR43" s="308"/>
      <c r="GS43" s="308"/>
      <c r="GT43" s="308"/>
      <c r="GU43" s="308"/>
      <c r="GV43" s="308"/>
      <c r="GW43" s="308"/>
      <c r="GX43" s="308"/>
      <c r="GY43" s="308"/>
      <c r="GZ43" s="308"/>
      <c r="HA43" s="308"/>
      <c r="HB43" s="308"/>
      <c r="HC43" s="308"/>
      <c r="HD43" s="308"/>
      <c r="HE43" s="308"/>
      <c r="HF43" s="308"/>
      <c r="HG43" s="308"/>
      <c r="HH43" s="308"/>
      <c r="HI43" s="308"/>
      <c r="HJ43" s="308"/>
      <c r="HK43" s="308"/>
      <c r="HL43" s="308"/>
      <c r="HM43" s="308"/>
      <c r="HN43" s="308"/>
      <c r="HO43" s="308"/>
      <c r="HP43" s="308"/>
      <c r="HQ43" s="308"/>
      <c r="HR43" s="308"/>
      <c r="HS43" s="308"/>
      <c r="HT43" s="308"/>
      <c r="HU43" s="308"/>
      <c r="HV43" s="308"/>
      <c r="HW43" s="308"/>
      <c r="HX43" s="308"/>
      <c r="HY43" s="308"/>
      <c r="HZ43" s="308"/>
      <c r="IA43" s="308"/>
      <c r="IB43" s="308"/>
      <c r="IC43" s="308"/>
      <c r="ID43" s="308"/>
      <c r="IE43" s="308"/>
      <c r="IF43" s="308"/>
      <c r="IG43" s="308"/>
      <c r="IH43" s="308"/>
      <c r="II43" s="308"/>
      <c r="IJ43" s="308"/>
      <c r="IK43" s="308"/>
      <c r="IL43" s="308"/>
      <c r="IM43" s="308"/>
      <c r="IN43" s="308"/>
      <c r="IO43" s="308"/>
      <c r="IP43" s="308"/>
      <c r="IQ43" s="308"/>
      <c r="IR43" s="308"/>
      <c r="IS43" s="308"/>
      <c r="IT43" s="308"/>
      <c r="IU43" s="308"/>
      <c r="IV43" s="308"/>
      <c r="IW43" s="308"/>
      <c r="IX43" s="308"/>
      <c r="IY43" s="308"/>
      <c r="IZ43" s="308"/>
      <c r="JA43" s="308"/>
      <c r="JB43" s="308"/>
      <c r="JC43" s="308"/>
      <c r="JD43" s="308"/>
      <c r="JE43" s="308"/>
      <c r="JF43" s="308"/>
      <c r="JG43" s="308"/>
      <c r="JH43" s="308"/>
      <c r="JI43" s="308"/>
      <c r="JJ43" s="308"/>
      <c r="JK43" s="308"/>
      <c r="JL43" s="308"/>
      <c r="JM43" s="308"/>
      <c r="JN43" s="308"/>
      <c r="JO43" s="308"/>
      <c r="JP43" s="308"/>
      <c r="JQ43" s="308"/>
      <c r="JR43" s="308"/>
      <c r="JS43" s="308"/>
      <c r="JT43" s="308"/>
      <c r="JU43" s="308"/>
      <c r="JV43" s="308"/>
      <c r="JW43" s="308"/>
      <c r="JX43" s="308"/>
      <c r="JY43" s="308"/>
      <c r="JZ43" s="308"/>
      <c r="KA43" s="308"/>
      <c r="KB43" s="308"/>
      <c r="KC43" s="308"/>
      <c r="KD43" s="308"/>
      <c r="KE43" s="308"/>
      <c r="KF43" s="308"/>
      <c r="KG43" s="308"/>
      <c r="KH43" s="308"/>
      <c r="KI43" s="308"/>
      <c r="KJ43" s="308"/>
      <c r="KK43" s="308"/>
      <c r="KL43" s="308"/>
      <c r="KM43" s="308"/>
      <c r="KN43" s="308"/>
      <c r="KO43" s="308"/>
      <c r="KP43" s="308"/>
      <c r="KQ43" s="308"/>
      <c r="KR43" s="308"/>
      <c r="KS43" s="308"/>
      <c r="KT43" s="308"/>
      <c r="KU43" s="308"/>
      <c r="KV43" s="308"/>
      <c r="KW43" s="308"/>
      <c r="KX43" s="308"/>
      <c r="KY43" s="308"/>
      <c r="KZ43" s="308"/>
      <c r="LA43" s="308"/>
      <c r="LB43" s="308"/>
      <c r="LC43" s="308"/>
      <c r="LD43" s="308"/>
      <c r="LE43" s="308"/>
      <c r="LF43" s="308"/>
      <c r="LG43" s="308"/>
      <c r="LH43" s="308"/>
      <c r="LI43" s="308"/>
      <c r="LJ43" s="308"/>
      <c r="LK43" s="308"/>
      <c r="LL43" s="308"/>
      <c r="LM43" s="308"/>
      <c r="LN43" s="308"/>
      <c r="LO43" s="308"/>
      <c r="LP43" s="308"/>
      <c r="LQ43" s="308"/>
      <c r="LR43" s="308"/>
      <c r="LS43" s="308"/>
      <c r="LT43" s="308"/>
      <c r="LU43" s="308"/>
      <c r="LV43" s="308"/>
      <c r="LW43" s="308"/>
      <c r="LX43" s="308"/>
      <c r="LY43" s="308"/>
      <c r="LZ43" s="308"/>
      <c r="MA43" s="308"/>
      <c r="MB43" s="308"/>
      <c r="MC43" s="308"/>
      <c r="MD43" s="308"/>
      <c r="ME43" s="308"/>
      <c r="MF43" s="308"/>
      <c r="MG43" s="308"/>
      <c r="MH43" s="308"/>
      <c r="MI43" s="308"/>
      <c r="MJ43" s="308"/>
      <c r="MK43" s="308"/>
      <c r="ML43" s="308"/>
      <c r="MM43" s="308"/>
      <c r="MN43" s="308"/>
      <c r="MO43" s="308"/>
      <c r="MP43" s="308"/>
      <c r="MQ43" s="308"/>
      <c r="MR43" s="308"/>
      <c r="MS43" s="308"/>
      <c r="MT43" s="308"/>
      <c r="MU43" s="308"/>
      <c r="MV43" s="308"/>
      <c r="MW43" s="308"/>
      <c r="MX43" s="308"/>
      <c r="MY43" s="308"/>
      <c r="MZ43" s="308"/>
      <c r="NA43" s="308"/>
      <c r="NB43" s="308"/>
      <c r="NC43" s="308"/>
      <c r="ND43" s="308"/>
      <c r="NE43" s="308"/>
      <c r="NF43" s="308"/>
      <c r="NG43" s="308"/>
      <c r="NH43" s="308"/>
      <c r="NI43" s="308"/>
      <c r="NJ43" s="308"/>
      <c r="NK43" s="308"/>
      <c r="NL43" s="308"/>
      <c r="NM43" s="308"/>
      <c r="NN43" s="308"/>
      <c r="NO43" s="308"/>
      <c r="NP43" s="308"/>
      <c r="NQ43" s="308"/>
      <c r="NR43" s="308"/>
      <c r="NS43" s="308"/>
      <c r="NT43" s="308"/>
      <c r="NU43" s="308"/>
      <c r="NV43" s="308"/>
      <c r="NW43" s="308"/>
      <c r="NX43" s="308"/>
      <c r="NY43" s="308"/>
      <c r="NZ43" s="308"/>
      <c r="OA43" s="308"/>
      <c r="OB43" s="308"/>
      <c r="OC43" s="308"/>
      <c r="OD43" s="308"/>
      <c r="OE43" s="308"/>
      <c r="OF43" s="308"/>
      <c r="OG43" s="308"/>
      <c r="OH43" s="308"/>
      <c r="OI43" s="308"/>
      <c r="OJ43" s="308"/>
      <c r="OK43" s="308"/>
      <c r="OL43" s="308"/>
      <c r="OM43" s="308"/>
      <c r="ON43" s="308"/>
      <c r="OO43" s="308"/>
      <c r="OP43" s="308"/>
      <c r="OQ43" s="308"/>
      <c r="OR43" s="308"/>
      <c r="OS43" s="308"/>
      <c r="OT43" s="308"/>
      <c r="OU43" s="308"/>
      <c r="OV43" s="308"/>
      <c r="OW43" s="308"/>
      <c r="OX43" s="308"/>
      <c r="OY43" s="308"/>
      <c r="OZ43" s="308"/>
      <c r="PA43" s="308"/>
      <c r="PB43" s="308"/>
      <c r="PC43" s="308"/>
      <c r="PD43" s="308"/>
      <c r="PE43" s="308"/>
      <c r="PF43" s="308"/>
      <c r="PG43" s="308"/>
      <c r="PH43" s="308"/>
      <c r="PI43" s="308"/>
      <c r="PJ43" s="308"/>
      <c r="PK43" s="308"/>
      <c r="PL43" s="308"/>
      <c r="PM43" s="308"/>
      <c r="PN43" s="308"/>
      <c r="PO43" s="308"/>
      <c r="PP43" s="308"/>
      <c r="PQ43" s="308"/>
      <c r="PR43" s="308"/>
      <c r="PS43" s="308"/>
      <c r="PT43" s="308"/>
      <c r="PU43" s="308"/>
      <c r="PV43" s="308"/>
      <c r="PW43" s="308"/>
      <c r="PX43" s="308"/>
      <c r="PY43" s="308"/>
      <c r="PZ43" s="308"/>
      <c r="QA43" s="308"/>
      <c r="QB43" s="308"/>
      <c r="QC43" s="308"/>
      <c r="QD43" s="308"/>
      <c r="QE43" s="308"/>
      <c r="QF43" s="308"/>
      <c r="QG43" s="308"/>
      <c r="QH43" s="308"/>
      <c r="QI43" s="308"/>
      <c r="QJ43" s="308"/>
      <c r="QK43" s="308"/>
      <c r="QL43" s="308"/>
      <c r="QM43" s="308"/>
      <c r="QN43" s="308"/>
      <c r="QO43" s="308"/>
      <c r="QP43" s="308"/>
      <c r="QQ43" s="308"/>
      <c r="QR43" s="308"/>
      <c r="QS43" s="308"/>
      <c r="QT43" s="308"/>
      <c r="QU43" s="308"/>
      <c r="QV43" s="308"/>
      <c r="QW43" s="308"/>
      <c r="QX43" s="308"/>
      <c r="QY43" s="308"/>
      <c r="QZ43" s="308"/>
      <c r="RA43" s="308"/>
      <c r="RB43" s="308"/>
      <c r="RC43" s="308"/>
      <c r="RD43" s="308"/>
      <c r="RE43" s="308"/>
      <c r="RF43" s="308"/>
      <c r="RG43" s="308"/>
      <c r="RH43" s="308"/>
      <c r="RI43" s="308"/>
      <c r="RJ43" s="308"/>
      <c r="RK43" s="308"/>
      <c r="RL43" s="308"/>
      <c r="RM43" s="308"/>
      <c r="RN43" s="308"/>
      <c r="RO43" s="308"/>
      <c r="RP43" s="308"/>
      <c r="RQ43" s="308"/>
      <c r="RR43" s="308"/>
      <c r="RS43" s="308"/>
      <c r="RT43" s="308"/>
      <c r="RU43" s="308"/>
      <c r="RV43" s="308"/>
      <c r="RW43" s="308"/>
      <c r="RX43" s="308"/>
      <c r="RY43" s="308"/>
      <c r="RZ43" s="308"/>
      <c r="SA43" s="308"/>
      <c r="SB43" s="308"/>
      <c r="SC43" s="308"/>
      <c r="SD43" s="308"/>
      <c r="SE43" s="308"/>
      <c r="SF43" s="308"/>
      <c r="SG43" s="308"/>
      <c r="SH43" s="308"/>
      <c r="SI43" s="308"/>
      <c r="SJ43" s="308"/>
      <c r="SK43" s="308"/>
      <c r="SL43" s="308"/>
      <c r="SM43" s="308"/>
      <c r="SN43" s="308"/>
      <c r="SO43" s="308"/>
      <c r="SP43" s="308"/>
      <c r="SQ43" s="308"/>
      <c r="SR43" s="308"/>
      <c r="SS43" s="308"/>
      <c r="ST43" s="308"/>
      <c r="SU43" s="308"/>
      <c r="SV43" s="308"/>
      <c r="SW43" s="308"/>
      <c r="SX43" s="308"/>
      <c r="SY43" s="308"/>
      <c r="SZ43" s="308"/>
      <c r="TA43" s="308"/>
      <c r="TB43" s="308"/>
      <c r="TC43" s="308"/>
      <c r="TD43" s="308"/>
      <c r="TE43" s="308"/>
      <c r="TF43" s="308"/>
      <c r="TG43" s="308"/>
      <c r="TH43" s="308"/>
      <c r="TI43" s="308"/>
      <c r="TJ43" s="308"/>
      <c r="TK43" s="308"/>
      <c r="TL43" s="308"/>
      <c r="TM43" s="308"/>
      <c r="TN43" s="308"/>
      <c r="TO43" s="308"/>
      <c r="TP43" s="308"/>
      <c r="TQ43" s="308"/>
      <c r="TR43" s="308"/>
      <c r="TS43" s="308"/>
      <c r="TT43" s="308"/>
      <c r="TU43" s="308"/>
      <c r="TV43" s="308"/>
      <c r="TW43" s="308"/>
      <c r="TX43" s="308"/>
      <c r="TY43" s="308"/>
      <c r="TZ43" s="308"/>
      <c r="UA43" s="308"/>
      <c r="UB43" s="308"/>
      <c r="UC43" s="308"/>
      <c r="UD43" s="308"/>
      <c r="UE43" s="308"/>
      <c r="UF43" s="308"/>
      <c r="UG43" s="308"/>
      <c r="UH43" s="308"/>
      <c r="UI43" s="308"/>
      <c r="UJ43" s="308"/>
      <c r="UK43" s="308"/>
      <c r="UL43" s="308"/>
      <c r="UM43" s="308"/>
      <c r="UN43" s="308"/>
      <c r="UO43" s="308"/>
      <c r="UP43" s="308"/>
      <c r="UQ43" s="308"/>
      <c r="UR43" s="308"/>
      <c r="US43" s="308"/>
      <c r="UT43" s="308"/>
      <c r="UU43" s="308"/>
      <c r="UV43" s="308"/>
      <c r="UW43" s="308"/>
      <c r="UX43" s="308"/>
      <c r="UY43" s="308"/>
      <c r="UZ43" s="308"/>
      <c r="VA43" s="308"/>
      <c r="VB43" s="308"/>
      <c r="VC43" s="308"/>
      <c r="VD43" s="308"/>
      <c r="VE43" s="308"/>
      <c r="VF43" s="308"/>
      <c r="VG43" s="308"/>
      <c r="VH43" s="308"/>
      <c r="VI43" s="308"/>
      <c r="VJ43" s="308"/>
      <c r="VK43" s="308"/>
      <c r="VL43" s="308"/>
      <c r="VM43" s="308"/>
      <c r="VN43" s="308"/>
      <c r="VO43" s="308"/>
      <c r="VP43" s="308"/>
      <c r="VQ43" s="308"/>
      <c r="VR43" s="308"/>
      <c r="VS43" s="308"/>
      <c r="VT43" s="308"/>
      <c r="VU43" s="308"/>
      <c r="VV43" s="308"/>
      <c r="VW43" s="308"/>
      <c r="VX43" s="308"/>
      <c r="VY43" s="308"/>
      <c r="VZ43" s="308"/>
      <c r="WA43" s="308"/>
      <c r="WB43" s="308"/>
      <c r="WC43" s="308"/>
      <c r="WD43" s="308"/>
      <c r="WE43" s="308"/>
      <c r="WF43" s="308"/>
      <c r="WG43" s="308"/>
      <c r="WH43" s="308"/>
      <c r="WI43" s="308"/>
      <c r="WJ43" s="308"/>
      <c r="WK43" s="308"/>
      <c r="WL43" s="308"/>
      <c r="WM43" s="308"/>
      <c r="WN43" s="308"/>
      <c r="WO43" s="308"/>
      <c r="WP43" s="308"/>
      <c r="WQ43" s="308"/>
      <c r="WR43" s="308"/>
      <c r="WS43" s="308"/>
      <c r="WT43" s="308"/>
      <c r="WU43" s="308"/>
      <c r="WV43" s="308"/>
      <c r="WW43" s="308"/>
      <c r="WX43" s="308"/>
      <c r="WY43" s="308"/>
      <c r="WZ43" s="308"/>
      <c r="XA43" s="308"/>
      <c r="XB43" s="308"/>
      <c r="XC43" s="308"/>
      <c r="XD43" s="308"/>
      <c r="XE43" s="308"/>
      <c r="XF43" s="308"/>
      <c r="XG43" s="308"/>
      <c r="XH43" s="308"/>
      <c r="XI43" s="308"/>
      <c r="XJ43" s="308"/>
      <c r="XK43" s="308"/>
      <c r="XL43" s="308"/>
      <c r="XM43" s="308"/>
      <c r="XN43" s="308"/>
      <c r="XO43" s="308"/>
      <c r="XP43" s="308"/>
      <c r="XQ43" s="308"/>
      <c r="XR43" s="308"/>
      <c r="XS43" s="308"/>
      <c r="XT43" s="308"/>
      <c r="XU43" s="308"/>
      <c r="XV43" s="308"/>
      <c r="XW43" s="308"/>
      <c r="XX43" s="308"/>
      <c r="XY43" s="308"/>
      <c r="XZ43" s="308"/>
      <c r="YA43" s="308"/>
      <c r="YB43" s="308"/>
      <c r="YC43" s="308"/>
      <c r="YD43" s="308"/>
      <c r="YE43" s="308"/>
      <c r="YF43" s="308"/>
      <c r="YG43" s="308"/>
      <c r="YH43" s="308"/>
      <c r="YI43" s="308"/>
      <c r="YJ43" s="308"/>
      <c r="YK43" s="308"/>
      <c r="YL43" s="308"/>
      <c r="YM43" s="308"/>
      <c r="YN43" s="308"/>
      <c r="YO43" s="308"/>
      <c r="YP43" s="308"/>
      <c r="YQ43" s="308"/>
      <c r="YR43" s="308"/>
      <c r="YS43" s="308"/>
      <c r="YT43" s="308"/>
      <c r="YU43" s="308"/>
      <c r="YV43" s="308"/>
      <c r="YW43" s="308"/>
      <c r="YX43" s="308"/>
      <c r="YY43" s="308"/>
      <c r="YZ43" s="308"/>
      <c r="ZA43" s="308"/>
      <c r="ZB43" s="308"/>
      <c r="ZC43" s="308"/>
      <c r="ZD43" s="308"/>
      <c r="ZE43" s="308"/>
      <c r="ZF43" s="308"/>
      <c r="ZG43" s="308"/>
      <c r="ZH43" s="308"/>
      <c r="ZI43" s="308"/>
      <c r="ZJ43" s="308"/>
      <c r="ZK43" s="308"/>
      <c r="ZL43" s="308"/>
      <c r="ZM43" s="308"/>
      <c r="ZN43" s="308"/>
      <c r="ZO43" s="308"/>
      <c r="ZP43" s="308"/>
      <c r="ZQ43" s="308"/>
      <c r="ZR43" s="308"/>
      <c r="ZS43" s="308"/>
      <c r="ZT43" s="308"/>
      <c r="ZU43" s="308"/>
      <c r="ZV43" s="308"/>
      <c r="ZW43" s="308"/>
      <c r="ZX43" s="308"/>
      <c r="ZY43" s="308"/>
      <c r="ZZ43" s="308"/>
      <c r="AAA43" s="308"/>
      <c r="AAB43" s="308"/>
      <c r="AAC43" s="308"/>
      <c r="AAD43" s="308"/>
      <c r="AAE43" s="308"/>
      <c r="AAF43" s="308"/>
      <c r="AAG43" s="308"/>
      <c r="AAH43" s="308"/>
      <c r="AAI43" s="308"/>
      <c r="AAJ43" s="308"/>
      <c r="AAK43" s="308"/>
      <c r="AAL43" s="308"/>
      <c r="AAM43" s="308"/>
      <c r="AAN43" s="308"/>
      <c r="AAO43" s="308"/>
      <c r="AAP43" s="308"/>
      <c r="AAQ43" s="308"/>
      <c r="AAR43" s="308"/>
      <c r="AAS43" s="308"/>
      <c r="AAT43" s="308"/>
      <c r="AAU43" s="308"/>
      <c r="AAV43" s="308"/>
      <c r="AAW43" s="308"/>
      <c r="AAX43" s="308"/>
      <c r="AAY43" s="308"/>
      <c r="AAZ43" s="308"/>
      <c r="ABA43" s="308"/>
      <c r="ABB43" s="308"/>
      <c r="ABC43" s="308"/>
      <c r="ABD43" s="308"/>
      <c r="ABE43" s="308"/>
      <c r="ABF43" s="308"/>
      <c r="ABG43" s="308"/>
      <c r="ABH43" s="308"/>
      <c r="ABI43" s="308"/>
      <c r="ABJ43" s="308"/>
      <c r="ABK43" s="308"/>
      <c r="ABL43" s="308"/>
      <c r="ABM43" s="308"/>
      <c r="ABN43" s="308"/>
      <c r="ABO43" s="308"/>
      <c r="ABP43" s="308"/>
      <c r="ABQ43" s="308"/>
      <c r="ABR43" s="308"/>
      <c r="ABS43" s="308"/>
      <c r="ABT43" s="308"/>
      <c r="ABU43" s="308"/>
      <c r="ABV43" s="308"/>
      <c r="ABW43" s="308"/>
      <c r="ABX43" s="308"/>
      <c r="ABY43" s="308"/>
      <c r="ABZ43" s="308"/>
      <c r="ACA43" s="308"/>
      <c r="ACB43" s="308"/>
      <c r="ACC43" s="308"/>
      <c r="ACD43" s="308"/>
      <c r="ACE43" s="308"/>
      <c r="ACF43" s="308"/>
      <c r="ACG43" s="308"/>
      <c r="ACH43" s="308"/>
      <c r="ACI43" s="308"/>
      <c r="ACJ43" s="308"/>
      <c r="ACK43" s="308"/>
      <c r="ACL43" s="308"/>
      <c r="ACM43" s="308"/>
      <c r="ACN43" s="308"/>
      <c r="ACO43" s="308"/>
      <c r="ACP43" s="308"/>
      <c r="ACQ43" s="308"/>
      <c r="ACR43" s="308"/>
      <c r="ACS43" s="308"/>
      <c r="ACT43" s="308"/>
      <c r="ACU43" s="308"/>
      <c r="ACV43" s="308"/>
      <c r="ACW43" s="308"/>
      <c r="ACX43" s="308"/>
      <c r="ACY43" s="308"/>
      <c r="ACZ43" s="308"/>
      <c r="ADA43" s="308"/>
      <c r="ADB43" s="308"/>
      <c r="ADC43" s="308"/>
      <c r="ADD43" s="308"/>
      <c r="ADE43" s="308"/>
      <c r="ADF43" s="308"/>
      <c r="ADG43" s="308"/>
      <c r="ADH43" s="308"/>
      <c r="ADI43" s="308"/>
      <c r="ADJ43" s="308"/>
      <c r="ADK43" s="308"/>
      <c r="ADL43" s="308"/>
      <c r="ADM43" s="308"/>
      <c r="ADN43" s="308"/>
      <c r="ADO43" s="308"/>
      <c r="ADP43" s="308"/>
      <c r="ADQ43" s="308"/>
      <c r="ADR43" s="308"/>
      <c r="ADS43" s="308"/>
      <c r="ADT43" s="308"/>
      <c r="ADU43" s="308"/>
      <c r="ADV43" s="308"/>
      <c r="ADW43" s="308"/>
      <c r="ADX43" s="308"/>
      <c r="ADY43" s="308"/>
      <c r="ADZ43" s="308"/>
      <c r="AEA43" s="308"/>
      <c r="AEB43" s="308"/>
      <c r="AEC43" s="308"/>
      <c r="AED43" s="308"/>
      <c r="AEE43" s="308"/>
      <c r="AEF43" s="308"/>
      <c r="AEG43" s="308"/>
      <c r="AEH43" s="308"/>
      <c r="AEI43" s="308"/>
      <c r="AEJ43" s="308"/>
      <c r="AEK43" s="308"/>
      <c r="AEL43" s="308"/>
      <c r="AEM43" s="308"/>
      <c r="AEN43" s="308"/>
      <c r="AEO43" s="308"/>
      <c r="AEP43" s="308"/>
      <c r="AEQ43" s="308"/>
      <c r="AER43" s="308"/>
      <c r="AES43" s="308"/>
      <c r="AET43" s="308"/>
      <c r="AEU43" s="308"/>
      <c r="AEV43" s="308"/>
      <c r="AEW43" s="308"/>
      <c r="AEX43" s="308"/>
      <c r="AEY43" s="308"/>
      <c r="AEZ43" s="308"/>
      <c r="AFA43" s="308"/>
      <c r="AFB43" s="308"/>
      <c r="AFC43" s="308"/>
      <c r="AFD43" s="308"/>
      <c r="AFE43" s="308"/>
      <c r="AFF43" s="308"/>
      <c r="AFG43" s="308"/>
      <c r="AFH43" s="308"/>
      <c r="AFI43" s="308"/>
      <c r="AFJ43" s="308"/>
      <c r="AFK43" s="308"/>
      <c r="AFL43" s="308"/>
      <c r="AFM43" s="308"/>
      <c r="AFN43" s="308"/>
      <c r="AFO43" s="308"/>
      <c r="AFP43" s="308"/>
      <c r="AFQ43" s="308"/>
      <c r="AFR43" s="308"/>
      <c r="AFS43" s="308"/>
      <c r="AFT43" s="308"/>
      <c r="AFU43" s="308"/>
      <c r="AFV43" s="308"/>
      <c r="AFW43" s="308"/>
      <c r="AFX43" s="308"/>
      <c r="AFY43" s="308"/>
      <c r="AFZ43" s="308"/>
      <c r="AGA43" s="308"/>
      <c r="AGB43" s="308"/>
      <c r="AGC43" s="308"/>
      <c r="AGD43" s="308"/>
      <c r="AGE43" s="308"/>
      <c r="AGF43" s="308"/>
      <c r="AGG43" s="308"/>
      <c r="AGH43" s="308"/>
      <c r="AGI43" s="308"/>
      <c r="AGJ43" s="308"/>
      <c r="AGK43" s="308"/>
      <c r="AGL43" s="308"/>
      <c r="AGM43" s="308"/>
      <c r="AGN43" s="308"/>
      <c r="AGO43" s="308"/>
      <c r="AGP43" s="308"/>
      <c r="AGQ43" s="308"/>
      <c r="AGR43" s="308"/>
      <c r="AGS43" s="308"/>
      <c r="AGT43" s="308"/>
      <c r="AGU43" s="308"/>
      <c r="AGV43" s="308"/>
      <c r="AGW43" s="308"/>
      <c r="AGX43" s="308"/>
      <c r="AGY43" s="308"/>
      <c r="AGZ43" s="308"/>
      <c r="AHA43" s="308"/>
      <c r="AHB43" s="308"/>
      <c r="AHC43" s="308"/>
      <c r="AHD43" s="308"/>
      <c r="AHE43" s="308"/>
      <c r="AHF43" s="308"/>
      <c r="AHG43" s="308"/>
      <c r="AHH43" s="308"/>
      <c r="AHI43" s="308"/>
      <c r="AHJ43" s="308"/>
      <c r="AHK43" s="308"/>
      <c r="AHL43" s="308"/>
      <c r="AHM43" s="308"/>
      <c r="AHN43" s="308"/>
      <c r="AHO43" s="308"/>
      <c r="AHP43" s="308"/>
      <c r="AHQ43" s="308"/>
      <c r="AHR43" s="308"/>
      <c r="AHS43" s="308"/>
      <c r="AHT43" s="308"/>
      <c r="AHU43" s="308"/>
      <c r="AHV43" s="308"/>
      <c r="AHW43" s="308"/>
      <c r="AHX43" s="308"/>
      <c r="AHY43" s="308"/>
      <c r="AHZ43" s="308"/>
      <c r="AIA43" s="308"/>
      <c r="AIB43" s="308"/>
      <c r="AIC43" s="308"/>
      <c r="AID43" s="308"/>
      <c r="AIE43" s="308"/>
      <c r="AIF43" s="308"/>
      <c r="AIG43" s="308"/>
      <c r="AIH43" s="308"/>
      <c r="AII43" s="308"/>
      <c r="AIJ43" s="308"/>
      <c r="AIK43" s="308"/>
      <c r="AIL43" s="308"/>
      <c r="AIM43" s="308"/>
      <c r="AIN43" s="308"/>
      <c r="AIO43" s="308"/>
      <c r="AIP43" s="308"/>
      <c r="AIQ43" s="308"/>
      <c r="AIR43" s="308"/>
      <c r="AIS43" s="308"/>
      <c r="AIT43" s="308"/>
      <c r="AIU43" s="308"/>
      <c r="AIV43" s="308"/>
      <c r="AIW43" s="308"/>
      <c r="AIX43" s="308"/>
      <c r="AIY43" s="308"/>
      <c r="AIZ43" s="308"/>
      <c r="AJA43" s="308"/>
      <c r="AJB43" s="308"/>
      <c r="AJC43" s="308"/>
    </row>
    <row r="44" spans="1:940" s="546" customFormat="1">
      <c r="A44" s="113">
        <f t="shared" si="0"/>
        <v>37</v>
      </c>
      <c r="B44" s="113">
        <v>1725</v>
      </c>
      <c r="C44" s="113" t="s">
        <v>51</v>
      </c>
      <c r="D44" s="117">
        <f>13700000-180000</f>
        <v>13520000</v>
      </c>
      <c r="E44" s="117">
        <v>13700000</v>
      </c>
      <c r="F44" s="117">
        <f t="shared" si="1"/>
        <v>-180000</v>
      </c>
      <c r="G44" s="117">
        <v>13700000</v>
      </c>
      <c r="H44" s="117">
        <v>13343609.32</v>
      </c>
      <c r="I44" s="117">
        <v>48702.71</v>
      </c>
      <c r="J44" s="117">
        <v>122599.34</v>
      </c>
      <c r="K44" s="117">
        <f t="shared" si="18"/>
        <v>171302.05</v>
      </c>
      <c r="L44" s="117">
        <f t="shared" si="3"/>
        <v>13514911.370000001</v>
      </c>
      <c r="M44" s="117">
        <f>P44+S44-180000</f>
        <v>5088.6299999989569</v>
      </c>
      <c r="N44" s="117"/>
      <c r="O44" s="117">
        <f t="shared" si="10"/>
        <v>0</v>
      </c>
      <c r="P44" s="117">
        <f t="shared" si="4"/>
        <v>185088.62999999896</v>
      </c>
      <c r="Q44" s="117"/>
      <c r="R44" s="117"/>
      <c r="S44" s="117">
        <f t="shared" si="19"/>
        <v>0</v>
      </c>
      <c r="T44" s="117">
        <f t="shared" si="6"/>
        <v>180000</v>
      </c>
      <c r="U44" s="117">
        <f t="shared" si="7"/>
        <v>-180000</v>
      </c>
      <c r="V44" s="117">
        <f t="shared" si="8"/>
        <v>-180000</v>
      </c>
      <c r="W44" s="543"/>
      <c r="X44" s="117"/>
      <c r="Y44" s="117"/>
      <c r="Z44" s="113"/>
      <c r="AA44" s="113">
        <v>742000</v>
      </c>
      <c r="AB44" s="117"/>
      <c r="AC44" s="117"/>
      <c r="AD44" s="117">
        <v>-180000</v>
      </c>
      <c r="AE44" s="117"/>
      <c r="AF44" s="117"/>
      <c r="AG44" s="117"/>
      <c r="AH44" s="117"/>
      <c r="AI44" s="117"/>
      <c r="AJ44" s="117"/>
      <c r="AK44" s="117">
        <f t="shared" si="11"/>
        <v>-180000</v>
      </c>
      <c r="AL44" s="565"/>
      <c r="AM44" s="566">
        <f t="shared" si="12"/>
        <v>-180000</v>
      </c>
      <c r="AN44" s="117">
        <f t="shared" si="13"/>
        <v>0</v>
      </c>
      <c r="AO44" s="117">
        <f t="shared" si="14"/>
        <v>-180000</v>
      </c>
      <c r="AP44" s="565"/>
      <c r="AQ44" s="565"/>
      <c r="AR44" s="565"/>
      <c r="AS44" s="565"/>
      <c r="AT44" s="117">
        <f t="shared" si="15"/>
        <v>0</v>
      </c>
      <c r="AU44" s="565"/>
      <c r="AV44" s="565"/>
      <c r="AW44" s="565"/>
      <c r="AX44" s="565"/>
      <c r="AY44" s="117">
        <f t="shared" si="16"/>
        <v>0</v>
      </c>
      <c r="AZ44" s="565"/>
      <c r="BA44" s="565"/>
      <c r="BB44" s="565"/>
      <c r="BC44" s="565"/>
      <c r="BD44" s="308"/>
      <c r="BE44" s="308"/>
      <c r="BF44" s="308"/>
      <c r="BG44" s="308"/>
      <c r="BH44" s="308"/>
      <c r="BI44" s="308"/>
      <c r="BJ44" s="308"/>
      <c r="BK44" s="308"/>
      <c r="BL44" s="308"/>
      <c r="BM44" s="308"/>
      <c r="BN44" s="308"/>
      <c r="BO44" s="308"/>
      <c r="BP44" s="308"/>
      <c r="BQ44" s="308"/>
      <c r="BR44" s="308"/>
      <c r="BS44" s="308"/>
      <c r="BT44" s="308"/>
      <c r="BU44" s="308"/>
      <c r="BV44" s="308"/>
      <c r="BW44" s="308"/>
      <c r="BX44" s="308"/>
      <c r="BY44" s="308"/>
      <c r="BZ44" s="308"/>
      <c r="CA44" s="308"/>
      <c r="CB44" s="308"/>
      <c r="CC44" s="308"/>
      <c r="CD44" s="308"/>
      <c r="CE44" s="308"/>
      <c r="CF44" s="308"/>
      <c r="CG44" s="308"/>
      <c r="CH44" s="308"/>
      <c r="CI44" s="308"/>
      <c r="CJ44" s="308"/>
      <c r="CK44" s="308"/>
      <c r="CL44" s="308"/>
      <c r="CM44" s="308"/>
      <c r="CN44" s="308"/>
      <c r="CO44" s="308"/>
      <c r="CP44" s="308"/>
      <c r="CQ44" s="308"/>
      <c r="CR44" s="308"/>
      <c r="CS44" s="308"/>
      <c r="CT44" s="308"/>
      <c r="CU44" s="308"/>
      <c r="CV44" s="308"/>
      <c r="CW44" s="308"/>
      <c r="CX44" s="308"/>
      <c r="CY44" s="308"/>
      <c r="CZ44" s="308"/>
      <c r="DA44" s="308"/>
      <c r="DB44" s="308"/>
      <c r="DC44" s="308"/>
      <c r="DD44" s="308"/>
      <c r="DE44" s="308"/>
      <c r="DF44" s="308"/>
      <c r="DG44" s="308"/>
      <c r="DH44" s="308"/>
      <c r="DI44" s="308"/>
      <c r="DJ44" s="308"/>
      <c r="DK44" s="308"/>
      <c r="DL44" s="308"/>
      <c r="DM44" s="308"/>
      <c r="DN44" s="308"/>
      <c r="DO44" s="308"/>
      <c r="DP44" s="308"/>
      <c r="DQ44" s="308"/>
      <c r="DR44" s="308"/>
      <c r="DS44" s="308"/>
      <c r="DT44" s="308"/>
      <c r="DU44" s="308"/>
      <c r="DV44" s="308"/>
      <c r="DW44" s="308"/>
      <c r="DX44" s="308"/>
      <c r="DY44" s="308"/>
      <c r="DZ44" s="308"/>
      <c r="EA44" s="308"/>
      <c r="EB44" s="308"/>
      <c r="EC44" s="308"/>
      <c r="ED44" s="308"/>
      <c r="EE44" s="308"/>
      <c r="EF44" s="308"/>
      <c r="EG44" s="308"/>
      <c r="EH44" s="308"/>
      <c r="EI44" s="308"/>
      <c r="EJ44" s="308"/>
      <c r="EK44" s="308"/>
      <c r="EL44" s="308"/>
      <c r="EM44" s="308"/>
      <c r="EN44" s="308"/>
      <c r="EO44" s="308"/>
      <c r="EP44" s="308"/>
      <c r="EQ44" s="308"/>
      <c r="ER44" s="308"/>
      <c r="ES44" s="308"/>
      <c r="ET44" s="308"/>
      <c r="EU44" s="308"/>
      <c r="EV44" s="308"/>
      <c r="EW44" s="308"/>
      <c r="EX44" s="308"/>
      <c r="EY44" s="308"/>
      <c r="EZ44" s="308"/>
      <c r="FA44" s="308"/>
      <c r="FB44" s="308"/>
      <c r="FC44" s="308"/>
      <c r="FD44" s="308"/>
      <c r="FE44" s="308"/>
      <c r="FF44" s="308"/>
      <c r="FG44" s="308"/>
      <c r="FH44" s="308"/>
      <c r="FI44" s="308"/>
      <c r="FJ44" s="308"/>
      <c r="FK44" s="308"/>
      <c r="FL44" s="308"/>
      <c r="FM44" s="308"/>
      <c r="FN44" s="308"/>
      <c r="FO44" s="308"/>
      <c r="FP44" s="308"/>
      <c r="FQ44" s="308"/>
      <c r="FR44" s="308"/>
      <c r="FS44" s="308"/>
      <c r="FT44" s="308"/>
      <c r="FU44" s="308"/>
      <c r="FV44" s="308"/>
      <c r="FW44" s="308"/>
      <c r="FX44" s="308"/>
      <c r="FY44" s="308"/>
      <c r="FZ44" s="308"/>
      <c r="GA44" s="308"/>
      <c r="GB44" s="308"/>
      <c r="GC44" s="308"/>
      <c r="GD44" s="308"/>
      <c r="GE44" s="308"/>
      <c r="GF44" s="308"/>
      <c r="GG44" s="308"/>
      <c r="GH44" s="308"/>
      <c r="GI44" s="308"/>
      <c r="GJ44" s="308"/>
      <c r="GK44" s="308"/>
      <c r="GL44" s="308"/>
      <c r="GM44" s="308"/>
      <c r="GN44" s="308"/>
      <c r="GO44" s="308"/>
      <c r="GP44" s="308"/>
      <c r="GQ44" s="308"/>
      <c r="GR44" s="308"/>
      <c r="GS44" s="308"/>
      <c r="GT44" s="308"/>
      <c r="GU44" s="308"/>
      <c r="GV44" s="308"/>
      <c r="GW44" s="308"/>
      <c r="GX44" s="308"/>
      <c r="GY44" s="308"/>
      <c r="GZ44" s="308"/>
      <c r="HA44" s="308"/>
      <c r="HB44" s="308"/>
      <c r="HC44" s="308"/>
      <c r="HD44" s="308"/>
      <c r="HE44" s="308"/>
      <c r="HF44" s="308"/>
      <c r="HG44" s="308"/>
      <c r="HH44" s="308"/>
      <c r="HI44" s="308"/>
      <c r="HJ44" s="308"/>
      <c r="HK44" s="308"/>
      <c r="HL44" s="308"/>
      <c r="HM44" s="308"/>
      <c r="HN44" s="308"/>
      <c r="HO44" s="308"/>
      <c r="HP44" s="308"/>
      <c r="HQ44" s="308"/>
      <c r="HR44" s="308"/>
      <c r="HS44" s="308"/>
      <c r="HT44" s="308"/>
      <c r="HU44" s="308"/>
      <c r="HV44" s="308"/>
      <c r="HW44" s="308"/>
      <c r="HX44" s="308"/>
      <c r="HY44" s="308"/>
      <c r="HZ44" s="308"/>
      <c r="IA44" s="308"/>
      <c r="IB44" s="308"/>
      <c r="IC44" s="308"/>
      <c r="ID44" s="308"/>
      <c r="IE44" s="308"/>
      <c r="IF44" s="308"/>
      <c r="IG44" s="308"/>
      <c r="IH44" s="308"/>
      <c r="II44" s="308"/>
      <c r="IJ44" s="308"/>
      <c r="IK44" s="308"/>
      <c r="IL44" s="308"/>
      <c r="IM44" s="308"/>
      <c r="IN44" s="308"/>
      <c r="IO44" s="308"/>
      <c r="IP44" s="308"/>
      <c r="IQ44" s="308"/>
      <c r="IR44" s="308"/>
      <c r="IS44" s="308"/>
      <c r="IT44" s="308"/>
      <c r="IU44" s="308"/>
      <c r="IV44" s="308"/>
      <c r="IW44" s="308"/>
      <c r="IX44" s="308"/>
      <c r="IY44" s="308"/>
      <c r="IZ44" s="308"/>
      <c r="JA44" s="308"/>
      <c r="JB44" s="308"/>
      <c r="JC44" s="308"/>
      <c r="JD44" s="308"/>
      <c r="JE44" s="308"/>
      <c r="JF44" s="308"/>
      <c r="JG44" s="308"/>
      <c r="JH44" s="308"/>
      <c r="JI44" s="308"/>
      <c r="JJ44" s="308"/>
      <c r="JK44" s="308"/>
      <c r="JL44" s="308"/>
      <c r="JM44" s="308"/>
      <c r="JN44" s="308"/>
      <c r="JO44" s="308"/>
      <c r="JP44" s="308"/>
      <c r="JQ44" s="308"/>
      <c r="JR44" s="308"/>
      <c r="JS44" s="308"/>
      <c r="JT44" s="308"/>
      <c r="JU44" s="308"/>
      <c r="JV44" s="308"/>
      <c r="JW44" s="308"/>
      <c r="JX44" s="308"/>
      <c r="JY44" s="308"/>
      <c r="JZ44" s="308"/>
      <c r="KA44" s="308"/>
      <c r="KB44" s="308"/>
      <c r="KC44" s="308"/>
      <c r="KD44" s="308"/>
      <c r="KE44" s="308"/>
      <c r="KF44" s="308"/>
      <c r="KG44" s="308"/>
      <c r="KH44" s="308"/>
      <c r="KI44" s="308"/>
      <c r="KJ44" s="308"/>
      <c r="KK44" s="308"/>
      <c r="KL44" s="308"/>
      <c r="KM44" s="308"/>
      <c r="KN44" s="308"/>
      <c r="KO44" s="308"/>
      <c r="KP44" s="308"/>
      <c r="KQ44" s="308"/>
      <c r="KR44" s="308"/>
      <c r="KS44" s="308"/>
      <c r="KT44" s="308"/>
      <c r="KU44" s="308"/>
      <c r="KV44" s="308"/>
      <c r="KW44" s="308"/>
      <c r="KX44" s="308"/>
      <c r="KY44" s="308"/>
      <c r="KZ44" s="308"/>
      <c r="LA44" s="308"/>
      <c r="LB44" s="308"/>
      <c r="LC44" s="308"/>
      <c r="LD44" s="308"/>
      <c r="LE44" s="308"/>
      <c r="LF44" s="308"/>
      <c r="LG44" s="308"/>
      <c r="LH44" s="308"/>
      <c r="LI44" s="308"/>
      <c r="LJ44" s="308"/>
      <c r="LK44" s="308"/>
      <c r="LL44" s="308"/>
      <c r="LM44" s="308"/>
      <c r="LN44" s="308"/>
      <c r="LO44" s="308"/>
      <c r="LP44" s="308"/>
      <c r="LQ44" s="308"/>
      <c r="LR44" s="308"/>
      <c r="LS44" s="308"/>
      <c r="LT44" s="308"/>
      <c r="LU44" s="308"/>
      <c r="LV44" s="308"/>
      <c r="LW44" s="308"/>
      <c r="LX44" s="308"/>
      <c r="LY44" s="308"/>
      <c r="LZ44" s="308"/>
      <c r="MA44" s="308"/>
      <c r="MB44" s="308"/>
      <c r="MC44" s="308"/>
      <c r="MD44" s="308"/>
      <c r="ME44" s="308"/>
      <c r="MF44" s="308"/>
      <c r="MG44" s="308"/>
      <c r="MH44" s="308"/>
      <c r="MI44" s="308"/>
      <c r="MJ44" s="308"/>
      <c r="MK44" s="308"/>
      <c r="ML44" s="308"/>
      <c r="MM44" s="308"/>
      <c r="MN44" s="308"/>
      <c r="MO44" s="308"/>
      <c r="MP44" s="308"/>
      <c r="MQ44" s="308"/>
      <c r="MR44" s="308"/>
      <c r="MS44" s="308"/>
      <c r="MT44" s="308"/>
      <c r="MU44" s="308"/>
      <c r="MV44" s="308"/>
      <c r="MW44" s="308"/>
      <c r="MX44" s="308"/>
      <c r="MY44" s="308"/>
      <c r="MZ44" s="308"/>
      <c r="NA44" s="308"/>
      <c r="NB44" s="308"/>
      <c r="NC44" s="308"/>
      <c r="ND44" s="308"/>
      <c r="NE44" s="308"/>
      <c r="NF44" s="308"/>
      <c r="NG44" s="308"/>
      <c r="NH44" s="308"/>
      <c r="NI44" s="308"/>
      <c r="NJ44" s="308"/>
      <c r="NK44" s="308"/>
      <c r="NL44" s="308"/>
      <c r="NM44" s="308"/>
      <c r="NN44" s="308"/>
      <c r="NO44" s="308"/>
      <c r="NP44" s="308"/>
      <c r="NQ44" s="308"/>
      <c r="NR44" s="308"/>
      <c r="NS44" s="308"/>
      <c r="NT44" s="308"/>
      <c r="NU44" s="308"/>
      <c r="NV44" s="308"/>
      <c r="NW44" s="308"/>
      <c r="NX44" s="308"/>
      <c r="NY44" s="308"/>
      <c r="NZ44" s="308"/>
      <c r="OA44" s="308"/>
      <c r="OB44" s="308"/>
      <c r="OC44" s="308"/>
      <c r="OD44" s="308"/>
      <c r="OE44" s="308"/>
      <c r="OF44" s="308"/>
      <c r="OG44" s="308"/>
      <c r="OH44" s="308"/>
      <c r="OI44" s="308"/>
      <c r="OJ44" s="308"/>
      <c r="OK44" s="308"/>
      <c r="OL44" s="308"/>
      <c r="OM44" s="308"/>
      <c r="ON44" s="308"/>
      <c r="OO44" s="308"/>
      <c r="OP44" s="308"/>
      <c r="OQ44" s="308"/>
      <c r="OR44" s="308"/>
      <c r="OS44" s="308"/>
      <c r="OT44" s="308"/>
      <c r="OU44" s="308"/>
      <c r="OV44" s="308"/>
      <c r="OW44" s="308"/>
      <c r="OX44" s="308"/>
      <c r="OY44" s="308"/>
      <c r="OZ44" s="308"/>
      <c r="PA44" s="308"/>
      <c r="PB44" s="308"/>
      <c r="PC44" s="308"/>
      <c r="PD44" s="308"/>
      <c r="PE44" s="308"/>
      <c r="PF44" s="308"/>
      <c r="PG44" s="308"/>
      <c r="PH44" s="308"/>
      <c r="PI44" s="308"/>
      <c r="PJ44" s="308"/>
      <c r="PK44" s="308"/>
      <c r="PL44" s="308"/>
      <c r="PM44" s="308"/>
      <c r="PN44" s="308"/>
      <c r="PO44" s="308"/>
      <c r="PP44" s="308"/>
      <c r="PQ44" s="308"/>
      <c r="PR44" s="308"/>
      <c r="PS44" s="308"/>
      <c r="PT44" s="308"/>
      <c r="PU44" s="308"/>
      <c r="PV44" s="308"/>
      <c r="PW44" s="308"/>
      <c r="PX44" s="308"/>
      <c r="PY44" s="308"/>
      <c r="PZ44" s="308"/>
      <c r="QA44" s="308"/>
      <c r="QB44" s="308"/>
      <c r="QC44" s="308"/>
      <c r="QD44" s="308"/>
      <c r="QE44" s="308"/>
      <c r="QF44" s="308"/>
      <c r="QG44" s="308"/>
      <c r="QH44" s="308"/>
      <c r="QI44" s="308"/>
      <c r="QJ44" s="308"/>
      <c r="QK44" s="308"/>
      <c r="QL44" s="308"/>
      <c r="QM44" s="308"/>
      <c r="QN44" s="308"/>
      <c r="QO44" s="308"/>
      <c r="QP44" s="308"/>
      <c r="QQ44" s="308"/>
      <c r="QR44" s="308"/>
      <c r="QS44" s="308"/>
      <c r="QT44" s="308"/>
      <c r="QU44" s="308"/>
      <c r="QV44" s="308"/>
      <c r="QW44" s="308"/>
      <c r="QX44" s="308"/>
      <c r="QY44" s="308"/>
      <c r="QZ44" s="308"/>
      <c r="RA44" s="308"/>
      <c r="RB44" s="308"/>
      <c r="RC44" s="308"/>
      <c r="RD44" s="308"/>
      <c r="RE44" s="308"/>
      <c r="RF44" s="308"/>
      <c r="RG44" s="308"/>
      <c r="RH44" s="308"/>
      <c r="RI44" s="308"/>
      <c r="RJ44" s="308"/>
      <c r="RK44" s="308"/>
      <c r="RL44" s="308"/>
      <c r="RM44" s="308"/>
      <c r="RN44" s="308"/>
      <c r="RO44" s="308"/>
      <c r="RP44" s="308"/>
      <c r="RQ44" s="308"/>
      <c r="RR44" s="308"/>
      <c r="RS44" s="308"/>
      <c r="RT44" s="308"/>
      <c r="RU44" s="308"/>
      <c r="RV44" s="308"/>
      <c r="RW44" s="308"/>
      <c r="RX44" s="308"/>
      <c r="RY44" s="308"/>
      <c r="RZ44" s="308"/>
      <c r="SA44" s="308"/>
      <c r="SB44" s="308"/>
      <c r="SC44" s="308"/>
      <c r="SD44" s="308"/>
      <c r="SE44" s="308"/>
      <c r="SF44" s="308"/>
      <c r="SG44" s="308"/>
      <c r="SH44" s="308"/>
      <c r="SI44" s="308"/>
      <c r="SJ44" s="308"/>
      <c r="SK44" s="308"/>
      <c r="SL44" s="308"/>
      <c r="SM44" s="308"/>
      <c r="SN44" s="308"/>
      <c r="SO44" s="308"/>
      <c r="SP44" s="308"/>
      <c r="SQ44" s="308"/>
      <c r="SR44" s="308"/>
      <c r="SS44" s="308"/>
      <c r="ST44" s="308"/>
      <c r="SU44" s="308"/>
      <c r="SV44" s="308"/>
      <c r="SW44" s="308"/>
      <c r="SX44" s="308"/>
      <c r="SY44" s="308"/>
      <c r="SZ44" s="308"/>
      <c r="TA44" s="308"/>
      <c r="TB44" s="308"/>
      <c r="TC44" s="308"/>
      <c r="TD44" s="308"/>
      <c r="TE44" s="308"/>
      <c r="TF44" s="308"/>
      <c r="TG44" s="308"/>
      <c r="TH44" s="308"/>
      <c r="TI44" s="308"/>
      <c r="TJ44" s="308"/>
      <c r="TK44" s="308"/>
      <c r="TL44" s="308"/>
      <c r="TM44" s="308"/>
      <c r="TN44" s="308"/>
      <c r="TO44" s="308"/>
      <c r="TP44" s="308"/>
      <c r="TQ44" s="308"/>
      <c r="TR44" s="308"/>
      <c r="TS44" s="308"/>
      <c r="TT44" s="308"/>
      <c r="TU44" s="308"/>
      <c r="TV44" s="308"/>
      <c r="TW44" s="308"/>
      <c r="TX44" s="308"/>
      <c r="TY44" s="308"/>
      <c r="TZ44" s="308"/>
      <c r="UA44" s="308"/>
      <c r="UB44" s="308"/>
      <c r="UC44" s="308"/>
      <c r="UD44" s="308"/>
      <c r="UE44" s="308"/>
      <c r="UF44" s="308"/>
      <c r="UG44" s="308"/>
      <c r="UH44" s="308"/>
      <c r="UI44" s="308"/>
      <c r="UJ44" s="308"/>
      <c r="UK44" s="308"/>
      <c r="UL44" s="308"/>
      <c r="UM44" s="308"/>
      <c r="UN44" s="308"/>
      <c r="UO44" s="308"/>
      <c r="UP44" s="308"/>
      <c r="UQ44" s="308"/>
      <c r="UR44" s="308"/>
      <c r="US44" s="308"/>
      <c r="UT44" s="308"/>
      <c r="UU44" s="308"/>
      <c r="UV44" s="308"/>
      <c r="UW44" s="308"/>
      <c r="UX44" s="308"/>
      <c r="UY44" s="308"/>
      <c r="UZ44" s="308"/>
      <c r="VA44" s="308"/>
      <c r="VB44" s="308"/>
      <c r="VC44" s="308"/>
      <c r="VD44" s="308"/>
      <c r="VE44" s="308"/>
      <c r="VF44" s="308"/>
      <c r="VG44" s="308"/>
      <c r="VH44" s="308"/>
      <c r="VI44" s="308"/>
      <c r="VJ44" s="308"/>
      <c r="VK44" s="308"/>
      <c r="VL44" s="308"/>
      <c r="VM44" s="308"/>
      <c r="VN44" s="308"/>
      <c r="VO44" s="308"/>
      <c r="VP44" s="308"/>
      <c r="VQ44" s="308"/>
      <c r="VR44" s="308"/>
      <c r="VS44" s="308"/>
      <c r="VT44" s="308"/>
      <c r="VU44" s="308"/>
      <c r="VV44" s="308"/>
      <c r="VW44" s="308"/>
      <c r="VX44" s="308"/>
      <c r="VY44" s="308"/>
      <c r="VZ44" s="308"/>
      <c r="WA44" s="308"/>
      <c r="WB44" s="308"/>
      <c r="WC44" s="308"/>
      <c r="WD44" s="308"/>
      <c r="WE44" s="308"/>
      <c r="WF44" s="308"/>
      <c r="WG44" s="308"/>
      <c r="WH44" s="308"/>
      <c r="WI44" s="308"/>
      <c r="WJ44" s="308"/>
      <c r="WK44" s="308"/>
      <c r="WL44" s="308"/>
      <c r="WM44" s="308"/>
      <c r="WN44" s="308"/>
      <c r="WO44" s="308"/>
      <c r="WP44" s="308"/>
      <c r="WQ44" s="308"/>
      <c r="WR44" s="308"/>
      <c r="WS44" s="308"/>
      <c r="WT44" s="308"/>
      <c r="WU44" s="308"/>
      <c r="WV44" s="308"/>
      <c r="WW44" s="308"/>
      <c r="WX44" s="308"/>
      <c r="WY44" s="308"/>
      <c r="WZ44" s="308"/>
      <c r="XA44" s="308"/>
      <c r="XB44" s="308"/>
      <c r="XC44" s="308"/>
      <c r="XD44" s="308"/>
      <c r="XE44" s="308"/>
      <c r="XF44" s="308"/>
      <c r="XG44" s="308"/>
      <c r="XH44" s="308"/>
      <c r="XI44" s="308"/>
      <c r="XJ44" s="308"/>
      <c r="XK44" s="308"/>
      <c r="XL44" s="308"/>
      <c r="XM44" s="308"/>
      <c r="XN44" s="308"/>
      <c r="XO44" s="308"/>
      <c r="XP44" s="308"/>
      <c r="XQ44" s="308"/>
      <c r="XR44" s="308"/>
      <c r="XS44" s="308"/>
      <c r="XT44" s="308"/>
      <c r="XU44" s="308"/>
      <c r="XV44" s="308"/>
      <c r="XW44" s="308"/>
      <c r="XX44" s="308"/>
      <c r="XY44" s="308"/>
      <c r="XZ44" s="308"/>
      <c r="YA44" s="308"/>
      <c r="YB44" s="308"/>
      <c r="YC44" s="308"/>
      <c r="YD44" s="308"/>
      <c r="YE44" s="308"/>
      <c r="YF44" s="308"/>
      <c r="YG44" s="308"/>
      <c r="YH44" s="308"/>
      <c r="YI44" s="308"/>
      <c r="YJ44" s="308"/>
      <c r="YK44" s="308"/>
      <c r="YL44" s="308"/>
      <c r="YM44" s="308"/>
      <c r="YN44" s="308"/>
      <c r="YO44" s="308"/>
      <c r="YP44" s="308"/>
      <c r="YQ44" s="308"/>
      <c r="YR44" s="308"/>
      <c r="YS44" s="308"/>
      <c r="YT44" s="308"/>
      <c r="YU44" s="308"/>
      <c r="YV44" s="308"/>
      <c r="YW44" s="308"/>
      <c r="YX44" s="308"/>
      <c r="YY44" s="308"/>
      <c r="YZ44" s="308"/>
      <c r="ZA44" s="308"/>
      <c r="ZB44" s="308"/>
      <c r="ZC44" s="308"/>
      <c r="ZD44" s="308"/>
      <c r="ZE44" s="308"/>
      <c r="ZF44" s="308"/>
      <c r="ZG44" s="308"/>
      <c r="ZH44" s="308"/>
      <c r="ZI44" s="308"/>
      <c r="ZJ44" s="308"/>
      <c r="ZK44" s="308"/>
      <c r="ZL44" s="308"/>
      <c r="ZM44" s="308"/>
      <c r="ZN44" s="308"/>
      <c r="ZO44" s="308"/>
      <c r="ZP44" s="308"/>
      <c r="ZQ44" s="308"/>
      <c r="ZR44" s="308"/>
      <c r="ZS44" s="308"/>
      <c r="ZT44" s="308"/>
      <c r="ZU44" s="308"/>
      <c r="ZV44" s="308"/>
      <c r="ZW44" s="308"/>
      <c r="ZX44" s="308"/>
      <c r="ZY44" s="308"/>
      <c r="ZZ44" s="308"/>
      <c r="AAA44" s="308"/>
      <c r="AAB44" s="308"/>
      <c r="AAC44" s="308"/>
      <c r="AAD44" s="308"/>
      <c r="AAE44" s="308"/>
      <c r="AAF44" s="308"/>
      <c r="AAG44" s="308"/>
      <c r="AAH44" s="308"/>
      <c r="AAI44" s="308"/>
      <c r="AAJ44" s="308"/>
      <c r="AAK44" s="308"/>
      <c r="AAL44" s="308"/>
      <c r="AAM44" s="308"/>
      <c r="AAN44" s="308"/>
      <c r="AAO44" s="308"/>
      <c r="AAP44" s="308"/>
      <c r="AAQ44" s="308"/>
      <c r="AAR44" s="308"/>
      <c r="AAS44" s="308"/>
      <c r="AAT44" s="308"/>
      <c r="AAU44" s="308"/>
      <c r="AAV44" s="308"/>
      <c r="AAW44" s="308"/>
      <c r="AAX44" s="308"/>
      <c r="AAY44" s="308"/>
      <c r="AAZ44" s="308"/>
      <c r="ABA44" s="308"/>
      <c r="ABB44" s="308"/>
      <c r="ABC44" s="308"/>
      <c r="ABD44" s="308"/>
      <c r="ABE44" s="308"/>
      <c r="ABF44" s="308"/>
      <c r="ABG44" s="308"/>
      <c r="ABH44" s="308"/>
      <c r="ABI44" s="308"/>
      <c r="ABJ44" s="308"/>
      <c r="ABK44" s="308"/>
      <c r="ABL44" s="308"/>
      <c r="ABM44" s="308"/>
      <c r="ABN44" s="308"/>
      <c r="ABO44" s="308"/>
      <c r="ABP44" s="308"/>
      <c r="ABQ44" s="308"/>
      <c r="ABR44" s="308"/>
      <c r="ABS44" s="308"/>
      <c r="ABT44" s="308"/>
      <c r="ABU44" s="308"/>
      <c r="ABV44" s="308"/>
      <c r="ABW44" s="308"/>
      <c r="ABX44" s="308"/>
      <c r="ABY44" s="308"/>
      <c r="ABZ44" s="308"/>
      <c r="ACA44" s="308"/>
      <c r="ACB44" s="308"/>
      <c r="ACC44" s="308"/>
      <c r="ACD44" s="308"/>
      <c r="ACE44" s="308"/>
      <c r="ACF44" s="308"/>
      <c r="ACG44" s="308"/>
      <c r="ACH44" s="308"/>
      <c r="ACI44" s="308"/>
      <c r="ACJ44" s="308"/>
      <c r="ACK44" s="308"/>
      <c r="ACL44" s="308"/>
      <c r="ACM44" s="308"/>
      <c r="ACN44" s="308"/>
      <c r="ACO44" s="308"/>
      <c r="ACP44" s="308"/>
      <c r="ACQ44" s="308"/>
      <c r="ACR44" s="308"/>
      <c r="ACS44" s="308"/>
      <c r="ACT44" s="308"/>
      <c r="ACU44" s="308"/>
      <c r="ACV44" s="308"/>
      <c r="ACW44" s="308"/>
      <c r="ACX44" s="308"/>
      <c r="ACY44" s="308"/>
      <c r="ACZ44" s="308"/>
      <c r="ADA44" s="308"/>
      <c r="ADB44" s="308"/>
      <c r="ADC44" s="308"/>
      <c r="ADD44" s="308"/>
      <c r="ADE44" s="308"/>
      <c r="ADF44" s="308"/>
      <c r="ADG44" s="308"/>
      <c r="ADH44" s="308"/>
      <c r="ADI44" s="308"/>
      <c r="ADJ44" s="308"/>
      <c r="ADK44" s="308"/>
      <c r="ADL44" s="308"/>
      <c r="ADM44" s="308"/>
      <c r="ADN44" s="308"/>
      <c r="ADO44" s="308"/>
      <c r="ADP44" s="308"/>
      <c r="ADQ44" s="308"/>
      <c r="ADR44" s="308"/>
      <c r="ADS44" s="308"/>
      <c r="ADT44" s="308"/>
      <c r="ADU44" s="308"/>
      <c r="ADV44" s="308"/>
      <c r="ADW44" s="308"/>
      <c r="ADX44" s="308"/>
      <c r="ADY44" s="308"/>
      <c r="ADZ44" s="308"/>
      <c r="AEA44" s="308"/>
      <c r="AEB44" s="308"/>
      <c r="AEC44" s="308"/>
      <c r="AED44" s="308"/>
      <c r="AEE44" s="308"/>
      <c r="AEF44" s="308"/>
      <c r="AEG44" s="308"/>
      <c r="AEH44" s="308"/>
      <c r="AEI44" s="308"/>
      <c r="AEJ44" s="308"/>
      <c r="AEK44" s="308"/>
      <c r="AEL44" s="308"/>
      <c r="AEM44" s="308"/>
      <c r="AEN44" s="308"/>
      <c r="AEO44" s="308"/>
      <c r="AEP44" s="308"/>
      <c r="AEQ44" s="308"/>
      <c r="AER44" s="308"/>
      <c r="AES44" s="308"/>
      <c r="AET44" s="308"/>
      <c r="AEU44" s="308"/>
      <c r="AEV44" s="308"/>
      <c r="AEW44" s="308"/>
      <c r="AEX44" s="308"/>
      <c r="AEY44" s="308"/>
      <c r="AEZ44" s="308"/>
      <c r="AFA44" s="308"/>
      <c r="AFB44" s="308"/>
      <c r="AFC44" s="308"/>
      <c r="AFD44" s="308"/>
      <c r="AFE44" s="308"/>
      <c r="AFF44" s="308"/>
      <c r="AFG44" s="308"/>
      <c r="AFH44" s="308"/>
      <c r="AFI44" s="308"/>
      <c r="AFJ44" s="308"/>
      <c r="AFK44" s="308"/>
      <c r="AFL44" s="308"/>
      <c r="AFM44" s="308"/>
      <c r="AFN44" s="308"/>
      <c r="AFO44" s="308"/>
      <c r="AFP44" s="308"/>
      <c r="AFQ44" s="308"/>
      <c r="AFR44" s="308"/>
      <c r="AFS44" s="308"/>
      <c r="AFT44" s="308"/>
      <c r="AFU44" s="308"/>
      <c r="AFV44" s="308"/>
      <c r="AFW44" s="308"/>
      <c r="AFX44" s="308"/>
      <c r="AFY44" s="308"/>
      <c r="AFZ44" s="308"/>
      <c r="AGA44" s="308"/>
      <c r="AGB44" s="308"/>
      <c r="AGC44" s="308"/>
      <c r="AGD44" s="308"/>
      <c r="AGE44" s="308"/>
      <c r="AGF44" s="308"/>
      <c r="AGG44" s="308"/>
      <c r="AGH44" s="308"/>
      <c r="AGI44" s="308"/>
      <c r="AGJ44" s="308"/>
      <c r="AGK44" s="308"/>
      <c r="AGL44" s="308"/>
      <c r="AGM44" s="308"/>
      <c r="AGN44" s="308"/>
      <c r="AGO44" s="308"/>
      <c r="AGP44" s="308"/>
      <c r="AGQ44" s="308"/>
      <c r="AGR44" s="308"/>
      <c r="AGS44" s="308"/>
      <c r="AGT44" s="308"/>
      <c r="AGU44" s="308"/>
      <c r="AGV44" s="308"/>
      <c r="AGW44" s="308"/>
      <c r="AGX44" s="308"/>
      <c r="AGY44" s="308"/>
      <c r="AGZ44" s="308"/>
      <c r="AHA44" s="308"/>
      <c r="AHB44" s="308"/>
      <c r="AHC44" s="308"/>
      <c r="AHD44" s="308"/>
      <c r="AHE44" s="308"/>
      <c r="AHF44" s="308"/>
      <c r="AHG44" s="308"/>
      <c r="AHH44" s="308"/>
      <c r="AHI44" s="308"/>
      <c r="AHJ44" s="308"/>
      <c r="AHK44" s="308"/>
      <c r="AHL44" s="308"/>
      <c r="AHM44" s="308"/>
      <c r="AHN44" s="308"/>
      <c r="AHO44" s="308"/>
      <c r="AHP44" s="308"/>
      <c r="AHQ44" s="308"/>
      <c r="AHR44" s="308"/>
      <c r="AHS44" s="308"/>
      <c r="AHT44" s="308"/>
      <c r="AHU44" s="308"/>
      <c r="AHV44" s="308"/>
      <c r="AHW44" s="308"/>
      <c r="AHX44" s="308"/>
      <c r="AHY44" s="308"/>
      <c r="AHZ44" s="308"/>
      <c r="AIA44" s="308"/>
      <c r="AIB44" s="308"/>
      <c r="AIC44" s="308"/>
      <c r="AID44" s="308"/>
      <c r="AIE44" s="308"/>
      <c r="AIF44" s="308"/>
      <c r="AIG44" s="308"/>
      <c r="AIH44" s="308"/>
      <c r="AII44" s="308"/>
      <c r="AIJ44" s="308"/>
      <c r="AIK44" s="308"/>
      <c r="AIL44" s="308"/>
      <c r="AIM44" s="308"/>
      <c r="AIN44" s="308"/>
      <c r="AIO44" s="308"/>
      <c r="AIP44" s="308"/>
      <c r="AIQ44" s="308"/>
      <c r="AIR44" s="308"/>
      <c r="AIS44" s="308"/>
      <c r="AIT44" s="308"/>
      <c r="AIU44" s="308"/>
      <c r="AIV44" s="308"/>
      <c r="AIW44" s="308"/>
      <c r="AIX44" s="308"/>
      <c r="AIY44" s="308"/>
      <c r="AIZ44" s="308"/>
      <c r="AJA44" s="308"/>
      <c r="AJB44" s="308"/>
      <c r="AJC44" s="308"/>
    </row>
    <row r="45" spans="1:940" s="546" customFormat="1">
      <c r="A45" s="113">
        <f t="shared" si="0"/>
        <v>38</v>
      </c>
      <c r="B45" s="113">
        <v>1744</v>
      </c>
      <c r="C45" s="113" t="s">
        <v>53</v>
      </c>
      <c r="D45" s="117">
        <v>13000000</v>
      </c>
      <c r="E45" s="117">
        <v>13000000</v>
      </c>
      <c r="F45" s="117">
        <f t="shared" si="1"/>
        <v>0</v>
      </c>
      <c r="G45" s="117">
        <v>7200000</v>
      </c>
      <c r="H45" s="117"/>
      <c r="I45" s="117"/>
      <c r="J45" s="117">
        <v>6122626.3799999999</v>
      </c>
      <c r="K45" s="117">
        <f t="shared" si="18"/>
        <v>6122626.3799999999</v>
      </c>
      <c r="L45" s="117">
        <f t="shared" si="3"/>
        <v>6122626.3799999999</v>
      </c>
      <c r="M45" s="117">
        <f t="shared" si="20"/>
        <v>1077373.6200000001</v>
      </c>
      <c r="N45" s="117">
        <f>5800000-2800000</f>
        <v>3000000</v>
      </c>
      <c r="O45" s="117">
        <f t="shared" si="10"/>
        <v>2800000</v>
      </c>
      <c r="P45" s="117">
        <f t="shared" si="4"/>
        <v>1077373.6200000001</v>
      </c>
      <c r="Q45" s="117"/>
      <c r="R45" s="117"/>
      <c r="S45" s="117">
        <f t="shared" si="19"/>
        <v>0</v>
      </c>
      <c r="T45" s="117">
        <f t="shared" si="6"/>
        <v>0</v>
      </c>
      <c r="U45" s="117">
        <f t="shared" si="7"/>
        <v>3000000</v>
      </c>
      <c r="V45" s="117">
        <f t="shared" si="8"/>
        <v>3000000</v>
      </c>
      <c r="W45" s="543"/>
      <c r="X45" s="117"/>
      <c r="Y45" s="117"/>
      <c r="Z45" s="113"/>
      <c r="AA45" s="113">
        <v>742000</v>
      </c>
      <c r="AB45" s="117"/>
      <c r="AC45" s="117"/>
      <c r="AD45" s="117">
        <v>1000000</v>
      </c>
      <c r="AE45" s="117"/>
      <c r="AF45" s="117"/>
      <c r="AG45" s="117"/>
      <c r="AH45" s="117"/>
      <c r="AI45" s="117">
        <f>500000-500000</f>
        <v>0</v>
      </c>
      <c r="AJ45" s="117"/>
      <c r="AK45" s="117">
        <f t="shared" si="11"/>
        <v>1000000</v>
      </c>
      <c r="AL45" s="565"/>
      <c r="AM45" s="566">
        <f t="shared" si="12"/>
        <v>1000000</v>
      </c>
      <c r="AN45" s="117">
        <f t="shared" si="13"/>
        <v>2000000</v>
      </c>
      <c r="AO45" s="117">
        <f t="shared" si="14"/>
        <v>1000000</v>
      </c>
      <c r="AP45" s="565"/>
      <c r="AQ45" s="565"/>
      <c r="AR45" s="565"/>
      <c r="AS45" s="565"/>
      <c r="AT45" s="117">
        <f t="shared" si="15"/>
        <v>0</v>
      </c>
      <c r="AU45" s="565"/>
      <c r="AV45" s="565"/>
      <c r="AW45" s="565"/>
      <c r="AX45" s="565"/>
      <c r="AY45" s="117">
        <f t="shared" si="16"/>
        <v>2000000</v>
      </c>
      <c r="AZ45" s="565"/>
      <c r="BA45" s="565"/>
      <c r="BB45" s="565"/>
      <c r="BC45" s="565"/>
      <c r="BD45" s="308"/>
      <c r="BE45" s="308"/>
      <c r="BF45" s="308"/>
      <c r="BG45" s="308"/>
      <c r="BH45" s="308"/>
      <c r="BI45" s="308"/>
      <c r="BJ45" s="308"/>
      <c r="BK45" s="308"/>
      <c r="BL45" s="308"/>
      <c r="BM45" s="308"/>
      <c r="BN45" s="308"/>
      <c r="BO45" s="308"/>
      <c r="BP45" s="308"/>
      <c r="BQ45" s="308"/>
      <c r="BR45" s="308"/>
      <c r="BS45" s="308"/>
      <c r="BT45" s="308"/>
      <c r="BU45" s="308"/>
      <c r="BV45" s="308"/>
      <c r="BW45" s="308"/>
      <c r="BX45" s="308"/>
      <c r="BY45" s="308"/>
      <c r="BZ45" s="308"/>
      <c r="CA45" s="308"/>
      <c r="CB45" s="308"/>
      <c r="CC45" s="308"/>
      <c r="CD45" s="308"/>
      <c r="CE45" s="308"/>
      <c r="CF45" s="308"/>
      <c r="CG45" s="308"/>
      <c r="CH45" s="308"/>
      <c r="CI45" s="308"/>
      <c r="CJ45" s="308"/>
      <c r="CK45" s="308"/>
      <c r="CL45" s="308"/>
      <c r="CM45" s="308"/>
      <c r="CN45" s="308"/>
      <c r="CO45" s="308"/>
      <c r="CP45" s="308"/>
      <c r="CQ45" s="308"/>
      <c r="CR45" s="308"/>
      <c r="CS45" s="308"/>
      <c r="CT45" s="308"/>
      <c r="CU45" s="308"/>
      <c r="CV45" s="308"/>
      <c r="CW45" s="308"/>
      <c r="CX45" s="308"/>
      <c r="CY45" s="308"/>
      <c r="CZ45" s="308"/>
      <c r="DA45" s="308"/>
      <c r="DB45" s="308"/>
      <c r="DC45" s="308"/>
      <c r="DD45" s="308"/>
      <c r="DE45" s="308"/>
      <c r="DF45" s="308"/>
      <c r="DG45" s="308"/>
      <c r="DH45" s="308"/>
      <c r="DI45" s="308"/>
      <c r="DJ45" s="308"/>
      <c r="DK45" s="308"/>
      <c r="DL45" s="308"/>
      <c r="DM45" s="308"/>
      <c r="DN45" s="308"/>
      <c r="DO45" s="308"/>
      <c r="DP45" s="308"/>
      <c r="DQ45" s="308"/>
      <c r="DR45" s="308"/>
      <c r="DS45" s="308"/>
      <c r="DT45" s="308"/>
      <c r="DU45" s="308"/>
      <c r="DV45" s="308"/>
      <c r="DW45" s="308"/>
      <c r="DX45" s="308"/>
      <c r="DY45" s="308"/>
      <c r="DZ45" s="308"/>
      <c r="EA45" s="308"/>
      <c r="EB45" s="308"/>
      <c r="EC45" s="308"/>
      <c r="ED45" s="308"/>
      <c r="EE45" s="308"/>
      <c r="EF45" s="308"/>
      <c r="EG45" s="308"/>
      <c r="EH45" s="308"/>
      <c r="EI45" s="308"/>
      <c r="EJ45" s="308"/>
      <c r="EK45" s="308"/>
      <c r="EL45" s="308"/>
      <c r="EM45" s="308"/>
      <c r="EN45" s="308"/>
      <c r="EO45" s="308"/>
      <c r="EP45" s="308"/>
      <c r="EQ45" s="308"/>
      <c r="ER45" s="308"/>
      <c r="ES45" s="308"/>
      <c r="ET45" s="308"/>
      <c r="EU45" s="308"/>
      <c r="EV45" s="308"/>
      <c r="EW45" s="308"/>
      <c r="EX45" s="308"/>
      <c r="EY45" s="308"/>
      <c r="EZ45" s="308"/>
      <c r="FA45" s="308"/>
      <c r="FB45" s="308"/>
      <c r="FC45" s="308"/>
      <c r="FD45" s="308"/>
      <c r="FE45" s="308"/>
      <c r="FF45" s="308"/>
      <c r="FG45" s="308"/>
      <c r="FH45" s="308"/>
      <c r="FI45" s="308"/>
      <c r="FJ45" s="308"/>
      <c r="FK45" s="308"/>
      <c r="FL45" s="308"/>
      <c r="FM45" s="308"/>
      <c r="FN45" s="308"/>
      <c r="FO45" s="308"/>
      <c r="FP45" s="308"/>
      <c r="FQ45" s="308"/>
      <c r="FR45" s="308"/>
      <c r="FS45" s="308"/>
      <c r="FT45" s="308"/>
      <c r="FU45" s="308"/>
      <c r="FV45" s="308"/>
      <c r="FW45" s="308"/>
      <c r="FX45" s="308"/>
      <c r="FY45" s="308"/>
      <c r="FZ45" s="308"/>
      <c r="GA45" s="308"/>
      <c r="GB45" s="308"/>
      <c r="GC45" s="308"/>
      <c r="GD45" s="308"/>
      <c r="GE45" s="308"/>
      <c r="GF45" s="308"/>
      <c r="GG45" s="308"/>
      <c r="GH45" s="308"/>
      <c r="GI45" s="308"/>
      <c r="GJ45" s="308"/>
      <c r="GK45" s="308"/>
      <c r="GL45" s="308"/>
      <c r="GM45" s="308"/>
      <c r="GN45" s="308"/>
      <c r="GO45" s="308"/>
      <c r="GP45" s="308"/>
      <c r="GQ45" s="308"/>
      <c r="GR45" s="308"/>
      <c r="GS45" s="308"/>
      <c r="GT45" s="308"/>
      <c r="GU45" s="308"/>
      <c r="GV45" s="308"/>
      <c r="GW45" s="308"/>
      <c r="GX45" s="308"/>
      <c r="GY45" s="308"/>
      <c r="GZ45" s="308"/>
      <c r="HA45" s="308"/>
      <c r="HB45" s="308"/>
      <c r="HC45" s="308"/>
      <c r="HD45" s="308"/>
      <c r="HE45" s="308"/>
      <c r="HF45" s="308"/>
      <c r="HG45" s="308"/>
      <c r="HH45" s="308"/>
      <c r="HI45" s="308"/>
      <c r="HJ45" s="308"/>
      <c r="HK45" s="308"/>
      <c r="HL45" s="308"/>
      <c r="HM45" s="308"/>
      <c r="HN45" s="308"/>
      <c r="HO45" s="308"/>
      <c r="HP45" s="308"/>
      <c r="HQ45" s="308"/>
      <c r="HR45" s="308"/>
      <c r="HS45" s="308"/>
      <c r="HT45" s="308"/>
      <c r="HU45" s="308"/>
      <c r="HV45" s="308"/>
      <c r="HW45" s="308"/>
      <c r="HX45" s="308"/>
      <c r="HY45" s="308"/>
      <c r="HZ45" s="308"/>
      <c r="IA45" s="308"/>
      <c r="IB45" s="308"/>
      <c r="IC45" s="308"/>
      <c r="ID45" s="308"/>
      <c r="IE45" s="308"/>
      <c r="IF45" s="308"/>
      <c r="IG45" s="308"/>
      <c r="IH45" s="308"/>
      <c r="II45" s="308"/>
      <c r="IJ45" s="308"/>
      <c r="IK45" s="308"/>
      <c r="IL45" s="308"/>
      <c r="IM45" s="308"/>
      <c r="IN45" s="308"/>
      <c r="IO45" s="308"/>
      <c r="IP45" s="308"/>
      <c r="IQ45" s="308"/>
      <c r="IR45" s="308"/>
      <c r="IS45" s="308"/>
      <c r="IT45" s="308"/>
      <c r="IU45" s="308"/>
      <c r="IV45" s="308"/>
      <c r="IW45" s="308"/>
      <c r="IX45" s="308"/>
      <c r="IY45" s="308"/>
      <c r="IZ45" s="308"/>
      <c r="JA45" s="308"/>
      <c r="JB45" s="308"/>
      <c r="JC45" s="308"/>
      <c r="JD45" s="308"/>
      <c r="JE45" s="308"/>
      <c r="JF45" s="308"/>
      <c r="JG45" s="308"/>
      <c r="JH45" s="308"/>
      <c r="JI45" s="308"/>
      <c r="JJ45" s="308"/>
      <c r="JK45" s="308"/>
      <c r="JL45" s="308"/>
      <c r="JM45" s="308"/>
      <c r="JN45" s="308"/>
      <c r="JO45" s="308"/>
      <c r="JP45" s="308"/>
      <c r="JQ45" s="308"/>
      <c r="JR45" s="308"/>
      <c r="JS45" s="308"/>
      <c r="JT45" s="308"/>
      <c r="JU45" s="308"/>
      <c r="JV45" s="308"/>
      <c r="JW45" s="308"/>
      <c r="JX45" s="308"/>
      <c r="JY45" s="308"/>
      <c r="JZ45" s="308"/>
      <c r="KA45" s="308"/>
      <c r="KB45" s="308"/>
      <c r="KC45" s="308"/>
      <c r="KD45" s="308"/>
      <c r="KE45" s="308"/>
      <c r="KF45" s="308"/>
      <c r="KG45" s="308"/>
      <c r="KH45" s="308"/>
      <c r="KI45" s="308"/>
      <c r="KJ45" s="308"/>
      <c r="KK45" s="308"/>
      <c r="KL45" s="308"/>
      <c r="KM45" s="308"/>
      <c r="KN45" s="308"/>
      <c r="KO45" s="308"/>
      <c r="KP45" s="308"/>
      <c r="KQ45" s="308"/>
      <c r="KR45" s="308"/>
      <c r="KS45" s="308"/>
      <c r="KT45" s="308"/>
      <c r="KU45" s="308"/>
      <c r="KV45" s="308"/>
      <c r="KW45" s="308"/>
      <c r="KX45" s="308"/>
      <c r="KY45" s="308"/>
      <c r="KZ45" s="308"/>
      <c r="LA45" s="308"/>
      <c r="LB45" s="308"/>
      <c r="LC45" s="308"/>
      <c r="LD45" s="308"/>
      <c r="LE45" s="308"/>
      <c r="LF45" s="308"/>
      <c r="LG45" s="308"/>
      <c r="LH45" s="308"/>
      <c r="LI45" s="308"/>
      <c r="LJ45" s="308"/>
      <c r="LK45" s="308"/>
      <c r="LL45" s="308"/>
      <c r="LM45" s="308"/>
      <c r="LN45" s="308"/>
      <c r="LO45" s="308"/>
      <c r="LP45" s="308"/>
      <c r="LQ45" s="308"/>
      <c r="LR45" s="308"/>
      <c r="LS45" s="308"/>
      <c r="LT45" s="308"/>
      <c r="LU45" s="308"/>
      <c r="LV45" s="308"/>
      <c r="LW45" s="308"/>
      <c r="LX45" s="308"/>
      <c r="LY45" s="308"/>
      <c r="LZ45" s="308"/>
      <c r="MA45" s="308"/>
      <c r="MB45" s="308"/>
      <c r="MC45" s="308"/>
      <c r="MD45" s="308"/>
      <c r="ME45" s="308"/>
      <c r="MF45" s="308"/>
      <c r="MG45" s="308"/>
      <c r="MH45" s="308"/>
      <c r="MI45" s="308"/>
      <c r="MJ45" s="308"/>
      <c r="MK45" s="308"/>
      <c r="ML45" s="308"/>
      <c r="MM45" s="308"/>
      <c r="MN45" s="308"/>
      <c r="MO45" s="308"/>
      <c r="MP45" s="308"/>
      <c r="MQ45" s="308"/>
      <c r="MR45" s="308"/>
      <c r="MS45" s="308"/>
      <c r="MT45" s="308"/>
      <c r="MU45" s="308"/>
      <c r="MV45" s="308"/>
      <c r="MW45" s="308"/>
      <c r="MX45" s="308"/>
      <c r="MY45" s="308"/>
      <c r="MZ45" s="308"/>
      <c r="NA45" s="308"/>
      <c r="NB45" s="308"/>
      <c r="NC45" s="308"/>
      <c r="ND45" s="308"/>
      <c r="NE45" s="308"/>
      <c r="NF45" s="308"/>
      <c r="NG45" s="308"/>
      <c r="NH45" s="308"/>
      <c r="NI45" s="308"/>
      <c r="NJ45" s="308"/>
      <c r="NK45" s="308"/>
      <c r="NL45" s="308"/>
      <c r="NM45" s="308"/>
      <c r="NN45" s="308"/>
      <c r="NO45" s="308"/>
      <c r="NP45" s="308"/>
      <c r="NQ45" s="308"/>
      <c r="NR45" s="308"/>
      <c r="NS45" s="308"/>
      <c r="NT45" s="308"/>
      <c r="NU45" s="308"/>
      <c r="NV45" s="308"/>
      <c r="NW45" s="308"/>
      <c r="NX45" s="308"/>
      <c r="NY45" s="308"/>
      <c r="NZ45" s="308"/>
      <c r="OA45" s="308"/>
      <c r="OB45" s="308"/>
      <c r="OC45" s="308"/>
      <c r="OD45" s="308"/>
      <c r="OE45" s="308"/>
      <c r="OF45" s="308"/>
      <c r="OG45" s="308"/>
      <c r="OH45" s="308"/>
      <c r="OI45" s="308"/>
      <c r="OJ45" s="308"/>
      <c r="OK45" s="308"/>
      <c r="OL45" s="308"/>
      <c r="OM45" s="308"/>
      <c r="ON45" s="308"/>
      <c r="OO45" s="308"/>
      <c r="OP45" s="308"/>
      <c r="OQ45" s="308"/>
      <c r="OR45" s="308"/>
      <c r="OS45" s="308"/>
      <c r="OT45" s="308"/>
      <c r="OU45" s="308"/>
      <c r="OV45" s="308"/>
      <c r="OW45" s="308"/>
      <c r="OX45" s="308"/>
      <c r="OY45" s="308"/>
      <c r="OZ45" s="308"/>
      <c r="PA45" s="308"/>
      <c r="PB45" s="308"/>
      <c r="PC45" s="308"/>
      <c r="PD45" s="308"/>
      <c r="PE45" s="308"/>
      <c r="PF45" s="308"/>
      <c r="PG45" s="308"/>
      <c r="PH45" s="308"/>
      <c r="PI45" s="308"/>
      <c r="PJ45" s="308"/>
      <c r="PK45" s="308"/>
      <c r="PL45" s="308"/>
      <c r="PM45" s="308"/>
      <c r="PN45" s="308"/>
      <c r="PO45" s="308"/>
      <c r="PP45" s="308"/>
      <c r="PQ45" s="308"/>
      <c r="PR45" s="308"/>
      <c r="PS45" s="308"/>
      <c r="PT45" s="308"/>
      <c r="PU45" s="308"/>
      <c r="PV45" s="308"/>
      <c r="PW45" s="308"/>
      <c r="PX45" s="308"/>
      <c r="PY45" s="308"/>
      <c r="PZ45" s="308"/>
      <c r="QA45" s="308"/>
      <c r="QB45" s="308"/>
      <c r="QC45" s="308"/>
      <c r="QD45" s="308"/>
      <c r="QE45" s="308"/>
      <c r="QF45" s="308"/>
      <c r="QG45" s="308"/>
      <c r="QH45" s="308"/>
      <c r="QI45" s="308"/>
      <c r="QJ45" s="308"/>
      <c r="QK45" s="308"/>
      <c r="QL45" s="308"/>
      <c r="QM45" s="308"/>
      <c r="QN45" s="308"/>
      <c r="QO45" s="308"/>
      <c r="QP45" s="308"/>
      <c r="QQ45" s="308"/>
      <c r="QR45" s="308"/>
      <c r="QS45" s="308"/>
      <c r="QT45" s="308"/>
      <c r="QU45" s="308"/>
      <c r="QV45" s="308"/>
      <c r="QW45" s="308"/>
      <c r="QX45" s="308"/>
      <c r="QY45" s="308"/>
      <c r="QZ45" s="308"/>
      <c r="RA45" s="308"/>
      <c r="RB45" s="308"/>
      <c r="RC45" s="308"/>
      <c r="RD45" s="308"/>
      <c r="RE45" s="308"/>
      <c r="RF45" s="308"/>
      <c r="RG45" s="308"/>
      <c r="RH45" s="308"/>
      <c r="RI45" s="308"/>
      <c r="RJ45" s="308"/>
      <c r="RK45" s="308"/>
      <c r="RL45" s="308"/>
      <c r="RM45" s="308"/>
      <c r="RN45" s="308"/>
      <c r="RO45" s="308"/>
      <c r="RP45" s="308"/>
      <c r="RQ45" s="308"/>
      <c r="RR45" s="308"/>
      <c r="RS45" s="308"/>
      <c r="RT45" s="308"/>
      <c r="RU45" s="308"/>
      <c r="RV45" s="308"/>
      <c r="RW45" s="308"/>
      <c r="RX45" s="308"/>
      <c r="RY45" s="308"/>
      <c r="RZ45" s="308"/>
      <c r="SA45" s="308"/>
      <c r="SB45" s="308"/>
      <c r="SC45" s="308"/>
      <c r="SD45" s="308"/>
      <c r="SE45" s="308"/>
      <c r="SF45" s="308"/>
      <c r="SG45" s="308"/>
      <c r="SH45" s="308"/>
      <c r="SI45" s="308"/>
      <c r="SJ45" s="308"/>
      <c r="SK45" s="308"/>
      <c r="SL45" s="308"/>
      <c r="SM45" s="308"/>
      <c r="SN45" s="308"/>
      <c r="SO45" s="308"/>
      <c r="SP45" s="308"/>
      <c r="SQ45" s="308"/>
      <c r="SR45" s="308"/>
      <c r="SS45" s="308"/>
      <c r="ST45" s="308"/>
      <c r="SU45" s="308"/>
      <c r="SV45" s="308"/>
      <c r="SW45" s="308"/>
      <c r="SX45" s="308"/>
      <c r="SY45" s="308"/>
      <c r="SZ45" s="308"/>
      <c r="TA45" s="308"/>
      <c r="TB45" s="308"/>
      <c r="TC45" s="308"/>
      <c r="TD45" s="308"/>
      <c r="TE45" s="308"/>
      <c r="TF45" s="308"/>
      <c r="TG45" s="308"/>
      <c r="TH45" s="308"/>
      <c r="TI45" s="308"/>
      <c r="TJ45" s="308"/>
      <c r="TK45" s="308"/>
      <c r="TL45" s="308"/>
      <c r="TM45" s="308"/>
      <c r="TN45" s="308"/>
      <c r="TO45" s="308"/>
      <c r="TP45" s="308"/>
      <c r="TQ45" s="308"/>
      <c r="TR45" s="308"/>
      <c r="TS45" s="308"/>
      <c r="TT45" s="308"/>
      <c r="TU45" s="308"/>
      <c r="TV45" s="308"/>
      <c r="TW45" s="308"/>
      <c r="TX45" s="308"/>
      <c r="TY45" s="308"/>
      <c r="TZ45" s="308"/>
      <c r="UA45" s="308"/>
      <c r="UB45" s="308"/>
      <c r="UC45" s="308"/>
      <c r="UD45" s="308"/>
      <c r="UE45" s="308"/>
      <c r="UF45" s="308"/>
      <c r="UG45" s="308"/>
      <c r="UH45" s="308"/>
      <c r="UI45" s="308"/>
      <c r="UJ45" s="308"/>
      <c r="UK45" s="308"/>
      <c r="UL45" s="308"/>
      <c r="UM45" s="308"/>
      <c r="UN45" s="308"/>
      <c r="UO45" s="308"/>
      <c r="UP45" s="308"/>
      <c r="UQ45" s="308"/>
      <c r="UR45" s="308"/>
      <c r="US45" s="308"/>
      <c r="UT45" s="308"/>
      <c r="UU45" s="308"/>
      <c r="UV45" s="308"/>
      <c r="UW45" s="308"/>
      <c r="UX45" s="308"/>
      <c r="UY45" s="308"/>
      <c r="UZ45" s="308"/>
      <c r="VA45" s="308"/>
      <c r="VB45" s="308"/>
      <c r="VC45" s="308"/>
      <c r="VD45" s="308"/>
      <c r="VE45" s="308"/>
      <c r="VF45" s="308"/>
      <c r="VG45" s="308"/>
      <c r="VH45" s="308"/>
      <c r="VI45" s="308"/>
      <c r="VJ45" s="308"/>
      <c r="VK45" s="308"/>
      <c r="VL45" s="308"/>
      <c r="VM45" s="308"/>
      <c r="VN45" s="308"/>
      <c r="VO45" s="308"/>
      <c r="VP45" s="308"/>
      <c r="VQ45" s="308"/>
      <c r="VR45" s="308"/>
      <c r="VS45" s="308"/>
      <c r="VT45" s="308"/>
      <c r="VU45" s="308"/>
      <c r="VV45" s="308"/>
      <c r="VW45" s="308"/>
      <c r="VX45" s="308"/>
      <c r="VY45" s="308"/>
      <c r="VZ45" s="308"/>
      <c r="WA45" s="308"/>
      <c r="WB45" s="308"/>
      <c r="WC45" s="308"/>
      <c r="WD45" s="308"/>
      <c r="WE45" s="308"/>
      <c r="WF45" s="308"/>
      <c r="WG45" s="308"/>
      <c r="WH45" s="308"/>
      <c r="WI45" s="308"/>
      <c r="WJ45" s="308"/>
      <c r="WK45" s="308"/>
      <c r="WL45" s="308"/>
      <c r="WM45" s="308"/>
      <c r="WN45" s="308"/>
      <c r="WO45" s="308"/>
      <c r="WP45" s="308"/>
      <c r="WQ45" s="308"/>
      <c r="WR45" s="308"/>
      <c r="WS45" s="308"/>
      <c r="WT45" s="308"/>
      <c r="WU45" s="308"/>
      <c r="WV45" s="308"/>
      <c r="WW45" s="308"/>
      <c r="WX45" s="308"/>
      <c r="WY45" s="308"/>
      <c r="WZ45" s="308"/>
      <c r="XA45" s="308"/>
      <c r="XB45" s="308"/>
      <c r="XC45" s="308"/>
      <c r="XD45" s="308"/>
      <c r="XE45" s="308"/>
      <c r="XF45" s="308"/>
      <c r="XG45" s="308"/>
      <c r="XH45" s="308"/>
      <c r="XI45" s="308"/>
      <c r="XJ45" s="308"/>
      <c r="XK45" s="308"/>
      <c r="XL45" s="308"/>
      <c r="XM45" s="308"/>
      <c r="XN45" s="308"/>
      <c r="XO45" s="308"/>
      <c r="XP45" s="308"/>
      <c r="XQ45" s="308"/>
      <c r="XR45" s="308"/>
      <c r="XS45" s="308"/>
      <c r="XT45" s="308"/>
      <c r="XU45" s="308"/>
      <c r="XV45" s="308"/>
      <c r="XW45" s="308"/>
      <c r="XX45" s="308"/>
      <c r="XY45" s="308"/>
      <c r="XZ45" s="308"/>
      <c r="YA45" s="308"/>
      <c r="YB45" s="308"/>
      <c r="YC45" s="308"/>
      <c r="YD45" s="308"/>
      <c r="YE45" s="308"/>
      <c r="YF45" s="308"/>
      <c r="YG45" s="308"/>
      <c r="YH45" s="308"/>
      <c r="YI45" s="308"/>
      <c r="YJ45" s="308"/>
      <c r="YK45" s="308"/>
      <c r="YL45" s="308"/>
      <c r="YM45" s="308"/>
      <c r="YN45" s="308"/>
      <c r="YO45" s="308"/>
      <c r="YP45" s="308"/>
      <c r="YQ45" s="308"/>
      <c r="YR45" s="308"/>
      <c r="YS45" s="308"/>
      <c r="YT45" s="308"/>
      <c r="YU45" s="308"/>
      <c r="YV45" s="308"/>
      <c r="YW45" s="308"/>
      <c r="YX45" s="308"/>
      <c r="YY45" s="308"/>
      <c r="YZ45" s="308"/>
      <c r="ZA45" s="308"/>
      <c r="ZB45" s="308"/>
      <c r="ZC45" s="308"/>
      <c r="ZD45" s="308"/>
      <c r="ZE45" s="308"/>
      <c r="ZF45" s="308"/>
      <c r="ZG45" s="308"/>
      <c r="ZH45" s="308"/>
      <c r="ZI45" s="308"/>
      <c r="ZJ45" s="308"/>
      <c r="ZK45" s="308"/>
      <c r="ZL45" s="308"/>
      <c r="ZM45" s="308"/>
      <c r="ZN45" s="308"/>
      <c r="ZO45" s="308"/>
      <c r="ZP45" s="308"/>
      <c r="ZQ45" s="308"/>
      <c r="ZR45" s="308"/>
      <c r="ZS45" s="308"/>
      <c r="ZT45" s="308"/>
      <c r="ZU45" s="308"/>
      <c r="ZV45" s="308"/>
      <c r="ZW45" s="308"/>
      <c r="ZX45" s="308"/>
      <c r="ZY45" s="308"/>
      <c r="ZZ45" s="308"/>
      <c r="AAA45" s="308"/>
      <c r="AAB45" s="308"/>
      <c r="AAC45" s="308"/>
      <c r="AAD45" s="308"/>
      <c r="AAE45" s="308"/>
      <c r="AAF45" s="308"/>
      <c r="AAG45" s="308"/>
      <c r="AAH45" s="308"/>
      <c r="AAI45" s="308"/>
      <c r="AAJ45" s="308"/>
      <c r="AAK45" s="308"/>
      <c r="AAL45" s="308"/>
      <c r="AAM45" s="308"/>
      <c r="AAN45" s="308"/>
      <c r="AAO45" s="308"/>
      <c r="AAP45" s="308"/>
      <c r="AAQ45" s="308"/>
      <c r="AAR45" s="308"/>
      <c r="AAS45" s="308"/>
      <c r="AAT45" s="308"/>
      <c r="AAU45" s="308"/>
      <c r="AAV45" s="308"/>
      <c r="AAW45" s="308"/>
      <c r="AAX45" s="308"/>
      <c r="AAY45" s="308"/>
      <c r="AAZ45" s="308"/>
      <c r="ABA45" s="308"/>
      <c r="ABB45" s="308"/>
      <c r="ABC45" s="308"/>
      <c r="ABD45" s="308"/>
      <c r="ABE45" s="308"/>
      <c r="ABF45" s="308"/>
      <c r="ABG45" s="308"/>
      <c r="ABH45" s="308"/>
      <c r="ABI45" s="308"/>
      <c r="ABJ45" s="308"/>
      <c r="ABK45" s="308"/>
      <c r="ABL45" s="308"/>
      <c r="ABM45" s="308"/>
      <c r="ABN45" s="308"/>
      <c r="ABO45" s="308"/>
      <c r="ABP45" s="308"/>
      <c r="ABQ45" s="308"/>
      <c r="ABR45" s="308"/>
      <c r="ABS45" s="308"/>
      <c r="ABT45" s="308"/>
      <c r="ABU45" s="308"/>
      <c r="ABV45" s="308"/>
      <c r="ABW45" s="308"/>
      <c r="ABX45" s="308"/>
      <c r="ABY45" s="308"/>
      <c r="ABZ45" s="308"/>
      <c r="ACA45" s="308"/>
      <c r="ACB45" s="308"/>
      <c r="ACC45" s="308"/>
      <c r="ACD45" s="308"/>
      <c r="ACE45" s="308"/>
      <c r="ACF45" s="308"/>
      <c r="ACG45" s="308"/>
      <c r="ACH45" s="308"/>
      <c r="ACI45" s="308"/>
      <c r="ACJ45" s="308"/>
      <c r="ACK45" s="308"/>
      <c r="ACL45" s="308"/>
      <c r="ACM45" s="308"/>
      <c r="ACN45" s="308"/>
      <c r="ACO45" s="308"/>
      <c r="ACP45" s="308"/>
      <c r="ACQ45" s="308"/>
      <c r="ACR45" s="308"/>
      <c r="ACS45" s="308"/>
      <c r="ACT45" s="308"/>
      <c r="ACU45" s="308"/>
      <c r="ACV45" s="308"/>
      <c r="ACW45" s="308"/>
      <c r="ACX45" s="308"/>
      <c r="ACY45" s="308"/>
      <c r="ACZ45" s="308"/>
      <c r="ADA45" s="308"/>
      <c r="ADB45" s="308"/>
      <c r="ADC45" s="308"/>
      <c r="ADD45" s="308"/>
      <c r="ADE45" s="308"/>
      <c r="ADF45" s="308"/>
      <c r="ADG45" s="308"/>
      <c r="ADH45" s="308"/>
      <c r="ADI45" s="308"/>
      <c r="ADJ45" s="308"/>
      <c r="ADK45" s="308"/>
      <c r="ADL45" s="308"/>
      <c r="ADM45" s="308"/>
      <c r="ADN45" s="308"/>
      <c r="ADO45" s="308"/>
      <c r="ADP45" s="308"/>
      <c r="ADQ45" s="308"/>
      <c r="ADR45" s="308"/>
      <c r="ADS45" s="308"/>
      <c r="ADT45" s="308"/>
      <c r="ADU45" s="308"/>
      <c r="ADV45" s="308"/>
      <c r="ADW45" s="308"/>
      <c r="ADX45" s="308"/>
      <c r="ADY45" s="308"/>
      <c r="ADZ45" s="308"/>
      <c r="AEA45" s="308"/>
      <c r="AEB45" s="308"/>
      <c r="AEC45" s="308"/>
      <c r="AED45" s="308"/>
      <c r="AEE45" s="308"/>
      <c r="AEF45" s="308"/>
      <c r="AEG45" s="308"/>
      <c r="AEH45" s="308"/>
      <c r="AEI45" s="308"/>
      <c r="AEJ45" s="308"/>
      <c r="AEK45" s="308"/>
      <c r="AEL45" s="308"/>
      <c r="AEM45" s="308"/>
      <c r="AEN45" s="308"/>
      <c r="AEO45" s="308"/>
      <c r="AEP45" s="308"/>
      <c r="AEQ45" s="308"/>
      <c r="AER45" s="308"/>
      <c r="AES45" s="308"/>
      <c r="AET45" s="308"/>
      <c r="AEU45" s="308"/>
      <c r="AEV45" s="308"/>
      <c r="AEW45" s="308"/>
      <c r="AEX45" s="308"/>
      <c r="AEY45" s="308"/>
      <c r="AEZ45" s="308"/>
      <c r="AFA45" s="308"/>
      <c r="AFB45" s="308"/>
      <c r="AFC45" s="308"/>
      <c r="AFD45" s="308"/>
      <c r="AFE45" s="308"/>
      <c r="AFF45" s="308"/>
      <c r="AFG45" s="308"/>
      <c r="AFH45" s="308"/>
      <c r="AFI45" s="308"/>
      <c r="AFJ45" s="308"/>
      <c r="AFK45" s="308"/>
      <c r="AFL45" s="308"/>
      <c r="AFM45" s="308"/>
      <c r="AFN45" s="308"/>
      <c r="AFO45" s="308"/>
      <c r="AFP45" s="308"/>
      <c r="AFQ45" s="308"/>
      <c r="AFR45" s="308"/>
      <c r="AFS45" s="308"/>
      <c r="AFT45" s="308"/>
      <c r="AFU45" s="308"/>
      <c r="AFV45" s="308"/>
      <c r="AFW45" s="308"/>
      <c r="AFX45" s="308"/>
      <c r="AFY45" s="308"/>
      <c r="AFZ45" s="308"/>
      <c r="AGA45" s="308"/>
      <c r="AGB45" s="308"/>
      <c r="AGC45" s="308"/>
      <c r="AGD45" s="308"/>
      <c r="AGE45" s="308"/>
      <c r="AGF45" s="308"/>
      <c r="AGG45" s="308"/>
      <c r="AGH45" s="308"/>
      <c r="AGI45" s="308"/>
      <c r="AGJ45" s="308"/>
      <c r="AGK45" s="308"/>
      <c r="AGL45" s="308"/>
      <c r="AGM45" s="308"/>
      <c r="AGN45" s="308"/>
      <c r="AGO45" s="308"/>
      <c r="AGP45" s="308"/>
      <c r="AGQ45" s="308"/>
      <c r="AGR45" s="308"/>
      <c r="AGS45" s="308"/>
      <c r="AGT45" s="308"/>
      <c r="AGU45" s="308"/>
      <c r="AGV45" s="308"/>
      <c r="AGW45" s="308"/>
      <c r="AGX45" s="308"/>
      <c r="AGY45" s="308"/>
      <c r="AGZ45" s="308"/>
      <c r="AHA45" s="308"/>
      <c r="AHB45" s="308"/>
      <c r="AHC45" s="308"/>
      <c r="AHD45" s="308"/>
      <c r="AHE45" s="308"/>
      <c r="AHF45" s="308"/>
      <c r="AHG45" s="308"/>
      <c r="AHH45" s="308"/>
      <c r="AHI45" s="308"/>
      <c r="AHJ45" s="308"/>
      <c r="AHK45" s="308"/>
      <c r="AHL45" s="308"/>
      <c r="AHM45" s="308"/>
      <c r="AHN45" s="308"/>
      <c r="AHO45" s="308"/>
      <c r="AHP45" s="308"/>
      <c r="AHQ45" s="308"/>
      <c r="AHR45" s="308"/>
      <c r="AHS45" s="308"/>
      <c r="AHT45" s="308"/>
      <c r="AHU45" s="308"/>
      <c r="AHV45" s="308"/>
      <c r="AHW45" s="308"/>
      <c r="AHX45" s="308"/>
      <c r="AHY45" s="308"/>
      <c r="AHZ45" s="308"/>
      <c r="AIA45" s="308"/>
      <c r="AIB45" s="308"/>
      <c r="AIC45" s="308"/>
      <c r="AID45" s="308"/>
      <c r="AIE45" s="308"/>
      <c r="AIF45" s="308"/>
      <c r="AIG45" s="308"/>
      <c r="AIH45" s="308"/>
      <c r="AII45" s="308"/>
      <c r="AIJ45" s="308"/>
      <c r="AIK45" s="308"/>
      <c r="AIL45" s="308"/>
      <c r="AIM45" s="308"/>
      <c r="AIN45" s="308"/>
      <c r="AIO45" s="308"/>
      <c r="AIP45" s="308"/>
      <c r="AIQ45" s="308"/>
      <c r="AIR45" s="308"/>
      <c r="AIS45" s="308"/>
      <c r="AIT45" s="308"/>
      <c r="AIU45" s="308"/>
      <c r="AIV45" s="308"/>
      <c r="AIW45" s="308"/>
      <c r="AIX45" s="308"/>
      <c r="AIY45" s="308"/>
      <c r="AIZ45" s="308"/>
      <c r="AJA45" s="308"/>
      <c r="AJB45" s="308"/>
      <c r="AJC45" s="308"/>
    </row>
    <row r="46" spans="1:940" s="567" customFormat="1">
      <c r="A46" s="113">
        <f t="shared" si="0"/>
        <v>39</v>
      </c>
      <c r="B46" s="113">
        <v>1746</v>
      </c>
      <c r="C46" s="113" t="s">
        <v>35</v>
      </c>
      <c r="D46" s="117">
        <v>55000000</v>
      </c>
      <c r="E46" s="117">
        <v>55000000</v>
      </c>
      <c r="F46" s="117">
        <f t="shared" si="1"/>
        <v>0</v>
      </c>
      <c r="G46" s="117">
        <v>0</v>
      </c>
      <c r="H46" s="117"/>
      <c r="I46" s="117"/>
      <c r="J46" s="117"/>
      <c r="K46" s="117">
        <f t="shared" si="18"/>
        <v>0</v>
      </c>
      <c r="L46" s="117">
        <f t="shared" si="3"/>
        <v>0</v>
      </c>
      <c r="M46" s="117">
        <f t="shared" si="20"/>
        <v>0</v>
      </c>
      <c r="N46" s="117">
        <f>5000000-5000000</f>
        <v>0</v>
      </c>
      <c r="O46" s="117">
        <f t="shared" si="10"/>
        <v>55000000</v>
      </c>
      <c r="P46" s="117">
        <f t="shared" si="4"/>
        <v>0</v>
      </c>
      <c r="Q46" s="117"/>
      <c r="R46" s="117"/>
      <c r="S46" s="117">
        <f t="shared" si="19"/>
        <v>0</v>
      </c>
      <c r="T46" s="117">
        <f t="shared" si="6"/>
        <v>0</v>
      </c>
      <c r="U46" s="117">
        <f t="shared" si="7"/>
        <v>0</v>
      </c>
      <c r="V46" s="117">
        <f t="shared" si="8"/>
        <v>0</v>
      </c>
      <c r="W46" s="543"/>
      <c r="X46" s="117"/>
      <c r="Y46" s="117"/>
      <c r="Z46" s="113"/>
      <c r="AA46" s="113">
        <v>742000</v>
      </c>
      <c r="AB46" s="117"/>
      <c r="AC46" s="117"/>
      <c r="AD46" s="117"/>
      <c r="AE46" s="117"/>
      <c r="AF46" s="117"/>
      <c r="AG46" s="117"/>
      <c r="AH46" s="117"/>
      <c r="AI46" s="117"/>
      <c r="AJ46" s="117"/>
      <c r="AK46" s="117">
        <f t="shared" si="11"/>
        <v>0</v>
      </c>
      <c r="AL46" s="117"/>
      <c r="AM46" s="566">
        <f t="shared" si="12"/>
        <v>0</v>
      </c>
      <c r="AN46" s="117">
        <f t="shared" si="13"/>
        <v>0</v>
      </c>
      <c r="AO46" s="117">
        <f t="shared" si="14"/>
        <v>0</v>
      </c>
      <c r="AP46" s="565"/>
      <c r="AQ46" s="565"/>
      <c r="AR46" s="565"/>
      <c r="AS46" s="565"/>
      <c r="AT46" s="117">
        <f t="shared" si="15"/>
        <v>0</v>
      </c>
      <c r="AU46" s="565"/>
      <c r="AV46" s="565"/>
      <c r="AW46" s="565"/>
      <c r="AX46" s="565"/>
      <c r="AY46" s="117">
        <f t="shared" si="16"/>
        <v>0</v>
      </c>
      <c r="AZ46" s="565"/>
      <c r="BA46" s="565"/>
      <c r="BB46" s="565"/>
      <c r="BC46" s="565"/>
      <c r="BD46" s="544"/>
      <c r="BE46" s="544"/>
      <c r="BF46" s="544"/>
      <c r="BG46" s="544"/>
      <c r="BH46" s="544"/>
      <c r="AJD46" s="546"/>
    </row>
    <row r="47" spans="1:940" s="567" customFormat="1">
      <c r="A47" s="113">
        <f t="shared" si="0"/>
        <v>40</v>
      </c>
      <c r="B47" s="113">
        <v>1748</v>
      </c>
      <c r="C47" s="113" t="s">
        <v>52</v>
      </c>
      <c r="D47" s="117">
        <v>120000</v>
      </c>
      <c r="E47" s="117">
        <v>120000</v>
      </c>
      <c r="F47" s="117">
        <f t="shared" si="1"/>
        <v>0</v>
      </c>
      <c r="G47" s="117">
        <v>120000</v>
      </c>
      <c r="H47" s="117">
        <v>84042.86</v>
      </c>
      <c r="I47" s="117">
        <v>29280.55</v>
      </c>
      <c r="J47" s="117"/>
      <c r="K47" s="117">
        <f t="shared" si="18"/>
        <v>29280.55</v>
      </c>
      <c r="L47" s="117">
        <f t="shared" si="3"/>
        <v>113323.41</v>
      </c>
      <c r="M47" s="117">
        <f t="shared" si="20"/>
        <v>6676.5899999999965</v>
      </c>
      <c r="N47" s="117"/>
      <c r="O47" s="117">
        <f t="shared" si="10"/>
        <v>0</v>
      </c>
      <c r="P47" s="117">
        <f t="shared" si="4"/>
        <v>6676.5899999999965</v>
      </c>
      <c r="Q47" s="117"/>
      <c r="R47" s="117"/>
      <c r="S47" s="117">
        <f t="shared" si="19"/>
        <v>0</v>
      </c>
      <c r="T47" s="117">
        <f t="shared" si="6"/>
        <v>0</v>
      </c>
      <c r="U47" s="117">
        <f t="shared" si="7"/>
        <v>0</v>
      </c>
      <c r="V47" s="117">
        <f t="shared" si="8"/>
        <v>0</v>
      </c>
      <c r="W47" s="543"/>
      <c r="X47" s="117"/>
      <c r="Y47" s="117"/>
      <c r="Z47" s="113"/>
      <c r="AA47" s="113">
        <v>732000</v>
      </c>
      <c r="AB47" s="117"/>
      <c r="AC47" s="117"/>
      <c r="AD47" s="117"/>
      <c r="AE47" s="117"/>
      <c r="AF47" s="117"/>
      <c r="AG47" s="117"/>
      <c r="AH47" s="117"/>
      <c r="AI47" s="117"/>
      <c r="AJ47" s="117"/>
      <c r="AK47" s="117">
        <f t="shared" si="11"/>
        <v>0</v>
      </c>
      <c r="AL47" s="117"/>
      <c r="AM47" s="566">
        <f t="shared" si="12"/>
        <v>0</v>
      </c>
      <c r="AN47" s="117">
        <f t="shared" si="13"/>
        <v>0</v>
      </c>
      <c r="AO47" s="117">
        <f t="shared" si="14"/>
        <v>0</v>
      </c>
      <c r="AP47" s="565"/>
      <c r="AQ47" s="565"/>
      <c r="AR47" s="565"/>
      <c r="AS47" s="565"/>
      <c r="AT47" s="117">
        <f t="shared" si="15"/>
        <v>0</v>
      </c>
      <c r="AU47" s="565"/>
      <c r="AV47" s="565"/>
      <c r="AW47" s="565"/>
      <c r="AX47" s="565"/>
      <c r="AY47" s="117">
        <f t="shared" si="16"/>
        <v>0</v>
      </c>
      <c r="AZ47" s="565"/>
      <c r="BA47" s="565"/>
      <c r="BB47" s="565"/>
      <c r="BC47" s="565"/>
      <c r="BD47" s="544"/>
      <c r="BE47" s="544"/>
      <c r="BF47" s="544"/>
      <c r="BG47" s="544"/>
      <c r="BH47" s="544"/>
      <c r="AJD47" s="546"/>
    </row>
    <row r="48" spans="1:940" s="545" customFormat="1">
      <c r="A48" s="113">
        <f t="shared" si="0"/>
        <v>41</v>
      </c>
      <c r="B48" s="113">
        <v>1804</v>
      </c>
      <c r="C48" s="113" t="s">
        <v>182</v>
      </c>
      <c r="D48" s="117">
        <f>200000-150000</f>
        <v>50000</v>
      </c>
      <c r="E48" s="117">
        <v>200000</v>
      </c>
      <c r="F48" s="117">
        <f t="shared" si="1"/>
        <v>-150000</v>
      </c>
      <c r="G48" s="117">
        <v>200000</v>
      </c>
      <c r="H48" s="117"/>
      <c r="I48" s="117"/>
      <c r="J48" s="117">
        <v>25745.85</v>
      </c>
      <c r="K48" s="117">
        <f t="shared" si="18"/>
        <v>25745.85</v>
      </c>
      <c r="L48" s="117">
        <f t="shared" si="3"/>
        <v>25745.85</v>
      </c>
      <c r="M48" s="117">
        <f>P48+S48-150000</f>
        <v>24254.149999999994</v>
      </c>
      <c r="N48" s="117">
        <f>150000-150000</f>
        <v>0</v>
      </c>
      <c r="O48" s="117">
        <f t="shared" si="10"/>
        <v>7.2759576141834259E-12</v>
      </c>
      <c r="P48" s="117">
        <f t="shared" si="4"/>
        <v>174254.15</v>
      </c>
      <c r="Q48" s="117"/>
      <c r="R48" s="117"/>
      <c r="S48" s="117">
        <f t="shared" si="19"/>
        <v>0</v>
      </c>
      <c r="T48" s="117">
        <f t="shared" si="6"/>
        <v>150000</v>
      </c>
      <c r="U48" s="117">
        <f t="shared" si="7"/>
        <v>-150000</v>
      </c>
      <c r="V48" s="117">
        <f t="shared" si="8"/>
        <v>-150000</v>
      </c>
      <c r="W48" s="543"/>
      <c r="X48" s="117"/>
      <c r="Y48" s="117"/>
      <c r="Z48" s="113"/>
      <c r="AA48" s="113">
        <v>742000</v>
      </c>
      <c r="AB48" s="117"/>
      <c r="AC48" s="117"/>
      <c r="AD48" s="117"/>
      <c r="AE48" s="117"/>
      <c r="AF48" s="117"/>
      <c r="AG48" s="117"/>
      <c r="AH48" s="117"/>
      <c r="AI48" s="117"/>
      <c r="AJ48" s="117"/>
      <c r="AK48" s="117">
        <f t="shared" si="11"/>
        <v>0</v>
      </c>
      <c r="AL48" s="117"/>
      <c r="AM48" s="566">
        <f t="shared" si="12"/>
        <v>0</v>
      </c>
      <c r="AN48" s="117">
        <f t="shared" si="13"/>
        <v>-150000</v>
      </c>
      <c r="AO48" s="117">
        <f t="shared" si="14"/>
        <v>0</v>
      </c>
      <c r="AP48" s="565"/>
      <c r="AQ48" s="565"/>
      <c r="AR48" s="565"/>
      <c r="AS48" s="565"/>
      <c r="AT48" s="117">
        <f t="shared" si="15"/>
        <v>0</v>
      </c>
      <c r="AU48" s="565"/>
      <c r="AV48" s="565"/>
      <c r="AW48" s="565"/>
      <c r="AX48" s="565"/>
      <c r="AY48" s="117">
        <f t="shared" si="16"/>
        <v>-150000</v>
      </c>
      <c r="AZ48" s="565"/>
      <c r="BA48" s="565"/>
      <c r="BB48" s="565"/>
      <c r="BC48" s="565"/>
      <c r="BD48" s="544"/>
      <c r="BE48" s="544"/>
      <c r="BF48" s="544"/>
      <c r="BG48" s="544"/>
      <c r="BH48" s="544"/>
      <c r="AJD48" s="546"/>
    </row>
    <row r="49" spans="1:940" s="567" customFormat="1">
      <c r="A49" s="113">
        <f t="shared" si="0"/>
        <v>42</v>
      </c>
      <c r="B49" s="113">
        <v>1805</v>
      </c>
      <c r="C49" s="113" t="s">
        <v>183</v>
      </c>
      <c r="D49" s="117">
        <v>1000000</v>
      </c>
      <c r="E49" s="117">
        <v>1000000</v>
      </c>
      <c r="F49" s="117">
        <f t="shared" si="1"/>
        <v>0</v>
      </c>
      <c r="G49" s="117">
        <v>1000000</v>
      </c>
      <c r="H49" s="117">
        <v>2677</v>
      </c>
      <c r="I49" s="117"/>
      <c r="J49" s="117"/>
      <c r="K49" s="117">
        <f t="shared" si="18"/>
        <v>0</v>
      </c>
      <c r="L49" s="117">
        <f t="shared" si="3"/>
        <v>2677</v>
      </c>
      <c r="M49" s="117">
        <f>P49+S49-990000</f>
        <v>7323</v>
      </c>
      <c r="N49" s="117">
        <f>990000-890000</f>
        <v>100000</v>
      </c>
      <c r="O49" s="117">
        <f t="shared" si="10"/>
        <v>890000</v>
      </c>
      <c r="P49" s="117">
        <f t="shared" si="4"/>
        <v>997323</v>
      </c>
      <c r="Q49" s="117"/>
      <c r="R49" s="117"/>
      <c r="S49" s="117">
        <f t="shared" si="19"/>
        <v>0</v>
      </c>
      <c r="T49" s="117">
        <f t="shared" si="6"/>
        <v>990000</v>
      </c>
      <c r="U49" s="117">
        <f t="shared" si="7"/>
        <v>-890000</v>
      </c>
      <c r="V49" s="117">
        <f t="shared" si="8"/>
        <v>-890000</v>
      </c>
      <c r="W49" s="543"/>
      <c r="X49" s="117"/>
      <c r="Y49" s="117"/>
      <c r="Z49" s="113"/>
      <c r="AA49" s="113">
        <v>742000</v>
      </c>
      <c r="AB49" s="117"/>
      <c r="AC49" s="117"/>
      <c r="AD49" s="117">
        <v>-890000</v>
      </c>
      <c r="AE49" s="117"/>
      <c r="AF49" s="117"/>
      <c r="AG49" s="117"/>
      <c r="AH49" s="117"/>
      <c r="AI49" s="117"/>
      <c r="AJ49" s="117"/>
      <c r="AK49" s="117">
        <f t="shared" ref="AK49:AK58" si="21">SUM(AB49:AJ49)</f>
        <v>-890000</v>
      </c>
      <c r="AL49" s="117"/>
      <c r="AM49" s="566">
        <f t="shared" si="12"/>
        <v>-890000</v>
      </c>
      <c r="AN49" s="117">
        <f t="shared" si="13"/>
        <v>0</v>
      </c>
      <c r="AO49" s="117">
        <f t="shared" si="14"/>
        <v>-890000</v>
      </c>
      <c r="AP49" s="565"/>
      <c r="AQ49" s="565"/>
      <c r="AR49" s="565"/>
      <c r="AS49" s="565"/>
      <c r="AT49" s="117">
        <f t="shared" si="15"/>
        <v>0</v>
      </c>
      <c r="AU49" s="565"/>
      <c r="AV49" s="565"/>
      <c r="AW49" s="565"/>
      <c r="AX49" s="565"/>
      <c r="AY49" s="117">
        <f t="shared" si="16"/>
        <v>0</v>
      </c>
      <c r="AZ49" s="565"/>
      <c r="BA49" s="565"/>
      <c r="BB49" s="565"/>
      <c r="BC49" s="565"/>
      <c r="BD49" s="544"/>
      <c r="BE49" s="544"/>
      <c r="BF49" s="544"/>
      <c r="BG49" s="544"/>
      <c r="BH49" s="544"/>
      <c r="AJD49" s="546"/>
    </row>
    <row r="50" spans="1:940" s="545" customFormat="1">
      <c r="A50" s="113">
        <f t="shared" si="0"/>
        <v>43</v>
      </c>
      <c r="B50" s="113">
        <v>1826</v>
      </c>
      <c r="C50" s="113" t="s">
        <v>191</v>
      </c>
      <c r="D50" s="117">
        <v>1500000</v>
      </c>
      <c r="E50" s="117">
        <v>1500000</v>
      </c>
      <c r="F50" s="117">
        <f t="shared" si="1"/>
        <v>0</v>
      </c>
      <c r="G50" s="117">
        <v>200000</v>
      </c>
      <c r="H50" s="117"/>
      <c r="I50" s="117"/>
      <c r="J50" s="117">
        <v>11756.75</v>
      </c>
      <c r="K50" s="117">
        <f t="shared" si="18"/>
        <v>11756.75</v>
      </c>
      <c r="L50" s="117">
        <f t="shared" si="3"/>
        <v>11756.75</v>
      </c>
      <c r="M50" s="117">
        <f>P50+S50</f>
        <v>188243.25</v>
      </c>
      <c r="N50" s="117">
        <v>1300000</v>
      </c>
      <c r="O50" s="117">
        <f t="shared" si="10"/>
        <v>0</v>
      </c>
      <c r="P50" s="117">
        <f t="shared" si="4"/>
        <v>188243.25</v>
      </c>
      <c r="Q50" s="117"/>
      <c r="R50" s="117"/>
      <c r="S50" s="117">
        <f t="shared" si="19"/>
        <v>0</v>
      </c>
      <c r="T50" s="117">
        <f t="shared" si="6"/>
        <v>0</v>
      </c>
      <c r="U50" s="117">
        <f t="shared" si="7"/>
        <v>1300000</v>
      </c>
      <c r="V50" s="117">
        <f t="shared" si="8"/>
        <v>1300000</v>
      </c>
      <c r="W50" s="543"/>
      <c r="X50" s="117"/>
      <c r="Y50" s="117"/>
      <c r="Z50" s="113"/>
      <c r="AA50" s="113">
        <v>742000</v>
      </c>
      <c r="AB50" s="117"/>
      <c r="AC50" s="117"/>
      <c r="AD50" s="117">
        <v>200000</v>
      </c>
      <c r="AE50" s="117"/>
      <c r="AF50" s="117"/>
      <c r="AG50" s="117"/>
      <c r="AH50" s="117"/>
      <c r="AI50" s="117">
        <f>500000-500000</f>
        <v>0</v>
      </c>
      <c r="AJ50" s="117"/>
      <c r="AK50" s="117">
        <f t="shared" si="11"/>
        <v>200000</v>
      </c>
      <c r="AL50" s="117"/>
      <c r="AM50" s="566">
        <f t="shared" si="12"/>
        <v>200000</v>
      </c>
      <c r="AN50" s="117">
        <f t="shared" si="13"/>
        <v>1100000</v>
      </c>
      <c r="AO50" s="117">
        <f t="shared" si="14"/>
        <v>200000</v>
      </c>
      <c r="AP50" s="565"/>
      <c r="AQ50" s="565"/>
      <c r="AR50" s="565"/>
      <c r="AS50" s="565"/>
      <c r="AT50" s="117">
        <f t="shared" si="15"/>
        <v>0</v>
      </c>
      <c r="AU50" s="565"/>
      <c r="AV50" s="565"/>
      <c r="AW50" s="565"/>
      <c r="AX50" s="565"/>
      <c r="AY50" s="117">
        <f t="shared" si="16"/>
        <v>1100000</v>
      </c>
      <c r="AZ50" s="565"/>
      <c r="BA50" s="565"/>
      <c r="BB50" s="565"/>
      <c r="BC50" s="565"/>
      <c r="BD50" s="544"/>
      <c r="BE50" s="544"/>
      <c r="BF50" s="544"/>
      <c r="BG50" s="544"/>
      <c r="BH50" s="544"/>
      <c r="AJD50" s="546"/>
    </row>
    <row r="51" spans="1:940" s="545" customFormat="1">
      <c r="A51" s="113">
        <f t="shared" si="0"/>
        <v>44</v>
      </c>
      <c r="B51" s="113">
        <v>1872</v>
      </c>
      <c r="C51" s="113" t="s">
        <v>204</v>
      </c>
      <c r="D51" s="117">
        <v>1160000</v>
      </c>
      <c r="E51" s="117">
        <v>1160000</v>
      </c>
      <c r="F51" s="117">
        <f t="shared" si="1"/>
        <v>0</v>
      </c>
      <c r="G51" s="117">
        <v>1160000</v>
      </c>
      <c r="H51" s="117">
        <v>0</v>
      </c>
      <c r="I51" s="117"/>
      <c r="J51" s="117">
        <v>464921.15</v>
      </c>
      <c r="K51" s="117">
        <f t="shared" si="18"/>
        <v>464921.15</v>
      </c>
      <c r="L51" s="117">
        <f t="shared" si="3"/>
        <v>464921.15</v>
      </c>
      <c r="M51" s="117">
        <f>P51+S51-1000000+470000</f>
        <v>165078.84999999998</v>
      </c>
      <c r="N51" s="117">
        <f>1000000-470000</f>
        <v>530000</v>
      </c>
      <c r="O51" s="117">
        <f t="shared" si="10"/>
        <v>0</v>
      </c>
      <c r="P51" s="117">
        <f t="shared" si="4"/>
        <v>695078.85</v>
      </c>
      <c r="Q51" s="117"/>
      <c r="R51" s="117"/>
      <c r="S51" s="117">
        <f t="shared" si="19"/>
        <v>0</v>
      </c>
      <c r="T51" s="117">
        <f t="shared" si="6"/>
        <v>530000</v>
      </c>
      <c r="U51" s="117">
        <f t="shared" si="7"/>
        <v>0</v>
      </c>
      <c r="V51" s="117">
        <f t="shared" si="8"/>
        <v>0</v>
      </c>
      <c r="W51" s="543"/>
      <c r="X51" s="117"/>
      <c r="Y51" s="117"/>
      <c r="Z51" s="113"/>
      <c r="AA51" s="113">
        <v>742000</v>
      </c>
      <c r="AB51" s="117"/>
      <c r="AC51" s="117"/>
      <c r="AD51" s="117"/>
      <c r="AE51" s="117"/>
      <c r="AF51" s="117"/>
      <c r="AG51" s="117"/>
      <c r="AH51" s="117"/>
      <c r="AI51" s="117"/>
      <c r="AJ51" s="117"/>
      <c r="AK51" s="117">
        <f t="shared" si="21"/>
        <v>0</v>
      </c>
      <c r="AL51" s="117"/>
      <c r="AM51" s="566">
        <f t="shared" si="12"/>
        <v>0</v>
      </c>
      <c r="AN51" s="117">
        <f t="shared" si="13"/>
        <v>0</v>
      </c>
      <c r="AO51" s="117">
        <f t="shared" si="14"/>
        <v>0</v>
      </c>
      <c r="AP51" s="565"/>
      <c r="AQ51" s="565"/>
      <c r="AR51" s="565"/>
      <c r="AS51" s="565"/>
      <c r="AT51" s="117">
        <f t="shared" si="15"/>
        <v>0</v>
      </c>
      <c r="AU51" s="565"/>
      <c r="AV51" s="565"/>
      <c r="AW51" s="565"/>
      <c r="AX51" s="565"/>
      <c r="AY51" s="117">
        <f t="shared" si="16"/>
        <v>0</v>
      </c>
      <c r="AZ51" s="565"/>
      <c r="BA51" s="565"/>
      <c r="BB51" s="565"/>
      <c r="BC51" s="565"/>
      <c r="BD51" s="544"/>
      <c r="BE51" s="544"/>
      <c r="BF51" s="544"/>
      <c r="BG51" s="544"/>
      <c r="BH51" s="544"/>
      <c r="AJD51" s="546"/>
    </row>
    <row r="52" spans="1:940" s="546" customFormat="1">
      <c r="A52" s="113">
        <f t="shared" si="0"/>
        <v>45</v>
      </c>
      <c r="B52" s="113">
        <v>1882</v>
      </c>
      <c r="C52" s="113" t="s">
        <v>532</v>
      </c>
      <c r="D52" s="117">
        <v>14300000</v>
      </c>
      <c r="E52" s="117">
        <v>14300000</v>
      </c>
      <c r="F52" s="117">
        <f t="shared" si="1"/>
        <v>0</v>
      </c>
      <c r="G52" s="117">
        <v>200000</v>
      </c>
      <c r="H52" s="117"/>
      <c r="I52" s="117"/>
      <c r="J52" s="117"/>
      <c r="K52" s="117">
        <f t="shared" si="18"/>
        <v>0</v>
      </c>
      <c r="L52" s="117">
        <f t="shared" si="3"/>
        <v>0</v>
      </c>
      <c r="M52" s="117">
        <f>P52+S52</f>
        <v>200000</v>
      </c>
      <c r="N52" s="117">
        <f>1000000-500000+250000</f>
        <v>750000</v>
      </c>
      <c r="O52" s="117">
        <f t="shared" si="10"/>
        <v>13350000</v>
      </c>
      <c r="P52" s="117">
        <f t="shared" si="4"/>
        <v>200000</v>
      </c>
      <c r="Q52" s="117"/>
      <c r="R52" s="117"/>
      <c r="S52" s="117">
        <f t="shared" si="19"/>
        <v>0</v>
      </c>
      <c r="T52" s="117">
        <f t="shared" si="6"/>
        <v>0</v>
      </c>
      <c r="U52" s="117">
        <f t="shared" si="7"/>
        <v>750000</v>
      </c>
      <c r="V52" s="117">
        <f t="shared" si="8"/>
        <v>750000</v>
      </c>
      <c r="W52" s="543"/>
      <c r="X52" s="117"/>
      <c r="Y52" s="117"/>
      <c r="Z52" s="113"/>
      <c r="AA52" s="113">
        <v>742000</v>
      </c>
      <c r="AB52" s="117"/>
      <c r="AC52" s="117"/>
      <c r="AD52" s="117"/>
      <c r="AE52" s="117"/>
      <c r="AF52" s="117"/>
      <c r="AG52" s="117"/>
      <c r="AH52" s="117"/>
      <c r="AI52" s="117"/>
      <c r="AJ52" s="117"/>
      <c r="AK52" s="117">
        <f t="shared" si="21"/>
        <v>0</v>
      </c>
      <c r="AL52" s="117"/>
      <c r="AM52" s="566">
        <f t="shared" si="12"/>
        <v>0</v>
      </c>
      <c r="AN52" s="117">
        <f t="shared" si="13"/>
        <v>750000</v>
      </c>
      <c r="AO52" s="117">
        <f t="shared" si="14"/>
        <v>0</v>
      </c>
      <c r="AP52" s="565"/>
      <c r="AQ52" s="565"/>
      <c r="AR52" s="565"/>
      <c r="AS52" s="565"/>
      <c r="AT52" s="117">
        <f t="shared" si="15"/>
        <v>0</v>
      </c>
      <c r="AU52" s="565"/>
      <c r="AV52" s="565"/>
      <c r="AW52" s="565"/>
      <c r="AX52" s="565"/>
      <c r="AY52" s="117">
        <f t="shared" si="16"/>
        <v>750000</v>
      </c>
      <c r="AZ52" s="565"/>
      <c r="BA52" s="565"/>
      <c r="BB52" s="565"/>
      <c r="BC52" s="565"/>
      <c r="BD52" s="544"/>
      <c r="BE52" s="544"/>
      <c r="BF52" s="544"/>
      <c r="BG52" s="544"/>
      <c r="BH52" s="544"/>
      <c r="BI52" s="308"/>
      <c r="BJ52" s="308"/>
      <c r="BK52" s="308"/>
      <c r="BL52" s="308"/>
      <c r="BM52" s="308"/>
      <c r="BN52" s="308"/>
      <c r="BO52" s="308"/>
      <c r="BP52" s="308"/>
      <c r="BQ52" s="308"/>
      <c r="BR52" s="308"/>
      <c r="BS52" s="308"/>
      <c r="BT52" s="308"/>
      <c r="BU52" s="308"/>
      <c r="BV52" s="308"/>
      <c r="BW52" s="308"/>
      <c r="BX52" s="308"/>
      <c r="BY52" s="308"/>
      <c r="BZ52" s="308"/>
      <c r="CA52" s="308"/>
      <c r="CB52" s="308"/>
      <c r="CC52" s="308"/>
      <c r="CD52" s="308"/>
      <c r="CE52" s="308"/>
      <c r="CF52" s="308"/>
      <c r="CG52" s="308"/>
      <c r="CH52" s="308"/>
      <c r="CI52" s="308"/>
      <c r="CJ52" s="308"/>
      <c r="CK52" s="308"/>
      <c r="CL52" s="308"/>
      <c r="CM52" s="308"/>
      <c r="CN52" s="308"/>
      <c r="CO52" s="308"/>
      <c r="CP52" s="308"/>
      <c r="CQ52" s="308"/>
      <c r="CR52" s="308"/>
      <c r="CS52" s="308"/>
      <c r="CT52" s="308"/>
      <c r="CU52" s="308"/>
      <c r="CV52" s="308"/>
      <c r="CW52" s="308"/>
      <c r="CX52" s="308"/>
      <c r="CY52" s="308"/>
      <c r="CZ52" s="308"/>
      <c r="DA52" s="308"/>
      <c r="DB52" s="308"/>
      <c r="DC52" s="308"/>
      <c r="DD52" s="308"/>
      <c r="DE52" s="308"/>
      <c r="DF52" s="308"/>
      <c r="DG52" s="308"/>
      <c r="DH52" s="308"/>
      <c r="DI52" s="308"/>
      <c r="DJ52" s="308"/>
      <c r="DK52" s="308"/>
      <c r="DL52" s="308"/>
      <c r="DM52" s="308"/>
      <c r="DN52" s="308"/>
      <c r="DO52" s="308"/>
      <c r="DP52" s="308"/>
      <c r="DQ52" s="308"/>
      <c r="DR52" s="308"/>
      <c r="DS52" s="308"/>
      <c r="DT52" s="308"/>
      <c r="DU52" s="308"/>
      <c r="DV52" s="308"/>
      <c r="DW52" s="308"/>
      <c r="DX52" s="308"/>
      <c r="DY52" s="308"/>
      <c r="DZ52" s="308"/>
      <c r="EA52" s="308"/>
      <c r="EB52" s="308"/>
      <c r="EC52" s="308"/>
      <c r="ED52" s="308"/>
      <c r="EE52" s="308"/>
      <c r="EF52" s="308"/>
      <c r="EG52" s="308"/>
      <c r="EH52" s="308"/>
      <c r="EI52" s="308"/>
      <c r="EJ52" s="308"/>
      <c r="EK52" s="308"/>
      <c r="EL52" s="308"/>
      <c r="EM52" s="308"/>
      <c r="EN52" s="308"/>
      <c r="EO52" s="308"/>
      <c r="EP52" s="308"/>
      <c r="EQ52" s="308"/>
      <c r="ER52" s="308"/>
      <c r="ES52" s="308"/>
      <c r="ET52" s="308"/>
      <c r="EU52" s="308"/>
      <c r="EV52" s="308"/>
      <c r="EW52" s="308"/>
      <c r="EX52" s="308"/>
      <c r="EY52" s="308"/>
      <c r="EZ52" s="308"/>
      <c r="FA52" s="308"/>
      <c r="FB52" s="308"/>
      <c r="FC52" s="308"/>
      <c r="FD52" s="308"/>
      <c r="FE52" s="308"/>
      <c r="FF52" s="308"/>
      <c r="FG52" s="308"/>
      <c r="FH52" s="308"/>
      <c r="FI52" s="308"/>
      <c r="FJ52" s="308"/>
      <c r="FK52" s="308"/>
      <c r="FL52" s="308"/>
      <c r="FM52" s="308"/>
      <c r="FN52" s="308"/>
      <c r="FO52" s="308"/>
      <c r="FP52" s="308"/>
      <c r="FQ52" s="308"/>
      <c r="FR52" s="308"/>
      <c r="FS52" s="308"/>
      <c r="FT52" s="308"/>
      <c r="FU52" s="308"/>
      <c r="FV52" s="308"/>
      <c r="FW52" s="308"/>
      <c r="FX52" s="308"/>
      <c r="FY52" s="308"/>
      <c r="FZ52" s="308"/>
      <c r="GA52" s="308"/>
      <c r="GB52" s="308"/>
      <c r="GC52" s="308"/>
      <c r="GD52" s="308"/>
      <c r="GE52" s="308"/>
      <c r="GF52" s="308"/>
      <c r="GG52" s="308"/>
      <c r="GH52" s="308"/>
      <c r="GI52" s="308"/>
      <c r="GJ52" s="308"/>
      <c r="GK52" s="308"/>
      <c r="GL52" s="308"/>
      <c r="GM52" s="308"/>
      <c r="GN52" s="308"/>
      <c r="GO52" s="308"/>
      <c r="GP52" s="308"/>
      <c r="GQ52" s="308"/>
      <c r="GR52" s="308"/>
      <c r="GS52" s="308"/>
      <c r="GT52" s="308"/>
      <c r="GU52" s="308"/>
      <c r="GV52" s="308"/>
      <c r="GW52" s="308"/>
      <c r="GX52" s="308"/>
      <c r="GY52" s="308"/>
      <c r="GZ52" s="308"/>
      <c r="HA52" s="308"/>
      <c r="HB52" s="308"/>
      <c r="HC52" s="308"/>
      <c r="HD52" s="308"/>
      <c r="HE52" s="308"/>
      <c r="HF52" s="308"/>
      <c r="HG52" s="308"/>
      <c r="HH52" s="308"/>
      <c r="HI52" s="308"/>
      <c r="HJ52" s="308"/>
      <c r="HK52" s="308"/>
      <c r="HL52" s="308"/>
      <c r="HM52" s="308"/>
      <c r="HN52" s="308"/>
      <c r="HO52" s="308"/>
      <c r="HP52" s="308"/>
      <c r="HQ52" s="308"/>
      <c r="HR52" s="308"/>
      <c r="HS52" s="308"/>
      <c r="HT52" s="308"/>
      <c r="HU52" s="308"/>
      <c r="HV52" s="308"/>
      <c r="HW52" s="308"/>
      <c r="HX52" s="308"/>
      <c r="HY52" s="308"/>
      <c r="HZ52" s="308"/>
      <c r="IA52" s="308"/>
      <c r="IB52" s="308"/>
      <c r="IC52" s="308"/>
      <c r="ID52" s="308"/>
      <c r="IE52" s="308"/>
      <c r="IF52" s="308"/>
      <c r="IG52" s="308"/>
      <c r="IH52" s="308"/>
      <c r="II52" s="308"/>
      <c r="IJ52" s="308"/>
      <c r="IK52" s="308"/>
      <c r="IL52" s="308"/>
      <c r="IM52" s="308"/>
      <c r="IN52" s="308"/>
      <c r="IO52" s="308"/>
      <c r="IP52" s="308"/>
      <c r="IQ52" s="308"/>
      <c r="IR52" s="308"/>
      <c r="IS52" s="308"/>
      <c r="IT52" s="308"/>
      <c r="IU52" s="308"/>
      <c r="IV52" s="308"/>
      <c r="IW52" s="308"/>
      <c r="IX52" s="308"/>
      <c r="IY52" s="308"/>
      <c r="IZ52" s="308"/>
      <c r="JA52" s="308"/>
      <c r="JB52" s="308"/>
      <c r="JC52" s="308"/>
      <c r="JD52" s="308"/>
      <c r="JE52" s="308"/>
      <c r="JF52" s="308"/>
      <c r="JG52" s="308"/>
      <c r="JH52" s="308"/>
      <c r="JI52" s="308"/>
      <c r="JJ52" s="308"/>
      <c r="JK52" s="308"/>
      <c r="JL52" s="308"/>
      <c r="JM52" s="308"/>
      <c r="JN52" s="308"/>
      <c r="JO52" s="308"/>
      <c r="JP52" s="308"/>
      <c r="JQ52" s="308"/>
      <c r="JR52" s="308"/>
      <c r="JS52" s="308"/>
      <c r="JT52" s="308"/>
      <c r="JU52" s="308"/>
      <c r="JV52" s="308"/>
      <c r="JW52" s="308"/>
      <c r="JX52" s="308"/>
      <c r="JY52" s="308"/>
      <c r="JZ52" s="308"/>
      <c r="KA52" s="308"/>
      <c r="KB52" s="308"/>
      <c r="KC52" s="308"/>
      <c r="KD52" s="308"/>
      <c r="KE52" s="308"/>
      <c r="KF52" s="308"/>
      <c r="KG52" s="308"/>
      <c r="KH52" s="308"/>
      <c r="KI52" s="308"/>
      <c r="KJ52" s="308"/>
      <c r="KK52" s="308"/>
      <c r="KL52" s="308"/>
      <c r="KM52" s="308"/>
      <c r="KN52" s="308"/>
      <c r="KO52" s="308"/>
      <c r="KP52" s="308"/>
      <c r="KQ52" s="308"/>
      <c r="KR52" s="308"/>
      <c r="KS52" s="308"/>
      <c r="KT52" s="308"/>
      <c r="KU52" s="308"/>
      <c r="KV52" s="308"/>
      <c r="KW52" s="308"/>
      <c r="KX52" s="308"/>
      <c r="KY52" s="308"/>
      <c r="KZ52" s="308"/>
      <c r="LA52" s="308"/>
      <c r="LB52" s="308"/>
      <c r="LC52" s="308"/>
      <c r="LD52" s="308"/>
      <c r="LE52" s="308"/>
      <c r="LF52" s="308"/>
      <c r="LG52" s="308"/>
      <c r="LH52" s="308"/>
      <c r="LI52" s="308"/>
      <c r="LJ52" s="308"/>
      <c r="LK52" s="308"/>
      <c r="LL52" s="308"/>
      <c r="LM52" s="308"/>
      <c r="LN52" s="308"/>
      <c r="LO52" s="308"/>
      <c r="LP52" s="308"/>
      <c r="LQ52" s="308"/>
      <c r="LR52" s="308"/>
      <c r="LS52" s="308"/>
      <c r="LT52" s="308"/>
      <c r="LU52" s="308"/>
      <c r="LV52" s="308"/>
      <c r="LW52" s="308"/>
      <c r="LX52" s="308"/>
      <c r="LY52" s="308"/>
      <c r="LZ52" s="308"/>
      <c r="MA52" s="308"/>
      <c r="MB52" s="308"/>
      <c r="MC52" s="308"/>
      <c r="MD52" s="308"/>
      <c r="ME52" s="308"/>
      <c r="MF52" s="308"/>
      <c r="MG52" s="308"/>
      <c r="MH52" s="308"/>
      <c r="MI52" s="308"/>
      <c r="MJ52" s="308"/>
      <c r="MK52" s="308"/>
      <c r="ML52" s="308"/>
      <c r="MM52" s="308"/>
      <c r="MN52" s="308"/>
      <c r="MO52" s="308"/>
      <c r="MP52" s="308"/>
      <c r="MQ52" s="308"/>
      <c r="MR52" s="308"/>
      <c r="MS52" s="308"/>
      <c r="MT52" s="308"/>
      <c r="MU52" s="308"/>
      <c r="MV52" s="308"/>
      <c r="MW52" s="308"/>
      <c r="MX52" s="308"/>
      <c r="MY52" s="308"/>
      <c r="MZ52" s="308"/>
      <c r="NA52" s="308"/>
      <c r="NB52" s="308"/>
      <c r="NC52" s="308"/>
      <c r="ND52" s="308"/>
      <c r="NE52" s="308"/>
      <c r="NF52" s="308"/>
      <c r="NG52" s="308"/>
      <c r="NH52" s="308"/>
      <c r="NI52" s="308"/>
      <c r="NJ52" s="308"/>
      <c r="NK52" s="308"/>
      <c r="NL52" s="308"/>
      <c r="NM52" s="308"/>
      <c r="NN52" s="308"/>
      <c r="NO52" s="308"/>
      <c r="NP52" s="308"/>
      <c r="NQ52" s="308"/>
      <c r="NR52" s="308"/>
      <c r="NS52" s="308"/>
      <c r="NT52" s="308"/>
      <c r="NU52" s="308"/>
      <c r="NV52" s="308"/>
      <c r="NW52" s="308"/>
      <c r="NX52" s="308"/>
      <c r="NY52" s="308"/>
      <c r="NZ52" s="308"/>
      <c r="OA52" s="308"/>
      <c r="OB52" s="308"/>
      <c r="OC52" s="308"/>
      <c r="OD52" s="308"/>
      <c r="OE52" s="308"/>
      <c r="OF52" s="308"/>
      <c r="OG52" s="308"/>
      <c r="OH52" s="308"/>
      <c r="OI52" s="308"/>
      <c r="OJ52" s="308"/>
      <c r="OK52" s="308"/>
      <c r="OL52" s="308"/>
      <c r="OM52" s="308"/>
      <c r="ON52" s="308"/>
      <c r="OO52" s="308"/>
      <c r="OP52" s="308"/>
      <c r="OQ52" s="308"/>
      <c r="OR52" s="308"/>
      <c r="OS52" s="308"/>
      <c r="OT52" s="308"/>
      <c r="OU52" s="308"/>
      <c r="OV52" s="308"/>
      <c r="OW52" s="308"/>
      <c r="OX52" s="308"/>
      <c r="OY52" s="308"/>
      <c r="OZ52" s="308"/>
      <c r="PA52" s="308"/>
      <c r="PB52" s="308"/>
      <c r="PC52" s="308"/>
      <c r="PD52" s="308"/>
      <c r="PE52" s="308"/>
      <c r="PF52" s="308"/>
      <c r="PG52" s="308"/>
      <c r="PH52" s="308"/>
      <c r="PI52" s="308"/>
      <c r="PJ52" s="308"/>
      <c r="PK52" s="308"/>
      <c r="PL52" s="308"/>
      <c r="PM52" s="308"/>
      <c r="PN52" s="308"/>
      <c r="PO52" s="308"/>
      <c r="PP52" s="308"/>
      <c r="PQ52" s="308"/>
      <c r="PR52" s="308"/>
      <c r="PS52" s="308"/>
      <c r="PT52" s="308"/>
      <c r="PU52" s="308"/>
      <c r="PV52" s="308"/>
      <c r="PW52" s="308"/>
      <c r="PX52" s="308"/>
      <c r="PY52" s="308"/>
      <c r="PZ52" s="308"/>
      <c r="QA52" s="308"/>
      <c r="QB52" s="308"/>
      <c r="QC52" s="308"/>
      <c r="QD52" s="308"/>
      <c r="QE52" s="308"/>
      <c r="QF52" s="308"/>
      <c r="QG52" s="308"/>
      <c r="QH52" s="308"/>
      <c r="QI52" s="308"/>
      <c r="QJ52" s="308"/>
      <c r="QK52" s="308"/>
      <c r="QL52" s="308"/>
      <c r="QM52" s="308"/>
      <c r="QN52" s="308"/>
      <c r="QO52" s="308"/>
      <c r="QP52" s="308"/>
      <c r="QQ52" s="308"/>
      <c r="QR52" s="308"/>
      <c r="QS52" s="308"/>
      <c r="QT52" s="308"/>
      <c r="QU52" s="308"/>
      <c r="QV52" s="308"/>
      <c r="QW52" s="308"/>
      <c r="QX52" s="308"/>
      <c r="QY52" s="308"/>
      <c r="QZ52" s="308"/>
      <c r="RA52" s="308"/>
      <c r="RB52" s="308"/>
      <c r="RC52" s="308"/>
      <c r="RD52" s="308"/>
      <c r="RE52" s="308"/>
      <c r="RF52" s="308"/>
      <c r="RG52" s="308"/>
      <c r="RH52" s="308"/>
      <c r="RI52" s="308"/>
      <c r="RJ52" s="308"/>
      <c r="RK52" s="308"/>
      <c r="RL52" s="308"/>
      <c r="RM52" s="308"/>
      <c r="RN52" s="308"/>
      <c r="RO52" s="308"/>
      <c r="RP52" s="308"/>
      <c r="RQ52" s="308"/>
      <c r="RR52" s="308"/>
      <c r="RS52" s="308"/>
      <c r="RT52" s="308"/>
      <c r="RU52" s="308"/>
      <c r="RV52" s="308"/>
      <c r="RW52" s="308"/>
      <c r="RX52" s="308"/>
      <c r="RY52" s="308"/>
      <c r="RZ52" s="308"/>
      <c r="SA52" s="308"/>
      <c r="SB52" s="308"/>
      <c r="SC52" s="308"/>
      <c r="SD52" s="308"/>
      <c r="SE52" s="308"/>
      <c r="SF52" s="308"/>
      <c r="SG52" s="308"/>
      <c r="SH52" s="308"/>
      <c r="SI52" s="308"/>
      <c r="SJ52" s="308"/>
      <c r="SK52" s="308"/>
      <c r="SL52" s="308"/>
      <c r="SM52" s="308"/>
      <c r="SN52" s="308"/>
      <c r="SO52" s="308"/>
      <c r="SP52" s="308"/>
      <c r="SQ52" s="308"/>
      <c r="SR52" s="308"/>
      <c r="SS52" s="308"/>
      <c r="ST52" s="308"/>
      <c r="SU52" s="308"/>
      <c r="SV52" s="308"/>
      <c r="SW52" s="308"/>
      <c r="SX52" s="308"/>
      <c r="SY52" s="308"/>
      <c r="SZ52" s="308"/>
      <c r="TA52" s="308"/>
      <c r="TB52" s="308"/>
      <c r="TC52" s="308"/>
      <c r="TD52" s="308"/>
      <c r="TE52" s="308"/>
      <c r="TF52" s="308"/>
      <c r="TG52" s="308"/>
      <c r="TH52" s="308"/>
      <c r="TI52" s="308"/>
      <c r="TJ52" s="308"/>
      <c r="TK52" s="308"/>
      <c r="TL52" s="308"/>
      <c r="TM52" s="308"/>
      <c r="TN52" s="308"/>
      <c r="TO52" s="308"/>
      <c r="TP52" s="308"/>
      <c r="TQ52" s="308"/>
      <c r="TR52" s="308"/>
      <c r="TS52" s="308"/>
      <c r="TT52" s="308"/>
      <c r="TU52" s="308"/>
      <c r="TV52" s="308"/>
      <c r="TW52" s="308"/>
      <c r="TX52" s="308"/>
      <c r="TY52" s="308"/>
      <c r="TZ52" s="308"/>
      <c r="UA52" s="308"/>
      <c r="UB52" s="308"/>
      <c r="UC52" s="308"/>
      <c r="UD52" s="308"/>
      <c r="UE52" s="308"/>
      <c r="UF52" s="308"/>
      <c r="UG52" s="308"/>
      <c r="UH52" s="308"/>
      <c r="UI52" s="308"/>
      <c r="UJ52" s="308"/>
      <c r="UK52" s="308"/>
      <c r="UL52" s="308"/>
      <c r="UM52" s="308"/>
      <c r="UN52" s="308"/>
      <c r="UO52" s="308"/>
      <c r="UP52" s="308"/>
      <c r="UQ52" s="308"/>
      <c r="UR52" s="308"/>
      <c r="US52" s="308"/>
      <c r="UT52" s="308"/>
      <c r="UU52" s="308"/>
      <c r="UV52" s="308"/>
      <c r="UW52" s="308"/>
      <c r="UX52" s="308"/>
      <c r="UY52" s="308"/>
      <c r="UZ52" s="308"/>
      <c r="VA52" s="308"/>
      <c r="VB52" s="308"/>
      <c r="VC52" s="308"/>
      <c r="VD52" s="308"/>
      <c r="VE52" s="308"/>
      <c r="VF52" s="308"/>
      <c r="VG52" s="308"/>
      <c r="VH52" s="308"/>
      <c r="VI52" s="308"/>
      <c r="VJ52" s="308"/>
      <c r="VK52" s="308"/>
      <c r="VL52" s="308"/>
      <c r="VM52" s="308"/>
      <c r="VN52" s="308"/>
      <c r="VO52" s="308"/>
      <c r="VP52" s="308"/>
      <c r="VQ52" s="308"/>
      <c r="VR52" s="308"/>
      <c r="VS52" s="308"/>
      <c r="VT52" s="308"/>
      <c r="VU52" s="308"/>
      <c r="VV52" s="308"/>
      <c r="VW52" s="308"/>
      <c r="VX52" s="308"/>
      <c r="VY52" s="308"/>
      <c r="VZ52" s="308"/>
      <c r="WA52" s="308"/>
      <c r="WB52" s="308"/>
      <c r="WC52" s="308"/>
      <c r="WD52" s="308"/>
      <c r="WE52" s="308"/>
      <c r="WF52" s="308"/>
      <c r="WG52" s="308"/>
      <c r="WH52" s="308"/>
      <c r="WI52" s="308"/>
      <c r="WJ52" s="308"/>
      <c r="WK52" s="308"/>
      <c r="WL52" s="308"/>
      <c r="WM52" s="308"/>
      <c r="WN52" s="308"/>
      <c r="WO52" s="308"/>
      <c r="WP52" s="308"/>
      <c r="WQ52" s="308"/>
      <c r="WR52" s="308"/>
      <c r="WS52" s="308"/>
      <c r="WT52" s="308"/>
      <c r="WU52" s="308"/>
      <c r="WV52" s="308"/>
      <c r="WW52" s="308"/>
      <c r="WX52" s="308"/>
      <c r="WY52" s="308"/>
      <c r="WZ52" s="308"/>
      <c r="XA52" s="308"/>
      <c r="XB52" s="308"/>
      <c r="XC52" s="308"/>
      <c r="XD52" s="308"/>
      <c r="XE52" s="308"/>
      <c r="XF52" s="308"/>
      <c r="XG52" s="308"/>
      <c r="XH52" s="308"/>
      <c r="XI52" s="308"/>
      <c r="XJ52" s="308"/>
      <c r="XK52" s="308"/>
      <c r="XL52" s="308"/>
      <c r="XM52" s="308"/>
      <c r="XN52" s="308"/>
      <c r="XO52" s="308"/>
      <c r="XP52" s="308"/>
      <c r="XQ52" s="308"/>
      <c r="XR52" s="308"/>
      <c r="XS52" s="308"/>
      <c r="XT52" s="308"/>
      <c r="XU52" s="308"/>
      <c r="XV52" s="308"/>
      <c r="XW52" s="308"/>
      <c r="XX52" s="308"/>
      <c r="XY52" s="308"/>
      <c r="XZ52" s="308"/>
      <c r="YA52" s="308"/>
      <c r="YB52" s="308"/>
      <c r="YC52" s="308"/>
      <c r="YD52" s="308"/>
      <c r="YE52" s="308"/>
      <c r="YF52" s="308"/>
      <c r="YG52" s="308"/>
      <c r="YH52" s="308"/>
      <c r="YI52" s="308"/>
      <c r="YJ52" s="308"/>
      <c r="YK52" s="308"/>
      <c r="YL52" s="308"/>
      <c r="YM52" s="308"/>
      <c r="YN52" s="308"/>
      <c r="YO52" s="308"/>
      <c r="YP52" s="308"/>
      <c r="YQ52" s="308"/>
      <c r="YR52" s="308"/>
      <c r="YS52" s="308"/>
      <c r="YT52" s="308"/>
      <c r="YU52" s="308"/>
      <c r="YV52" s="308"/>
      <c r="YW52" s="308"/>
      <c r="YX52" s="308"/>
      <c r="YY52" s="308"/>
      <c r="YZ52" s="308"/>
      <c r="ZA52" s="308"/>
      <c r="ZB52" s="308"/>
      <c r="ZC52" s="308"/>
      <c r="ZD52" s="308"/>
      <c r="ZE52" s="308"/>
      <c r="ZF52" s="308"/>
      <c r="ZG52" s="308"/>
      <c r="ZH52" s="308"/>
      <c r="ZI52" s="308"/>
      <c r="ZJ52" s="308"/>
      <c r="ZK52" s="308"/>
      <c r="ZL52" s="308"/>
      <c r="ZM52" s="308"/>
      <c r="ZN52" s="308"/>
      <c r="ZO52" s="308"/>
      <c r="ZP52" s="308"/>
      <c r="ZQ52" s="308"/>
      <c r="ZR52" s="308"/>
      <c r="ZS52" s="308"/>
      <c r="ZT52" s="308"/>
      <c r="ZU52" s="308"/>
      <c r="ZV52" s="308"/>
      <c r="ZW52" s="308"/>
      <c r="ZX52" s="308"/>
      <c r="ZY52" s="308"/>
      <c r="ZZ52" s="308"/>
      <c r="AAA52" s="308"/>
      <c r="AAB52" s="308"/>
      <c r="AAC52" s="308"/>
      <c r="AAD52" s="308"/>
      <c r="AAE52" s="308"/>
      <c r="AAF52" s="308"/>
      <c r="AAG52" s="308"/>
      <c r="AAH52" s="308"/>
      <c r="AAI52" s="308"/>
      <c r="AAJ52" s="308"/>
      <c r="AAK52" s="308"/>
      <c r="AAL52" s="308"/>
      <c r="AAM52" s="308"/>
      <c r="AAN52" s="308"/>
      <c r="AAO52" s="308"/>
      <c r="AAP52" s="308"/>
      <c r="AAQ52" s="308"/>
      <c r="AAR52" s="308"/>
      <c r="AAS52" s="308"/>
      <c r="AAT52" s="308"/>
      <c r="AAU52" s="308"/>
      <c r="AAV52" s="308"/>
      <c r="AAW52" s="308"/>
      <c r="AAX52" s="308"/>
      <c r="AAY52" s="308"/>
      <c r="AAZ52" s="308"/>
      <c r="ABA52" s="308"/>
      <c r="ABB52" s="308"/>
      <c r="ABC52" s="308"/>
      <c r="ABD52" s="308"/>
      <c r="ABE52" s="308"/>
      <c r="ABF52" s="308"/>
      <c r="ABG52" s="308"/>
      <c r="ABH52" s="308"/>
      <c r="ABI52" s="308"/>
      <c r="ABJ52" s="308"/>
      <c r="ABK52" s="308"/>
      <c r="ABL52" s="308"/>
      <c r="ABM52" s="308"/>
      <c r="ABN52" s="308"/>
      <c r="ABO52" s="308"/>
      <c r="ABP52" s="308"/>
      <c r="ABQ52" s="308"/>
      <c r="ABR52" s="308"/>
      <c r="ABS52" s="308"/>
      <c r="ABT52" s="308"/>
      <c r="ABU52" s="308"/>
      <c r="ABV52" s="308"/>
      <c r="ABW52" s="308"/>
      <c r="ABX52" s="308"/>
      <c r="ABY52" s="308"/>
      <c r="ABZ52" s="308"/>
      <c r="ACA52" s="308"/>
      <c r="ACB52" s="308"/>
      <c r="ACC52" s="308"/>
      <c r="ACD52" s="308"/>
      <c r="ACE52" s="308"/>
      <c r="ACF52" s="308"/>
      <c r="ACG52" s="308"/>
      <c r="ACH52" s="308"/>
      <c r="ACI52" s="308"/>
      <c r="ACJ52" s="308"/>
      <c r="ACK52" s="308"/>
      <c r="ACL52" s="308"/>
      <c r="ACM52" s="308"/>
      <c r="ACN52" s="308"/>
      <c r="ACO52" s="308"/>
      <c r="ACP52" s="308"/>
      <c r="ACQ52" s="308"/>
      <c r="ACR52" s="308"/>
      <c r="ACS52" s="308"/>
      <c r="ACT52" s="308"/>
      <c r="ACU52" s="308"/>
      <c r="ACV52" s="308"/>
      <c r="ACW52" s="308"/>
      <c r="ACX52" s="308"/>
      <c r="ACY52" s="308"/>
      <c r="ACZ52" s="308"/>
      <c r="ADA52" s="308"/>
      <c r="ADB52" s="308"/>
      <c r="ADC52" s="308"/>
      <c r="ADD52" s="308"/>
      <c r="ADE52" s="308"/>
      <c r="ADF52" s="308"/>
      <c r="ADG52" s="308"/>
      <c r="ADH52" s="308"/>
      <c r="ADI52" s="308"/>
      <c r="ADJ52" s="308"/>
      <c r="ADK52" s="308"/>
      <c r="ADL52" s="308"/>
      <c r="ADM52" s="308"/>
      <c r="ADN52" s="308"/>
      <c r="ADO52" s="308"/>
      <c r="ADP52" s="308"/>
      <c r="ADQ52" s="308"/>
      <c r="ADR52" s="308"/>
      <c r="ADS52" s="308"/>
      <c r="ADT52" s="308"/>
      <c r="ADU52" s="308"/>
      <c r="ADV52" s="308"/>
      <c r="ADW52" s="308"/>
      <c r="ADX52" s="308"/>
      <c r="ADY52" s="308"/>
      <c r="ADZ52" s="308"/>
      <c r="AEA52" s="308"/>
      <c r="AEB52" s="308"/>
      <c r="AEC52" s="308"/>
      <c r="AED52" s="308"/>
      <c r="AEE52" s="308"/>
      <c r="AEF52" s="308"/>
      <c r="AEG52" s="308"/>
      <c r="AEH52" s="308"/>
      <c r="AEI52" s="308"/>
      <c r="AEJ52" s="308"/>
      <c r="AEK52" s="308"/>
      <c r="AEL52" s="308"/>
      <c r="AEM52" s="308"/>
      <c r="AEN52" s="308"/>
      <c r="AEO52" s="308"/>
      <c r="AEP52" s="308"/>
      <c r="AEQ52" s="308"/>
      <c r="AER52" s="308"/>
      <c r="AES52" s="308"/>
      <c r="AET52" s="308"/>
      <c r="AEU52" s="308"/>
      <c r="AEV52" s="308"/>
      <c r="AEW52" s="308"/>
      <c r="AEX52" s="308"/>
      <c r="AEY52" s="308"/>
      <c r="AEZ52" s="308"/>
      <c r="AFA52" s="308"/>
      <c r="AFB52" s="308"/>
      <c r="AFC52" s="308"/>
      <c r="AFD52" s="308"/>
      <c r="AFE52" s="308"/>
      <c r="AFF52" s="308"/>
      <c r="AFG52" s="308"/>
      <c r="AFH52" s="308"/>
      <c r="AFI52" s="308"/>
      <c r="AFJ52" s="308"/>
      <c r="AFK52" s="308"/>
      <c r="AFL52" s="308"/>
      <c r="AFM52" s="308"/>
      <c r="AFN52" s="308"/>
      <c r="AFO52" s="308"/>
      <c r="AFP52" s="308"/>
      <c r="AFQ52" s="308"/>
      <c r="AFR52" s="308"/>
      <c r="AFS52" s="308"/>
      <c r="AFT52" s="308"/>
      <c r="AFU52" s="308"/>
      <c r="AFV52" s="308"/>
      <c r="AFW52" s="308"/>
      <c r="AFX52" s="308"/>
      <c r="AFY52" s="308"/>
      <c r="AFZ52" s="308"/>
      <c r="AGA52" s="308"/>
      <c r="AGB52" s="308"/>
      <c r="AGC52" s="308"/>
      <c r="AGD52" s="308"/>
      <c r="AGE52" s="308"/>
      <c r="AGF52" s="308"/>
      <c r="AGG52" s="308"/>
      <c r="AGH52" s="308"/>
      <c r="AGI52" s="308"/>
      <c r="AGJ52" s="308"/>
      <c r="AGK52" s="308"/>
      <c r="AGL52" s="308"/>
      <c r="AGM52" s="308"/>
      <c r="AGN52" s="308"/>
      <c r="AGO52" s="308"/>
      <c r="AGP52" s="308"/>
      <c r="AGQ52" s="308"/>
      <c r="AGR52" s="308"/>
      <c r="AGS52" s="308"/>
      <c r="AGT52" s="308"/>
      <c r="AGU52" s="308"/>
      <c r="AGV52" s="308"/>
      <c r="AGW52" s="308"/>
      <c r="AGX52" s="308"/>
      <c r="AGY52" s="308"/>
      <c r="AGZ52" s="308"/>
      <c r="AHA52" s="308"/>
      <c r="AHB52" s="308"/>
      <c r="AHC52" s="308"/>
      <c r="AHD52" s="308"/>
      <c r="AHE52" s="308"/>
      <c r="AHF52" s="308"/>
      <c r="AHG52" s="308"/>
      <c r="AHH52" s="308"/>
      <c r="AHI52" s="308"/>
      <c r="AHJ52" s="308"/>
      <c r="AHK52" s="308"/>
      <c r="AHL52" s="308"/>
      <c r="AHM52" s="308"/>
      <c r="AHN52" s="308"/>
      <c r="AHO52" s="308"/>
      <c r="AHP52" s="308"/>
      <c r="AHQ52" s="308"/>
      <c r="AHR52" s="308"/>
      <c r="AHS52" s="308"/>
      <c r="AHT52" s="308"/>
      <c r="AHU52" s="308"/>
      <c r="AHV52" s="308"/>
      <c r="AHW52" s="308"/>
      <c r="AHX52" s="308"/>
      <c r="AHY52" s="308"/>
      <c r="AHZ52" s="308"/>
      <c r="AIA52" s="308"/>
      <c r="AIB52" s="308"/>
      <c r="AIC52" s="308"/>
      <c r="AID52" s="308"/>
      <c r="AIE52" s="308"/>
      <c r="AIF52" s="308"/>
      <c r="AIG52" s="308"/>
      <c r="AIH52" s="308"/>
      <c r="AII52" s="308"/>
      <c r="AIJ52" s="308"/>
      <c r="AIK52" s="308"/>
      <c r="AIL52" s="308"/>
      <c r="AIM52" s="308"/>
      <c r="AIN52" s="308"/>
      <c r="AIO52" s="308"/>
      <c r="AIP52" s="308"/>
      <c r="AIQ52" s="308"/>
      <c r="AIR52" s="308"/>
      <c r="AIS52" s="308"/>
      <c r="AIT52" s="308"/>
      <c r="AIU52" s="308"/>
      <c r="AIV52" s="308"/>
      <c r="AIW52" s="308"/>
      <c r="AIX52" s="308"/>
      <c r="AIY52" s="308"/>
      <c r="AIZ52" s="308"/>
      <c r="AJA52" s="308"/>
      <c r="AJB52" s="308"/>
      <c r="AJC52" s="308"/>
    </row>
    <row r="53" spans="1:940" s="545" customFormat="1">
      <c r="A53" s="113">
        <f t="shared" si="0"/>
        <v>46</v>
      </c>
      <c r="B53" s="113">
        <v>1943</v>
      </c>
      <c r="C53" s="113" t="s">
        <v>304</v>
      </c>
      <c r="D53" s="117">
        <f>5000000+1000000</f>
        <v>6000000</v>
      </c>
      <c r="E53" s="117">
        <v>5000000</v>
      </c>
      <c r="F53" s="117">
        <f t="shared" si="1"/>
        <v>1000000</v>
      </c>
      <c r="G53" s="117">
        <f>2500000+2500000</f>
        <v>5000000</v>
      </c>
      <c r="H53" s="117">
        <v>232617.1</v>
      </c>
      <c r="I53" s="117">
        <v>904842.99</v>
      </c>
      <c r="J53" s="117">
        <v>2904609.27</v>
      </c>
      <c r="K53" s="117">
        <f t="shared" si="18"/>
        <v>3809452.26</v>
      </c>
      <c r="L53" s="117">
        <f t="shared" si="3"/>
        <v>4042069.36</v>
      </c>
      <c r="M53" s="117">
        <f>P53+S53</f>
        <v>957930.64000000013</v>
      </c>
      <c r="N53" s="117">
        <f>1000000-500000</f>
        <v>500000</v>
      </c>
      <c r="O53" s="117">
        <f t="shared" si="10"/>
        <v>500000</v>
      </c>
      <c r="P53" s="117">
        <f t="shared" si="4"/>
        <v>957930.64000000013</v>
      </c>
      <c r="Q53" s="117"/>
      <c r="R53" s="117"/>
      <c r="S53" s="117">
        <f t="shared" si="19"/>
        <v>0</v>
      </c>
      <c r="T53" s="117">
        <f t="shared" si="6"/>
        <v>0</v>
      </c>
      <c r="U53" s="117">
        <f t="shared" si="7"/>
        <v>500000</v>
      </c>
      <c r="V53" s="117">
        <f t="shared" si="8"/>
        <v>500000</v>
      </c>
      <c r="W53" s="543"/>
      <c r="X53" s="117"/>
      <c r="Y53" s="117"/>
      <c r="Z53" s="113"/>
      <c r="AA53" s="113">
        <v>744000</v>
      </c>
      <c r="AB53" s="117"/>
      <c r="AC53" s="117"/>
      <c r="AD53" s="117">
        <v>500000</v>
      </c>
      <c r="AE53" s="117"/>
      <c r="AF53" s="117"/>
      <c r="AG53" s="117"/>
      <c r="AH53" s="117"/>
      <c r="AI53" s="117"/>
      <c r="AJ53" s="117"/>
      <c r="AK53" s="117">
        <f t="shared" si="21"/>
        <v>500000</v>
      </c>
      <c r="AL53" s="117"/>
      <c r="AM53" s="566">
        <f t="shared" si="12"/>
        <v>500000</v>
      </c>
      <c r="AN53" s="117">
        <f t="shared" si="13"/>
        <v>0</v>
      </c>
      <c r="AO53" s="117">
        <f t="shared" si="14"/>
        <v>500000</v>
      </c>
      <c r="AP53" s="565"/>
      <c r="AQ53" s="565"/>
      <c r="AR53" s="565"/>
      <c r="AS53" s="565"/>
      <c r="AT53" s="117">
        <f t="shared" si="15"/>
        <v>0</v>
      </c>
      <c r="AU53" s="565"/>
      <c r="AV53" s="565"/>
      <c r="AW53" s="565"/>
      <c r="AX53" s="565"/>
      <c r="AY53" s="117">
        <f t="shared" si="16"/>
        <v>0</v>
      </c>
      <c r="AZ53" s="565"/>
      <c r="BA53" s="565"/>
      <c r="BB53" s="565"/>
      <c r="BC53" s="565"/>
      <c r="BD53" s="544"/>
      <c r="BE53" s="544"/>
      <c r="BF53" s="544"/>
      <c r="BG53" s="544"/>
      <c r="BH53" s="544"/>
      <c r="AJD53" s="546"/>
    </row>
    <row r="54" spans="1:940" s="546" customFormat="1">
      <c r="A54" s="113">
        <f t="shared" si="0"/>
        <v>47</v>
      </c>
      <c r="B54" s="116">
        <v>2007</v>
      </c>
      <c r="C54" s="113" t="s">
        <v>525</v>
      </c>
      <c r="D54" s="117">
        <v>3000000</v>
      </c>
      <c r="E54" s="117"/>
      <c r="F54" s="117">
        <f t="shared" si="1"/>
        <v>3000000</v>
      </c>
      <c r="G54" s="117"/>
      <c r="H54" s="117"/>
      <c r="I54" s="117"/>
      <c r="J54" s="117"/>
      <c r="K54" s="117"/>
      <c r="L54" s="117"/>
      <c r="M54" s="117"/>
      <c r="N54" s="117">
        <f>1500000-1000000</f>
        <v>500000</v>
      </c>
      <c r="O54" s="117">
        <f t="shared" si="10"/>
        <v>2500000</v>
      </c>
      <c r="P54" s="117"/>
      <c r="Q54" s="117"/>
      <c r="R54" s="117"/>
      <c r="S54" s="117"/>
      <c r="T54" s="117"/>
      <c r="U54" s="117">
        <f t="shared" si="7"/>
        <v>500000</v>
      </c>
      <c r="V54" s="117">
        <f t="shared" si="8"/>
        <v>500000</v>
      </c>
      <c r="W54" s="543"/>
      <c r="X54" s="117"/>
      <c r="Y54" s="117"/>
      <c r="Z54" s="113"/>
      <c r="AA54" s="113">
        <v>742000</v>
      </c>
      <c r="AB54" s="117"/>
      <c r="AC54" s="117"/>
      <c r="AD54" s="117"/>
      <c r="AE54" s="117"/>
      <c r="AF54" s="117">
        <v>500000</v>
      </c>
      <c r="AG54" s="117"/>
      <c r="AH54" s="117"/>
      <c r="AI54" s="117"/>
      <c r="AJ54" s="117"/>
      <c r="AK54" s="117">
        <f t="shared" si="21"/>
        <v>500000</v>
      </c>
      <c r="AL54" s="117"/>
      <c r="AM54" s="566">
        <f t="shared" si="12"/>
        <v>500000</v>
      </c>
      <c r="AN54" s="117">
        <f t="shared" si="13"/>
        <v>0</v>
      </c>
      <c r="AO54" s="117">
        <f t="shared" si="14"/>
        <v>500000</v>
      </c>
      <c r="AP54" s="565"/>
      <c r="AQ54" s="565"/>
      <c r="AR54" s="565"/>
      <c r="AS54" s="565"/>
      <c r="AT54" s="117">
        <f t="shared" si="15"/>
        <v>0</v>
      </c>
      <c r="AU54" s="565"/>
      <c r="AV54" s="565"/>
      <c r="AW54" s="565"/>
      <c r="AX54" s="565"/>
      <c r="AY54" s="117">
        <f t="shared" si="16"/>
        <v>0</v>
      </c>
      <c r="AZ54" s="565"/>
      <c r="BA54" s="565"/>
      <c r="BB54" s="565"/>
      <c r="BC54" s="565"/>
      <c r="BD54" s="544"/>
      <c r="BE54" s="544"/>
      <c r="BF54" s="544"/>
      <c r="BG54" s="544"/>
      <c r="BH54" s="544"/>
      <c r="BI54" s="308"/>
      <c r="BJ54" s="308"/>
      <c r="BK54" s="308"/>
      <c r="BL54" s="308"/>
      <c r="BM54" s="308"/>
      <c r="BN54" s="308"/>
      <c r="BO54" s="308"/>
      <c r="BP54" s="308"/>
      <c r="BQ54" s="308"/>
      <c r="BR54" s="308"/>
      <c r="BS54" s="308"/>
      <c r="BT54" s="308"/>
      <c r="BU54" s="308"/>
      <c r="BV54" s="308"/>
      <c r="BW54" s="308"/>
      <c r="BX54" s="308"/>
      <c r="BY54" s="308"/>
      <c r="BZ54" s="308"/>
      <c r="CA54" s="308"/>
      <c r="CB54" s="308"/>
      <c r="CC54" s="308"/>
      <c r="CD54" s="308"/>
      <c r="CE54" s="308"/>
      <c r="CF54" s="308"/>
      <c r="CG54" s="308"/>
      <c r="CH54" s="308"/>
      <c r="CI54" s="308"/>
      <c r="CJ54" s="308"/>
      <c r="CK54" s="308"/>
      <c r="CL54" s="308"/>
      <c r="CM54" s="308"/>
      <c r="CN54" s="308"/>
      <c r="CO54" s="308"/>
      <c r="CP54" s="308"/>
      <c r="CQ54" s="308"/>
      <c r="CR54" s="308"/>
      <c r="CS54" s="308"/>
      <c r="CT54" s="308"/>
      <c r="CU54" s="308"/>
      <c r="CV54" s="308"/>
      <c r="CW54" s="308"/>
      <c r="CX54" s="308"/>
      <c r="CY54" s="308"/>
      <c r="CZ54" s="308"/>
      <c r="DA54" s="308"/>
      <c r="DB54" s="308"/>
      <c r="DC54" s="308"/>
      <c r="DD54" s="308"/>
      <c r="DE54" s="308"/>
      <c r="DF54" s="308"/>
      <c r="DG54" s="308"/>
      <c r="DH54" s="308"/>
      <c r="DI54" s="308"/>
      <c r="DJ54" s="308"/>
      <c r="DK54" s="308"/>
      <c r="DL54" s="308"/>
      <c r="DM54" s="308"/>
      <c r="DN54" s="308"/>
      <c r="DO54" s="308"/>
      <c r="DP54" s="308"/>
      <c r="DQ54" s="308"/>
      <c r="DR54" s="308"/>
      <c r="DS54" s="308"/>
      <c r="DT54" s="308"/>
      <c r="DU54" s="308"/>
      <c r="DV54" s="308"/>
      <c r="DW54" s="308"/>
      <c r="DX54" s="308"/>
      <c r="DY54" s="308"/>
      <c r="DZ54" s="308"/>
      <c r="EA54" s="308"/>
      <c r="EB54" s="308"/>
      <c r="EC54" s="308"/>
      <c r="ED54" s="308"/>
      <c r="EE54" s="308"/>
      <c r="EF54" s="308"/>
      <c r="EG54" s="308"/>
      <c r="EH54" s="308"/>
      <c r="EI54" s="308"/>
      <c r="EJ54" s="308"/>
      <c r="EK54" s="308"/>
      <c r="EL54" s="308"/>
      <c r="EM54" s="308"/>
      <c r="EN54" s="308"/>
      <c r="EO54" s="308"/>
      <c r="EP54" s="308"/>
      <c r="EQ54" s="308"/>
      <c r="ER54" s="308"/>
      <c r="ES54" s="308"/>
      <c r="ET54" s="308"/>
      <c r="EU54" s="308"/>
      <c r="EV54" s="308"/>
      <c r="EW54" s="308"/>
      <c r="EX54" s="308"/>
      <c r="EY54" s="308"/>
      <c r="EZ54" s="308"/>
      <c r="FA54" s="308"/>
      <c r="FB54" s="308"/>
      <c r="FC54" s="308"/>
      <c r="FD54" s="308"/>
      <c r="FE54" s="308"/>
      <c r="FF54" s="308"/>
      <c r="FG54" s="308"/>
      <c r="FH54" s="308"/>
      <c r="FI54" s="308"/>
      <c r="FJ54" s="308"/>
      <c r="FK54" s="308"/>
      <c r="FL54" s="308"/>
      <c r="FM54" s="308"/>
      <c r="FN54" s="308"/>
      <c r="FO54" s="308"/>
      <c r="FP54" s="308"/>
      <c r="FQ54" s="308"/>
      <c r="FR54" s="308"/>
      <c r="FS54" s="308"/>
      <c r="FT54" s="308"/>
      <c r="FU54" s="308"/>
      <c r="FV54" s="308"/>
      <c r="FW54" s="308"/>
      <c r="FX54" s="308"/>
      <c r="FY54" s="308"/>
      <c r="FZ54" s="308"/>
      <c r="GA54" s="308"/>
      <c r="GB54" s="308"/>
      <c r="GC54" s="308"/>
      <c r="GD54" s="308"/>
      <c r="GE54" s="308"/>
      <c r="GF54" s="308"/>
      <c r="GG54" s="308"/>
      <c r="GH54" s="308"/>
      <c r="GI54" s="308"/>
      <c r="GJ54" s="308"/>
      <c r="GK54" s="308"/>
      <c r="GL54" s="308"/>
      <c r="GM54" s="308"/>
      <c r="GN54" s="308"/>
      <c r="GO54" s="308"/>
      <c r="GP54" s="308"/>
      <c r="GQ54" s="308"/>
      <c r="GR54" s="308"/>
      <c r="GS54" s="308"/>
      <c r="GT54" s="308"/>
      <c r="GU54" s="308"/>
      <c r="GV54" s="308"/>
      <c r="GW54" s="308"/>
      <c r="GX54" s="308"/>
      <c r="GY54" s="308"/>
      <c r="GZ54" s="308"/>
      <c r="HA54" s="308"/>
      <c r="HB54" s="308"/>
      <c r="HC54" s="308"/>
      <c r="HD54" s="308"/>
      <c r="HE54" s="308"/>
      <c r="HF54" s="308"/>
      <c r="HG54" s="308"/>
      <c r="HH54" s="308"/>
      <c r="HI54" s="308"/>
      <c r="HJ54" s="308"/>
      <c r="HK54" s="308"/>
      <c r="HL54" s="308"/>
      <c r="HM54" s="308"/>
      <c r="HN54" s="308"/>
      <c r="HO54" s="308"/>
      <c r="HP54" s="308"/>
      <c r="HQ54" s="308"/>
      <c r="HR54" s="308"/>
      <c r="HS54" s="308"/>
      <c r="HT54" s="308"/>
      <c r="HU54" s="308"/>
      <c r="HV54" s="308"/>
      <c r="HW54" s="308"/>
      <c r="HX54" s="308"/>
      <c r="HY54" s="308"/>
      <c r="HZ54" s="308"/>
      <c r="IA54" s="308"/>
      <c r="IB54" s="308"/>
      <c r="IC54" s="308"/>
      <c r="ID54" s="308"/>
      <c r="IE54" s="308"/>
      <c r="IF54" s="308"/>
      <c r="IG54" s="308"/>
      <c r="IH54" s="308"/>
      <c r="II54" s="308"/>
      <c r="IJ54" s="308"/>
      <c r="IK54" s="308"/>
      <c r="IL54" s="308"/>
      <c r="IM54" s="308"/>
      <c r="IN54" s="308"/>
      <c r="IO54" s="308"/>
      <c r="IP54" s="308"/>
      <c r="IQ54" s="308"/>
      <c r="IR54" s="308"/>
      <c r="IS54" s="308"/>
      <c r="IT54" s="308"/>
      <c r="IU54" s="308"/>
      <c r="IV54" s="308"/>
      <c r="IW54" s="308"/>
      <c r="IX54" s="308"/>
      <c r="IY54" s="308"/>
      <c r="IZ54" s="308"/>
      <c r="JA54" s="308"/>
      <c r="JB54" s="308"/>
      <c r="JC54" s="308"/>
      <c r="JD54" s="308"/>
      <c r="JE54" s="308"/>
      <c r="JF54" s="308"/>
      <c r="JG54" s="308"/>
      <c r="JH54" s="308"/>
      <c r="JI54" s="308"/>
      <c r="JJ54" s="308"/>
      <c r="JK54" s="308"/>
      <c r="JL54" s="308"/>
      <c r="JM54" s="308"/>
      <c r="JN54" s="308"/>
      <c r="JO54" s="308"/>
      <c r="JP54" s="308"/>
      <c r="JQ54" s="308"/>
      <c r="JR54" s="308"/>
      <c r="JS54" s="308"/>
      <c r="JT54" s="308"/>
      <c r="JU54" s="308"/>
      <c r="JV54" s="308"/>
      <c r="JW54" s="308"/>
      <c r="JX54" s="308"/>
      <c r="JY54" s="308"/>
      <c r="JZ54" s="308"/>
      <c r="KA54" s="308"/>
      <c r="KB54" s="308"/>
      <c r="KC54" s="308"/>
      <c r="KD54" s="308"/>
      <c r="KE54" s="308"/>
      <c r="KF54" s="308"/>
      <c r="KG54" s="308"/>
      <c r="KH54" s="308"/>
      <c r="KI54" s="308"/>
      <c r="KJ54" s="308"/>
      <c r="KK54" s="308"/>
      <c r="KL54" s="308"/>
      <c r="KM54" s="308"/>
      <c r="KN54" s="308"/>
      <c r="KO54" s="308"/>
      <c r="KP54" s="308"/>
      <c r="KQ54" s="308"/>
      <c r="KR54" s="308"/>
      <c r="KS54" s="308"/>
      <c r="KT54" s="308"/>
      <c r="KU54" s="308"/>
      <c r="KV54" s="308"/>
      <c r="KW54" s="308"/>
      <c r="KX54" s="308"/>
      <c r="KY54" s="308"/>
      <c r="KZ54" s="308"/>
      <c r="LA54" s="308"/>
      <c r="LB54" s="308"/>
      <c r="LC54" s="308"/>
      <c r="LD54" s="308"/>
      <c r="LE54" s="308"/>
      <c r="LF54" s="308"/>
      <c r="LG54" s="308"/>
      <c r="LH54" s="308"/>
      <c r="LI54" s="308"/>
      <c r="LJ54" s="308"/>
      <c r="LK54" s="308"/>
      <c r="LL54" s="308"/>
      <c r="LM54" s="308"/>
      <c r="LN54" s="308"/>
      <c r="LO54" s="308"/>
      <c r="LP54" s="308"/>
      <c r="LQ54" s="308"/>
      <c r="LR54" s="308"/>
      <c r="LS54" s="308"/>
      <c r="LT54" s="308"/>
      <c r="LU54" s="308"/>
      <c r="LV54" s="308"/>
      <c r="LW54" s="308"/>
      <c r="LX54" s="308"/>
      <c r="LY54" s="308"/>
      <c r="LZ54" s="308"/>
      <c r="MA54" s="308"/>
      <c r="MB54" s="308"/>
      <c r="MC54" s="308"/>
      <c r="MD54" s="308"/>
      <c r="ME54" s="308"/>
      <c r="MF54" s="308"/>
      <c r="MG54" s="308"/>
      <c r="MH54" s="308"/>
      <c r="MI54" s="308"/>
      <c r="MJ54" s="308"/>
      <c r="MK54" s="308"/>
      <c r="ML54" s="308"/>
      <c r="MM54" s="308"/>
      <c r="MN54" s="308"/>
      <c r="MO54" s="308"/>
      <c r="MP54" s="308"/>
      <c r="MQ54" s="308"/>
      <c r="MR54" s="308"/>
      <c r="MS54" s="308"/>
      <c r="MT54" s="308"/>
      <c r="MU54" s="308"/>
      <c r="MV54" s="308"/>
      <c r="MW54" s="308"/>
      <c r="MX54" s="308"/>
      <c r="MY54" s="308"/>
      <c r="MZ54" s="308"/>
      <c r="NA54" s="308"/>
      <c r="NB54" s="308"/>
      <c r="NC54" s="308"/>
      <c r="ND54" s="308"/>
      <c r="NE54" s="308"/>
      <c r="NF54" s="308"/>
      <c r="NG54" s="308"/>
      <c r="NH54" s="308"/>
      <c r="NI54" s="308"/>
      <c r="NJ54" s="308"/>
      <c r="NK54" s="308"/>
      <c r="NL54" s="308"/>
      <c r="NM54" s="308"/>
      <c r="NN54" s="308"/>
      <c r="NO54" s="308"/>
      <c r="NP54" s="308"/>
      <c r="NQ54" s="308"/>
      <c r="NR54" s="308"/>
      <c r="NS54" s="308"/>
      <c r="NT54" s="308"/>
      <c r="NU54" s="308"/>
      <c r="NV54" s="308"/>
      <c r="NW54" s="308"/>
      <c r="NX54" s="308"/>
      <c r="NY54" s="308"/>
      <c r="NZ54" s="308"/>
      <c r="OA54" s="308"/>
      <c r="OB54" s="308"/>
      <c r="OC54" s="308"/>
      <c r="OD54" s="308"/>
      <c r="OE54" s="308"/>
      <c r="OF54" s="308"/>
      <c r="OG54" s="308"/>
      <c r="OH54" s="308"/>
      <c r="OI54" s="308"/>
      <c r="OJ54" s="308"/>
      <c r="OK54" s="308"/>
      <c r="OL54" s="308"/>
      <c r="OM54" s="308"/>
      <c r="ON54" s="308"/>
      <c r="OO54" s="308"/>
      <c r="OP54" s="308"/>
      <c r="OQ54" s="308"/>
      <c r="OR54" s="308"/>
      <c r="OS54" s="308"/>
      <c r="OT54" s="308"/>
      <c r="OU54" s="308"/>
      <c r="OV54" s="308"/>
      <c r="OW54" s="308"/>
      <c r="OX54" s="308"/>
      <c r="OY54" s="308"/>
      <c r="OZ54" s="308"/>
      <c r="PA54" s="308"/>
      <c r="PB54" s="308"/>
      <c r="PC54" s="308"/>
      <c r="PD54" s="308"/>
      <c r="PE54" s="308"/>
      <c r="PF54" s="308"/>
      <c r="PG54" s="308"/>
      <c r="PH54" s="308"/>
      <c r="PI54" s="308"/>
      <c r="PJ54" s="308"/>
      <c r="PK54" s="308"/>
      <c r="PL54" s="308"/>
      <c r="PM54" s="308"/>
      <c r="PN54" s="308"/>
      <c r="PO54" s="308"/>
      <c r="PP54" s="308"/>
      <c r="PQ54" s="308"/>
      <c r="PR54" s="308"/>
      <c r="PS54" s="308"/>
      <c r="PT54" s="308"/>
      <c r="PU54" s="308"/>
      <c r="PV54" s="308"/>
      <c r="PW54" s="308"/>
      <c r="PX54" s="308"/>
      <c r="PY54" s="308"/>
      <c r="PZ54" s="308"/>
      <c r="QA54" s="308"/>
      <c r="QB54" s="308"/>
      <c r="QC54" s="308"/>
      <c r="QD54" s="308"/>
      <c r="QE54" s="308"/>
      <c r="QF54" s="308"/>
      <c r="QG54" s="308"/>
      <c r="QH54" s="308"/>
      <c r="QI54" s="308"/>
      <c r="QJ54" s="308"/>
      <c r="QK54" s="308"/>
      <c r="QL54" s="308"/>
      <c r="QM54" s="308"/>
      <c r="QN54" s="308"/>
      <c r="QO54" s="308"/>
      <c r="QP54" s="308"/>
      <c r="QQ54" s="308"/>
      <c r="QR54" s="308"/>
      <c r="QS54" s="308"/>
      <c r="QT54" s="308"/>
      <c r="QU54" s="308"/>
      <c r="QV54" s="308"/>
      <c r="QW54" s="308"/>
      <c r="QX54" s="308"/>
      <c r="QY54" s="308"/>
      <c r="QZ54" s="308"/>
      <c r="RA54" s="308"/>
      <c r="RB54" s="308"/>
      <c r="RC54" s="308"/>
      <c r="RD54" s="308"/>
      <c r="RE54" s="308"/>
      <c r="RF54" s="308"/>
      <c r="RG54" s="308"/>
      <c r="RH54" s="308"/>
      <c r="RI54" s="308"/>
      <c r="RJ54" s="308"/>
      <c r="RK54" s="308"/>
      <c r="RL54" s="308"/>
      <c r="RM54" s="308"/>
      <c r="RN54" s="308"/>
      <c r="RO54" s="308"/>
      <c r="RP54" s="308"/>
      <c r="RQ54" s="308"/>
      <c r="RR54" s="308"/>
      <c r="RS54" s="308"/>
      <c r="RT54" s="308"/>
      <c r="RU54" s="308"/>
      <c r="RV54" s="308"/>
      <c r="RW54" s="308"/>
      <c r="RX54" s="308"/>
      <c r="RY54" s="308"/>
      <c r="RZ54" s="308"/>
      <c r="SA54" s="308"/>
      <c r="SB54" s="308"/>
      <c r="SC54" s="308"/>
      <c r="SD54" s="308"/>
      <c r="SE54" s="308"/>
      <c r="SF54" s="308"/>
      <c r="SG54" s="308"/>
      <c r="SH54" s="308"/>
      <c r="SI54" s="308"/>
      <c r="SJ54" s="308"/>
      <c r="SK54" s="308"/>
      <c r="SL54" s="308"/>
      <c r="SM54" s="308"/>
      <c r="SN54" s="308"/>
      <c r="SO54" s="308"/>
      <c r="SP54" s="308"/>
      <c r="SQ54" s="308"/>
      <c r="SR54" s="308"/>
      <c r="SS54" s="308"/>
      <c r="ST54" s="308"/>
      <c r="SU54" s="308"/>
      <c r="SV54" s="308"/>
      <c r="SW54" s="308"/>
      <c r="SX54" s="308"/>
      <c r="SY54" s="308"/>
      <c r="SZ54" s="308"/>
      <c r="TA54" s="308"/>
      <c r="TB54" s="308"/>
      <c r="TC54" s="308"/>
      <c r="TD54" s="308"/>
      <c r="TE54" s="308"/>
      <c r="TF54" s="308"/>
      <c r="TG54" s="308"/>
      <c r="TH54" s="308"/>
      <c r="TI54" s="308"/>
      <c r="TJ54" s="308"/>
      <c r="TK54" s="308"/>
      <c r="TL54" s="308"/>
      <c r="TM54" s="308"/>
      <c r="TN54" s="308"/>
      <c r="TO54" s="308"/>
      <c r="TP54" s="308"/>
      <c r="TQ54" s="308"/>
      <c r="TR54" s="308"/>
      <c r="TS54" s="308"/>
      <c r="TT54" s="308"/>
      <c r="TU54" s="308"/>
      <c r="TV54" s="308"/>
      <c r="TW54" s="308"/>
      <c r="TX54" s="308"/>
      <c r="TY54" s="308"/>
      <c r="TZ54" s="308"/>
      <c r="UA54" s="308"/>
      <c r="UB54" s="308"/>
      <c r="UC54" s="308"/>
      <c r="UD54" s="308"/>
      <c r="UE54" s="308"/>
      <c r="UF54" s="308"/>
      <c r="UG54" s="308"/>
      <c r="UH54" s="308"/>
      <c r="UI54" s="308"/>
      <c r="UJ54" s="308"/>
      <c r="UK54" s="308"/>
      <c r="UL54" s="308"/>
      <c r="UM54" s="308"/>
      <c r="UN54" s="308"/>
      <c r="UO54" s="308"/>
      <c r="UP54" s="308"/>
      <c r="UQ54" s="308"/>
      <c r="UR54" s="308"/>
      <c r="US54" s="308"/>
      <c r="UT54" s="308"/>
      <c r="UU54" s="308"/>
      <c r="UV54" s="308"/>
      <c r="UW54" s="308"/>
      <c r="UX54" s="308"/>
      <c r="UY54" s="308"/>
      <c r="UZ54" s="308"/>
      <c r="VA54" s="308"/>
      <c r="VB54" s="308"/>
      <c r="VC54" s="308"/>
      <c r="VD54" s="308"/>
      <c r="VE54" s="308"/>
      <c r="VF54" s="308"/>
      <c r="VG54" s="308"/>
      <c r="VH54" s="308"/>
      <c r="VI54" s="308"/>
      <c r="VJ54" s="308"/>
      <c r="VK54" s="308"/>
      <c r="VL54" s="308"/>
      <c r="VM54" s="308"/>
      <c r="VN54" s="308"/>
      <c r="VO54" s="308"/>
      <c r="VP54" s="308"/>
      <c r="VQ54" s="308"/>
      <c r="VR54" s="308"/>
      <c r="VS54" s="308"/>
      <c r="VT54" s="308"/>
      <c r="VU54" s="308"/>
      <c r="VV54" s="308"/>
      <c r="VW54" s="308"/>
      <c r="VX54" s="308"/>
      <c r="VY54" s="308"/>
      <c r="VZ54" s="308"/>
      <c r="WA54" s="308"/>
      <c r="WB54" s="308"/>
      <c r="WC54" s="308"/>
      <c r="WD54" s="308"/>
      <c r="WE54" s="308"/>
      <c r="WF54" s="308"/>
      <c r="WG54" s="308"/>
      <c r="WH54" s="308"/>
      <c r="WI54" s="308"/>
      <c r="WJ54" s="308"/>
      <c r="WK54" s="308"/>
      <c r="WL54" s="308"/>
      <c r="WM54" s="308"/>
      <c r="WN54" s="308"/>
      <c r="WO54" s="308"/>
      <c r="WP54" s="308"/>
      <c r="WQ54" s="308"/>
      <c r="WR54" s="308"/>
      <c r="WS54" s="308"/>
      <c r="WT54" s="308"/>
      <c r="WU54" s="308"/>
      <c r="WV54" s="308"/>
      <c r="WW54" s="308"/>
      <c r="WX54" s="308"/>
      <c r="WY54" s="308"/>
      <c r="WZ54" s="308"/>
      <c r="XA54" s="308"/>
      <c r="XB54" s="308"/>
      <c r="XC54" s="308"/>
      <c r="XD54" s="308"/>
      <c r="XE54" s="308"/>
      <c r="XF54" s="308"/>
      <c r="XG54" s="308"/>
      <c r="XH54" s="308"/>
      <c r="XI54" s="308"/>
      <c r="XJ54" s="308"/>
      <c r="XK54" s="308"/>
      <c r="XL54" s="308"/>
      <c r="XM54" s="308"/>
      <c r="XN54" s="308"/>
      <c r="XO54" s="308"/>
      <c r="XP54" s="308"/>
      <c r="XQ54" s="308"/>
      <c r="XR54" s="308"/>
      <c r="XS54" s="308"/>
      <c r="XT54" s="308"/>
      <c r="XU54" s="308"/>
      <c r="XV54" s="308"/>
      <c r="XW54" s="308"/>
      <c r="XX54" s="308"/>
      <c r="XY54" s="308"/>
      <c r="XZ54" s="308"/>
      <c r="YA54" s="308"/>
      <c r="YB54" s="308"/>
      <c r="YC54" s="308"/>
      <c r="YD54" s="308"/>
      <c r="YE54" s="308"/>
      <c r="YF54" s="308"/>
      <c r="YG54" s="308"/>
      <c r="YH54" s="308"/>
      <c r="YI54" s="308"/>
      <c r="YJ54" s="308"/>
      <c r="YK54" s="308"/>
      <c r="YL54" s="308"/>
      <c r="YM54" s="308"/>
      <c r="YN54" s="308"/>
      <c r="YO54" s="308"/>
      <c r="YP54" s="308"/>
      <c r="YQ54" s="308"/>
      <c r="YR54" s="308"/>
      <c r="YS54" s="308"/>
      <c r="YT54" s="308"/>
      <c r="YU54" s="308"/>
      <c r="YV54" s="308"/>
      <c r="YW54" s="308"/>
      <c r="YX54" s="308"/>
      <c r="YY54" s="308"/>
      <c r="YZ54" s="308"/>
      <c r="ZA54" s="308"/>
      <c r="ZB54" s="308"/>
      <c r="ZC54" s="308"/>
      <c r="ZD54" s="308"/>
      <c r="ZE54" s="308"/>
      <c r="ZF54" s="308"/>
      <c r="ZG54" s="308"/>
      <c r="ZH54" s="308"/>
      <c r="ZI54" s="308"/>
      <c r="ZJ54" s="308"/>
      <c r="ZK54" s="308"/>
      <c r="ZL54" s="308"/>
      <c r="ZM54" s="308"/>
      <c r="ZN54" s="308"/>
      <c r="ZO54" s="308"/>
      <c r="ZP54" s="308"/>
      <c r="ZQ54" s="308"/>
      <c r="ZR54" s="308"/>
      <c r="ZS54" s="308"/>
      <c r="ZT54" s="308"/>
      <c r="ZU54" s="308"/>
      <c r="ZV54" s="308"/>
      <c r="ZW54" s="308"/>
      <c r="ZX54" s="308"/>
      <c r="ZY54" s="308"/>
      <c r="ZZ54" s="308"/>
      <c r="AAA54" s="308"/>
      <c r="AAB54" s="308"/>
      <c r="AAC54" s="308"/>
      <c r="AAD54" s="308"/>
      <c r="AAE54" s="308"/>
      <c r="AAF54" s="308"/>
      <c r="AAG54" s="308"/>
      <c r="AAH54" s="308"/>
      <c r="AAI54" s="308"/>
      <c r="AAJ54" s="308"/>
      <c r="AAK54" s="308"/>
      <c r="AAL54" s="308"/>
      <c r="AAM54" s="308"/>
      <c r="AAN54" s="308"/>
      <c r="AAO54" s="308"/>
      <c r="AAP54" s="308"/>
      <c r="AAQ54" s="308"/>
      <c r="AAR54" s="308"/>
      <c r="AAS54" s="308"/>
      <c r="AAT54" s="308"/>
      <c r="AAU54" s="308"/>
      <c r="AAV54" s="308"/>
      <c r="AAW54" s="308"/>
      <c r="AAX54" s="308"/>
      <c r="AAY54" s="308"/>
      <c r="AAZ54" s="308"/>
      <c r="ABA54" s="308"/>
      <c r="ABB54" s="308"/>
      <c r="ABC54" s="308"/>
      <c r="ABD54" s="308"/>
      <c r="ABE54" s="308"/>
      <c r="ABF54" s="308"/>
      <c r="ABG54" s="308"/>
      <c r="ABH54" s="308"/>
      <c r="ABI54" s="308"/>
      <c r="ABJ54" s="308"/>
      <c r="ABK54" s="308"/>
      <c r="ABL54" s="308"/>
      <c r="ABM54" s="308"/>
      <c r="ABN54" s="308"/>
      <c r="ABO54" s="308"/>
      <c r="ABP54" s="308"/>
      <c r="ABQ54" s="308"/>
      <c r="ABR54" s="308"/>
      <c r="ABS54" s="308"/>
      <c r="ABT54" s="308"/>
      <c r="ABU54" s="308"/>
      <c r="ABV54" s="308"/>
      <c r="ABW54" s="308"/>
      <c r="ABX54" s="308"/>
      <c r="ABY54" s="308"/>
      <c r="ABZ54" s="308"/>
      <c r="ACA54" s="308"/>
      <c r="ACB54" s="308"/>
      <c r="ACC54" s="308"/>
      <c r="ACD54" s="308"/>
      <c r="ACE54" s="308"/>
      <c r="ACF54" s="308"/>
      <c r="ACG54" s="308"/>
      <c r="ACH54" s="308"/>
      <c r="ACI54" s="308"/>
      <c r="ACJ54" s="308"/>
      <c r="ACK54" s="308"/>
      <c r="ACL54" s="308"/>
      <c r="ACM54" s="308"/>
      <c r="ACN54" s="308"/>
      <c r="ACO54" s="308"/>
      <c r="ACP54" s="308"/>
      <c r="ACQ54" s="308"/>
      <c r="ACR54" s="308"/>
      <c r="ACS54" s="308"/>
      <c r="ACT54" s="308"/>
      <c r="ACU54" s="308"/>
      <c r="ACV54" s="308"/>
      <c r="ACW54" s="308"/>
      <c r="ACX54" s="308"/>
      <c r="ACY54" s="308"/>
      <c r="ACZ54" s="308"/>
      <c r="ADA54" s="308"/>
      <c r="ADB54" s="308"/>
      <c r="ADC54" s="308"/>
      <c r="ADD54" s="308"/>
      <c r="ADE54" s="308"/>
      <c r="ADF54" s="308"/>
      <c r="ADG54" s="308"/>
      <c r="ADH54" s="308"/>
      <c r="ADI54" s="308"/>
      <c r="ADJ54" s="308"/>
      <c r="ADK54" s="308"/>
      <c r="ADL54" s="308"/>
      <c r="ADM54" s="308"/>
      <c r="ADN54" s="308"/>
      <c r="ADO54" s="308"/>
      <c r="ADP54" s="308"/>
      <c r="ADQ54" s="308"/>
      <c r="ADR54" s="308"/>
      <c r="ADS54" s="308"/>
      <c r="ADT54" s="308"/>
      <c r="ADU54" s="308"/>
      <c r="ADV54" s="308"/>
      <c r="ADW54" s="308"/>
      <c r="ADX54" s="308"/>
      <c r="ADY54" s="308"/>
      <c r="ADZ54" s="308"/>
      <c r="AEA54" s="308"/>
      <c r="AEB54" s="308"/>
      <c r="AEC54" s="308"/>
      <c r="AED54" s="308"/>
      <c r="AEE54" s="308"/>
      <c r="AEF54" s="308"/>
      <c r="AEG54" s="308"/>
      <c r="AEH54" s="308"/>
      <c r="AEI54" s="308"/>
      <c r="AEJ54" s="308"/>
      <c r="AEK54" s="308"/>
      <c r="AEL54" s="308"/>
      <c r="AEM54" s="308"/>
      <c r="AEN54" s="308"/>
      <c r="AEO54" s="308"/>
      <c r="AEP54" s="308"/>
      <c r="AEQ54" s="308"/>
      <c r="AER54" s="308"/>
      <c r="AES54" s="308"/>
      <c r="AET54" s="308"/>
      <c r="AEU54" s="308"/>
      <c r="AEV54" s="308"/>
      <c r="AEW54" s="308"/>
      <c r="AEX54" s="308"/>
      <c r="AEY54" s="308"/>
      <c r="AEZ54" s="308"/>
      <c r="AFA54" s="308"/>
      <c r="AFB54" s="308"/>
      <c r="AFC54" s="308"/>
      <c r="AFD54" s="308"/>
      <c r="AFE54" s="308"/>
      <c r="AFF54" s="308"/>
      <c r="AFG54" s="308"/>
      <c r="AFH54" s="308"/>
      <c r="AFI54" s="308"/>
      <c r="AFJ54" s="308"/>
      <c r="AFK54" s="308"/>
      <c r="AFL54" s="308"/>
      <c r="AFM54" s="308"/>
      <c r="AFN54" s="308"/>
      <c r="AFO54" s="308"/>
      <c r="AFP54" s="308"/>
      <c r="AFQ54" s="308"/>
      <c r="AFR54" s="308"/>
      <c r="AFS54" s="308"/>
      <c r="AFT54" s="308"/>
      <c r="AFU54" s="308"/>
      <c r="AFV54" s="308"/>
      <c r="AFW54" s="308"/>
      <c r="AFX54" s="308"/>
      <c r="AFY54" s="308"/>
      <c r="AFZ54" s="308"/>
      <c r="AGA54" s="308"/>
      <c r="AGB54" s="308"/>
      <c r="AGC54" s="308"/>
      <c r="AGD54" s="308"/>
      <c r="AGE54" s="308"/>
      <c r="AGF54" s="308"/>
      <c r="AGG54" s="308"/>
      <c r="AGH54" s="308"/>
      <c r="AGI54" s="308"/>
      <c r="AGJ54" s="308"/>
      <c r="AGK54" s="308"/>
      <c r="AGL54" s="308"/>
      <c r="AGM54" s="308"/>
      <c r="AGN54" s="308"/>
      <c r="AGO54" s="308"/>
      <c r="AGP54" s="308"/>
      <c r="AGQ54" s="308"/>
      <c r="AGR54" s="308"/>
      <c r="AGS54" s="308"/>
      <c r="AGT54" s="308"/>
      <c r="AGU54" s="308"/>
      <c r="AGV54" s="308"/>
      <c r="AGW54" s="308"/>
      <c r="AGX54" s="308"/>
      <c r="AGY54" s="308"/>
      <c r="AGZ54" s="308"/>
      <c r="AHA54" s="308"/>
      <c r="AHB54" s="308"/>
      <c r="AHC54" s="308"/>
      <c r="AHD54" s="308"/>
      <c r="AHE54" s="308"/>
      <c r="AHF54" s="308"/>
      <c r="AHG54" s="308"/>
      <c r="AHH54" s="308"/>
      <c r="AHI54" s="308"/>
      <c r="AHJ54" s="308"/>
      <c r="AHK54" s="308"/>
      <c r="AHL54" s="308"/>
      <c r="AHM54" s="308"/>
      <c r="AHN54" s="308"/>
      <c r="AHO54" s="308"/>
      <c r="AHP54" s="308"/>
      <c r="AHQ54" s="308"/>
      <c r="AHR54" s="308"/>
      <c r="AHS54" s="308"/>
      <c r="AHT54" s="308"/>
      <c r="AHU54" s="308"/>
      <c r="AHV54" s="308"/>
      <c r="AHW54" s="308"/>
      <c r="AHX54" s="308"/>
      <c r="AHY54" s="308"/>
      <c r="AHZ54" s="308"/>
      <c r="AIA54" s="308"/>
      <c r="AIB54" s="308"/>
      <c r="AIC54" s="308"/>
      <c r="AID54" s="308"/>
      <c r="AIE54" s="308"/>
      <c r="AIF54" s="308"/>
      <c r="AIG54" s="308"/>
      <c r="AIH54" s="308"/>
      <c r="AII54" s="308"/>
      <c r="AIJ54" s="308"/>
      <c r="AIK54" s="308"/>
      <c r="AIL54" s="308"/>
      <c r="AIM54" s="308"/>
      <c r="AIN54" s="308"/>
      <c r="AIO54" s="308"/>
      <c r="AIP54" s="308"/>
      <c r="AIQ54" s="308"/>
      <c r="AIR54" s="308"/>
      <c r="AIS54" s="308"/>
      <c r="AIT54" s="308"/>
      <c r="AIU54" s="308"/>
      <c r="AIV54" s="308"/>
      <c r="AIW54" s="308"/>
      <c r="AIX54" s="308"/>
      <c r="AIY54" s="308"/>
      <c r="AIZ54" s="308"/>
      <c r="AJA54" s="308"/>
      <c r="AJB54" s="308"/>
      <c r="AJC54" s="308"/>
    </row>
    <row r="55" spans="1:940" s="546" customFormat="1">
      <c r="A55" s="113">
        <f t="shared" si="0"/>
        <v>48</v>
      </c>
      <c r="B55" s="116">
        <v>2008</v>
      </c>
      <c r="C55" s="113" t="s">
        <v>526</v>
      </c>
      <c r="D55" s="117">
        <v>2500000</v>
      </c>
      <c r="E55" s="117"/>
      <c r="F55" s="117">
        <f t="shared" si="1"/>
        <v>2500000</v>
      </c>
      <c r="G55" s="117"/>
      <c r="H55" s="117"/>
      <c r="I55" s="117"/>
      <c r="J55" s="117"/>
      <c r="K55" s="117"/>
      <c r="L55" s="117"/>
      <c r="M55" s="117"/>
      <c r="N55" s="117">
        <v>2500000</v>
      </c>
      <c r="O55" s="117">
        <f t="shared" si="10"/>
        <v>0</v>
      </c>
      <c r="P55" s="117"/>
      <c r="Q55" s="117"/>
      <c r="R55" s="117"/>
      <c r="S55" s="117"/>
      <c r="T55" s="117"/>
      <c r="U55" s="117">
        <f t="shared" si="7"/>
        <v>2500000</v>
      </c>
      <c r="V55" s="117">
        <f t="shared" si="8"/>
        <v>2500000</v>
      </c>
      <c r="W55" s="543"/>
      <c r="X55" s="117"/>
      <c r="Y55" s="117"/>
      <c r="Z55" s="113"/>
      <c r="AA55" s="113">
        <v>742000</v>
      </c>
      <c r="AB55" s="117"/>
      <c r="AC55" s="117"/>
      <c r="AD55" s="117"/>
      <c r="AE55" s="117"/>
      <c r="AF55" s="117"/>
      <c r="AG55" s="117"/>
      <c r="AH55" s="117"/>
      <c r="AI55" s="117"/>
      <c r="AJ55" s="117"/>
      <c r="AK55" s="117">
        <f t="shared" si="21"/>
        <v>0</v>
      </c>
      <c r="AL55" s="117"/>
      <c r="AM55" s="566">
        <f t="shared" si="12"/>
        <v>0</v>
      </c>
      <c r="AN55" s="117">
        <f t="shared" si="13"/>
        <v>2500000</v>
      </c>
      <c r="AO55" s="117">
        <f t="shared" si="14"/>
        <v>0</v>
      </c>
      <c r="AP55" s="565"/>
      <c r="AQ55" s="565"/>
      <c r="AR55" s="565"/>
      <c r="AS55" s="565"/>
      <c r="AT55" s="117">
        <f t="shared" si="15"/>
        <v>0</v>
      </c>
      <c r="AU55" s="565"/>
      <c r="AV55" s="565"/>
      <c r="AW55" s="565"/>
      <c r="AX55" s="565"/>
      <c r="AY55" s="117">
        <f t="shared" si="16"/>
        <v>2500000</v>
      </c>
      <c r="AZ55" s="565"/>
      <c r="BA55" s="565"/>
      <c r="BB55" s="565"/>
      <c r="BC55" s="565"/>
      <c r="BD55" s="544"/>
      <c r="BE55" s="544"/>
      <c r="BF55" s="544"/>
      <c r="BG55" s="544"/>
      <c r="BH55" s="544"/>
      <c r="BI55" s="308"/>
      <c r="BJ55" s="308"/>
      <c r="BK55" s="308"/>
      <c r="BL55" s="308"/>
      <c r="BM55" s="308"/>
      <c r="BN55" s="308"/>
      <c r="BO55" s="308"/>
      <c r="BP55" s="308"/>
      <c r="BQ55" s="308"/>
      <c r="BR55" s="308"/>
      <c r="BS55" s="308"/>
      <c r="BT55" s="308"/>
      <c r="BU55" s="308"/>
      <c r="BV55" s="308"/>
      <c r="BW55" s="308"/>
      <c r="BX55" s="308"/>
      <c r="BY55" s="308"/>
      <c r="BZ55" s="308"/>
      <c r="CA55" s="308"/>
      <c r="CB55" s="308"/>
      <c r="CC55" s="308"/>
      <c r="CD55" s="308"/>
      <c r="CE55" s="308"/>
      <c r="CF55" s="308"/>
      <c r="CG55" s="308"/>
      <c r="CH55" s="308"/>
      <c r="CI55" s="308"/>
      <c r="CJ55" s="308"/>
      <c r="CK55" s="308"/>
      <c r="CL55" s="308"/>
      <c r="CM55" s="308"/>
      <c r="CN55" s="308"/>
      <c r="CO55" s="308"/>
      <c r="CP55" s="308"/>
      <c r="CQ55" s="308"/>
      <c r="CR55" s="308"/>
      <c r="CS55" s="308"/>
      <c r="CT55" s="308"/>
      <c r="CU55" s="308"/>
      <c r="CV55" s="308"/>
      <c r="CW55" s="308"/>
      <c r="CX55" s="308"/>
      <c r="CY55" s="308"/>
      <c r="CZ55" s="308"/>
      <c r="DA55" s="308"/>
      <c r="DB55" s="308"/>
      <c r="DC55" s="308"/>
      <c r="DD55" s="308"/>
      <c r="DE55" s="308"/>
      <c r="DF55" s="308"/>
      <c r="DG55" s="308"/>
      <c r="DH55" s="308"/>
      <c r="DI55" s="308"/>
      <c r="DJ55" s="308"/>
      <c r="DK55" s="308"/>
      <c r="DL55" s="308"/>
      <c r="DM55" s="308"/>
      <c r="DN55" s="308"/>
      <c r="DO55" s="308"/>
      <c r="DP55" s="308"/>
      <c r="DQ55" s="308"/>
      <c r="DR55" s="308"/>
      <c r="DS55" s="308"/>
      <c r="DT55" s="308"/>
      <c r="DU55" s="308"/>
      <c r="DV55" s="308"/>
      <c r="DW55" s="308"/>
      <c r="DX55" s="308"/>
      <c r="DY55" s="308"/>
      <c r="DZ55" s="308"/>
      <c r="EA55" s="308"/>
      <c r="EB55" s="308"/>
      <c r="EC55" s="308"/>
      <c r="ED55" s="308"/>
      <c r="EE55" s="308"/>
      <c r="EF55" s="308"/>
      <c r="EG55" s="308"/>
      <c r="EH55" s="308"/>
      <c r="EI55" s="308"/>
      <c r="EJ55" s="308"/>
      <c r="EK55" s="308"/>
      <c r="EL55" s="308"/>
      <c r="EM55" s="308"/>
      <c r="EN55" s="308"/>
      <c r="EO55" s="308"/>
      <c r="EP55" s="308"/>
      <c r="EQ55" s="308"/>
      <c r="ER55" s="308"/>
      <c r="ES55" s="308"/>
      <c r="ET55" s="308"/>
      <c r="EU55" s="308"/>
      <c r="EV55" s="308"/>
      <c r="EW55" s="308"/>
      <c r="EX55" s="308"/>
      <c r="EY55" s="308"/>
      <c r="EZ55" s="308"/>
      <c r="FA55" s="308"/>
      <c r="FB55" s="308"/>
      <c r="FC55" s="308"/>
      <c r="FD55" s="308"/>
      <c r="FE55" s="308"/>
      <c r="FF55" s="308"/>
      <c r="FG55" s="308"/>
      <c r="FH55" s="308"/>
      <c r="FI55" s="308"/>
      <c r="FJ55" s="308"/>
      <c r="FK55" s="308"/>
      <c r="FL55" s="308"/>
      <c r="FM55" s="308"/>
      <c r="FN55" s="308"/>
      <c r="FO55" s="308"/>
      <c r="FP55" s="308"/>
      <c r="FQ55" s="308"/>
      <c r="FR55" s="308"/>
      <c r="FS55" s="308"/>
      <c r="FT55" s="308"/>
      <c r="FU55" s="308"/>
      <c r="FV55" s="308"/>
      <c r="FW55" s="308"/>
      <c r="FX55" s="308"/>
      <c r="FY55" s="308"/>
      <c r="FZ55" s="308"/>
      <c r="GA55" s="308"/>
      <c r="GB55" s="308"/>
      <c r="GC55" s="308"/>
      <c r="GD55" s="308"/>
      <c r="GE55" s="308"/>
      <c r="GF55" s="308"/>
      <c r="GG55" s="308"/>
      <c r="GH55" s="308"/>
      <c r="GI55" s="308"/>
      <c r="GJ55" s="308"/>
      <c r="GK55" s="308"/>
      <c r="GL55" s="308"/>
      <c r="GM55" s="308"/>
      <c r="GN55" s="308"/>
      <c r="GO55" s="308"/>
      <c r="GP55" s="308"/>
      <c r="GQ55" s="308"/>
      <c r="GR55" s="308"/>
      <c r="GS55" s="308"/>
      <c r="GT55" s="308"/>
      <c r="GU55" s="308"/>
      <c r="GV55" s="308"/>
      <c r="GW55" s="308"/>
      <c r="GX55" s="308"/>
      <c r="GY55" s="308"/>
      <c r="GZ55" s="308"/>
      <c r="HA55" s="308"/>
      <c r="HB55" s="308"/>
      <c r="HC55" s="308"/>
      <c r="HD55" s="308"/>
      <c r="HE55" s="308"/>
      <c r="HF55" s="308"/>
      <c r="HG55" s="308"/>
      <c r="HH55" s="308"/>
      <c r="HI55" s="308"/>
      <c r="HJ55" s="308"/>
      <c r="HK55" s="308"/>
      <c r="HL55" s="308"/>
      <c r="HM55" s="308"/>
      <c r="HN55" s="308"/>
      <c r="HO55" s="308"/>
      <c r="HP55" s="308"/>
      <c r="HQ55" s="308"/>
      <c r="HR55" s="308"/>
      <c r="HS55" s="308"/>
      <c r="HT55" s="308"/>
      <c r="HU55" s="308"/>
      <c r="HV55" s="308"/>
      <c r="HW55" s="308"/>
      <c r="HX55" s="308"/>
      <c r="HY55" s="308"/>
      <c r="HZ55" s="308"/>
      <c r="IA55" s="308"/>
      <c r="IB55" s="308"/>
      <c r="IC55" s="308"/>
      <c r="ID55" s="308"/>
      <c r="IE55" s="308"/>
      <c r="IF55" s="308"/>
      <c r="IG55" s="308"/>
      <c r="IH55" s="308"/>
      <c r="II55" s="308"/>
      <c r="IJ55" s="308"/>
      <c r="IK55" s="308"/>
      <c r="IL55" s="308"/>
      <c r="IM55" s="308"/>
      <c r="IN55" s="308"/>
      <c r="IO55" s="308"/>
      <c r="IP55" s="308"/>
      <c r="IQ55" s="308"/>
      <c r="IR55" s="308"/>
      <c r="IS55" s="308"/>
      <c r="IT55" s="308"/>
      <c r="IU55" s="308"/>
      <c r="IV55" s="308"/>
      <c r="IW55" s="308"/>
      <c r="IX55" s="308"/>
      <c r="IY55" s="308"/>
      <c r="IZ55" s="308"/>
      <c r="JA55" s="308"/>
      <c r="JB55" s="308"/>
      <c r="JC55" s="308"/>
      <c r="JD55" s="308"/>
      <c r="JE55" s="308"/>
      <c r="JF55" s="308"/>
      <c r="JG55" s="308"/>
      <c r="JH55" s="308"/>
      <c r="JI55" s="308"/>
      <c r="JJ55" s="308"/>
      <c r="JK55" s="308"/>
      <c r="JL55" s="308"/>
      <c r="JM55" s="308"/>
      <c r="JN55" s="308"/>
      <c r="JO55" s="308"/>
      <c r="JP55" s="308"/>
      <c r="JQ55" s="308"/>
      <c r="JR55" s="308"/>
      <c r="JS55" s="308"/>
      <c r="JT55" s="308"/>
      <c r="JU55" s="308"/>
      <c r="JV55" s="308"/>
      <c r="JW55" s="308"/>
      <c r="JX55" s="308"/>
      <c r="JY55" s="308"/>
      <c r="JZ55" s="308"/>
      <c r="KA55" s="308"/>
      <c r="KB55" s="308"/>
      <c r="KC55" s="308"/>
      <c r="KD55" s="308"/>
      <c r="KE55" s="308"/>
      <c r="KF55" s="308"/>
      <c r="KG55" s="308"/>
      <c r="KH55" s="308"/>
      <c r="KI55" s="308"/>
      <c r="KJ55" s="308"/>
      <c r="KK55" s="308"/>
      <c r="KL55" s="308"/>
      <c r="KM55" s="308"/>
      <c r="KN55" s="308"/>
      <c r="KO55" s="308"/>
      <c r="KP55" s="308"/>
      <c r="KQ55" s="308"/>
      <c r="KR55" s="308"/>
      <c r="KS55" s="308"/>
      <c r="KT55" s="308"/>
      <c r="KU55" s="308"/>
      <c r="KV55" s="308"/>
      <c r="KW55" s="308"/>
      <c r="KX55" s="308"/>
      <c r="KY55" s="308"/>
      <c r="KZ55" s="308"/>
      <c r="LA55" s="308"/>
      <c r="LB55" s="308"/>
      <c r="LC55" s="308"/>
      <c r="LD55" s="308"/>
      <c r="LE55" s="308"/>
      <c r="LF55" s="308"/>
      <c r="LG55" s="308"/>
      <c r="LH55" s="308"/>
      <c r="LI55" s="308"/>
      <c r="LJ55" s="308"/>
      <c r="LK55" s="308"/>
      <c r="LL55" s="308"/>
      <c r="LM55" s="308"/>
      <c r="LN55" s="308"/>
      <c r="LO55" s="308"/>
      <c r="LP55" s="308"/>
      <c r="LQ55" s="308"/>
      <c r="LR55" s="308"/>
      <c r="LS55" s="308"/>
      <c r="LT55" s="308"/>
      <c r="LU55" s="308"/>
      <c r="LV55" s="308"/>
      <c r="LW55" s="308"/>
      <c r="LX55" s="308"/>
      <c r="LY55" s="308"/>
      <c r="LZ55" s="308"/>
      <c r="MA55" s="308"/>
      <c r="MB55" s="308"/>
      <c r="MC55" s="308"/>
      <c r="MD55" s="308"/>
      <c r="ME55" s="308"/>
      <c r="MF55" s="308"/>
      <c r="MG55" s="308"/>
      <c r="MH55" s="308"/>
      <c r="MI55" s="308"/>
      <c r="MJ55" s="308"/>
      <c r="MK55" s="308"/>
      <c r="ML55" s="308"/>
      <c r="MM55" s="308"/>
      <c r="MN55" s="308"/>
      <c r="MO55" s="308"/>
      <c r="MP55" s="308"/>
      <c r="MQ55" s="308"/>
      <c r="MR55" s="308"/>
      <c r="MS55" s="308"/>
      <c r="MT55" s="308"/>
      <c r="MU55" s="308"/>
      <c r="MV55" s="308"/>
      <c r="MW55" s="308"/>
      <c r="MX55" s="308"/>
      <c r="MY55" s="308"/>
      <c r="MZ55" s="308"/>
      <c r="NA55" s="308"/>
      <c r="NB55" s="308"/>
      <c r="NC55" s="308"/>
      <c r="ND55" s="308"/>
      <c r="NE55" s="308"/>
      <c r="NF55" s="308"/>
      <c r="NG55" s="308"/>
      <c r="NH55" s="308"/>
      <c r="NI55" s="308"/>
      <c r="NJ55" s="308"/>
      <c r="NK55" s="308"/>
      <c r="NL55" s="308"/>
      <c r="NM55" s="308"/>
      <c r="NN55" s="308"/>
      <c r="NO55" s="308"/>
      <c r="NP55" s="308"/>
      <c r="NQ55" s="308"/>
      <c r="NR55" s="308"/>
      <c r="NS55" s="308"/>
      <c r="NT55" s="308"/>
      <c r="NU55" s="308"/>
      <c r="NV55" s="308"/>
      <c r="NW55" s="308"/>
      <c r="NX55" s="308"/>
      <c r="NY55" s="308"/>
      <c r="NZ55" s="308"/>
      <c r="OA55" s="308"/>
      <c r="OB55" s="308"/>
      <c r="OC55" s="308"/>
      <c r="OD55" s="308"/>
      <c r="OE55" s="308"/>
      <c r="OF55" s="308"/>
      <c r="OG55" s="308"/>
      <c r="OH55" s="308"/>
      <c r="OI55" s="308"/>
      <c r="OJ55" s="308"/>
      <c r="OK55" s="308"/>
      <c r="OL55" s="308"/>
      <c r="OM55" s="308"/>
      <c r="ON55" s="308"/>
      <c r="OO55" s="308"/>
      <c r="OP55" s="308"/>
      <c r="OQ55" s="308"/>
      <c r="OR55" s="308"/>
      <c r="OS55" s="308"/>
      <c r="OT55" s="308"/>
      <c r="OU55" s="308"/>
      <c r="OV55" s="308"/>
      <c r="OW55" s="308"/>
      <c r="OX55" s="308"/>
      <c r="OY55" s="308"/>
      <c r="OZ55" s="308"/>
      <c r="PA55" s="308"/>
      <c r="PB55" s="308"/>
      <c r="PC55" s="308"/>
      <c r="PD55" s="308"/>
      <c r="PE55" s="308"/>
      <c r="PF55" s="308"/>
      <c r="PG55" s="308"/>
      <c r="PH55" s="308"/>
      <c r="PI55" s="308"/>
      <c r="PJ55" s="308"/>
      <c r="PK55" s="308"/>
      <c r="PL55" s="308"/>
      <c r="PM55" s="308"/>
      <c r="PN55" s="308"/>
      <c r="PO55" s="308"/>
      <c r="PP55" s="308"/>
      <c r="PQ55" s="308"/>
      <c r="PR55" s="308"/>
      <c r="PS55" s="308"/>
      <c r="PT55" s="308"/>
      <c r="PU55" s="308"/>
      <c r="PV55" s="308"/>
      <c r="PW55" s="308"/>
      <c r="PX55" s="308"/>
      <c r="PY55" s="308"/>
      <c r="PZ55" s="308"/>
      <c r="QA55" s="308"/>
      <c r="QB55" s="308"/>
      <c r="QC55" s="308"/>
      <c r="QD55" s="308"/>
      <c r="QE55" s="308"/>
      <c r="QF55" s="308"/>
      <c r="QG55" s="308"/>
      <c r="QH55" s="308"/>
      <c r="QI55" s="308"/>
      <c r="QJ55" s="308"/>
      <c r="QK55" s="308"/>
      <c r="QL55" s="308"/>
      <c r="QM55" s="308"/>
      <c r="QN55" s="308"/>
      <c r="QO55" s="308"/>
      <c r="QP55" s="308"/>
      <c r="QQ55" s="308"/>
      <c r="QR55" s="308"/>
      <c r="QS55" s="308"/>
      <c r="QT55" s="308"/>
      <c r="QU55" s="308"/>
      <c r="QV55" s="308"/>
      <c r="QW55" s="308"/>
      <c r="QX55" s="308"/>
      <c r="QY55" s="308"/>
      <c r="QZ55" s="308"/>
      <c r="RA55" s="308"/>
      <c r="RB55" s="308"/>
      <c r="RC55" s="308"/>
      <c r="RD55" s="308"/>
      <c r="RE55" s="308"/>
      <c r="RF55" s="308"/>
      <c r="RG55" s="308"/>
      <c r="RH55" s="308"/>
      <c r="RI55" s="308"/>
      <c r="RJ55" s="308"/>
      <c r="RK55" s="308"/>
      <c r="RL55" s="308"/>
      <c r="RM55" s="308"/>
      <c r="RN55" s="308"/>
      <c r="RO55" s="308"/>
      <c r="RP55" s="308"/>
      <c r="RQ55" s="308"/>
      <c r="RR55" s="308"/>
      <c r="RS55" s="308"/>
      <c r="RT55" s="308"/>
      <c r="RU55" s="308"/>
      <c r="RV55" s="308"/>
      <c r="RW55" s="308"/>
      <c r="RX55" s="308"/>
      <c r="RY55" s="308"/>
      <c r="RZ55" s="308"/>
      <c r="SA55" s="308"/>
      <c r="SB55" s="308"/>
      <c r="SC55" s="308"/>
      <c r="SD55" s="308"/>
      <c r="SE55" s="308"/>
      <c r="SF55" s="308"/>
      <c r="SG55" s="308"/>
      <c r="SH55" s="308"/>
      <c r="SI55" s="308"/>
      <c r="SJ55" s="308"/>
      <c r="SK55" s="308"/>
      <c r="SL55" s="308"/>
      <c r="SM55" s="308"/>
      <c r="SN55" s="308"/>
      <c r="SO55" s="308"/>
      <c r="SP55" s="308"/>
      <c r="SQ55" s="308"/>
      <c r="SR55" s="308"/>
      <c r="SS55" s="308"/>
      <c r="ST55" s="308"/>
      <c r="SU55" s="308"/>
      <c r="SV55" s="308"/>
      <c r="SW55" s="308"/>
      <c r="SX55" s="308"/>
      <c r="SY55" s="308"/>
      <c r="SZ55" s="308"/>
      <c r="TA55" s="308"/>
      <c r="TB55" s="308"/>
      <c r="TC55" s="308"/>
      <c r="TD55" s="308"/>
      <c r="TE55" s="308"/>
      <c r="TF55" s="308"/>
      <c r="TG55" s="308"/>
      <c r="TH55" s="308"/>
      <c r="TI55" s="308"/>
      <c r="TJ55" s="308"/>
      <c r="TK55" s="308"/>
      <c r="TL55" s="308"/>
      <c r="TM55" s="308"/>
      <c r="TN55" s="308"/>
      <c r="TO55" s="308"/>
      <c r="TP55" s="308"/>
      <c r="TQ55" s="308"/>
      <c r="TR55" s="308"/>
      <c r="TS55" s="308"/>
      <c r="TT55" s="308"/>
      <c r="TU55" s="308"/>
      <c r="TV55" s="308"/>
      <c r="TW55" s="308"/>
      <c r="TX55" s="308"/>
      <c r="TY55" s="308"/>
      <c r="TZ55" s="308"/>
      <c r="UA55" s="308"/>
      <c r="UB55" s="308"/>
      <c r="UC55" s="308"/>
      <c r="UD55" s="308"/>
      <c r="UE55" s="308"/>
      <c r="UF55" s="308"/>
      <c r="UG55" s="308"/>
      <c r="UH55" s="308"/>
      <c r="UI55" s="308"/>
      <c r="UJ55" s="308"/>
      <c r="UK55" s="308"/>
      <c r="UL55" s="308"/>
      <c r="UM55" s="308"/>
      <c r="UN55" s="308"/>
      <c r="UO55" s="308"/>
      <c r="UP55" s="308"/>
      <c r="UQ55" s="308"/>
      <c r="UR55" s="308"/>
      <c r="US55" s="308"/>
      <c r="UT55" s="308"/>
      <c r="UU55" s="308"/>
      <c r="UV55" s="308"/>
      <c r="UW55" s="308"/>
      <c r="UX55" s="308"/>
      <c r="UY55" s="308"/>
      <c r="UZ55" s="308"/>
      <c r="VA55" s="308"/>
      <c r="VB55" s="308"/>
      <c r="VC55" s="308"/>
      <c r="VD55" s="308"/>
      <c r="VE55" s="308"/>
      <c r="VF55" s="308"/>
      <c r="VG55" s="308"/>
      <c r="VH55" s="308"/>
      <c r="VI55" s="308"/>
      <c r="VJ55" s="308"/>
      <c r="VK55" s="308"/>
      <c r="VL55" s="308"/>
      <c r="VM55" s="308"/>
      <c r="VN55" s="308"/>
      <c r="VO55" s="308"/>
      <c r="VP55" s="308"/>
      <c r="VQ55" s="308"/>
      <c r="VR55" s="308"/>
      <c r="VS55" s="308"/>
      <c r="VT55" s="308"/>
      <c r="VU55" s="308"/>
      <c r="VV55" s="308"/>
      <c r="VW55" s="308"/>
      <c r="VX55" s="308"/>
      <c r="VY55" s="308"/>
      <c r="VZ55" s="308"/>
      <c r="WA55" s="308"/>
      <c r="WB55" s="308"/>
      <c r="WC55" s="308"/>
      <c r="WD55" s="308"/>
      <c r="WE55" s="308"/>
      <c r="WF55" s="308"/>
      <c r="WG55" s="308"/>
      <c r="WH55" s="308"/>
      <c r="WI55" s="308"/>
      <c r="WJ55" s="308"/>
      <c r="WK55" s="308"/>
      <c r="WL55" s="308"/>
      <c r="WM55" s="308"/>
      <c r="WN55" s="308"/>
      <c r="WO55" s="308"/>
      <c r="WP55" s="308"/>
      <c r="WQ55" s="308"/>
      <c r="WR55" s="308"/>
      <c r="WS55" s="308"/>
      <c r="WT55" s="308"/>
      <c r="WU55" s="308"/>
      <c r="WV55" s="308"/>
      <c r="WW55" s="308"/>
      <c r="WX55" s="308"/>
      <c r="WY55" s="308"/>
      <c r="WZ55" s="308"/>
      <c r="XA55" s="308"/>
      <c r="XB55" s="308"/>
      <c r="XC55" s="308"/>
      <c r="XD55" s="308"/>
      <c r="XE55" s="308"/>
      <c r="XF55" s="308"/>
      <c r="XG55" s="308"/>
      <c r="XH55" s="308"/>
      <c r="XI55" s="308"/>
      <c r="XJ55" s="308"/>
      <c r="XK55" s="308"/>
      <c r="XL55" s="308"/>
      <c r="XM55" s="308"/>
      <c r="XN55" s="308"/>
      <c r="XO55" s="308"/>
      <c r="XP55" s="308"/>
      <c r="XQ55" s="308"/>
      <c r="XR55" s="308"/>
      <c r="XS55" s="308"/>
      <c r="XT55" s="308"/>
      <c r="XU55" s="308"/>
      <c r="XV55" s="308"/>
      <c r="XW55" s="308"/>
      <c r="XX55" s="308"/>
      <c r="XY55" s="308"/>
      <c r="XZ55" s="308"/>
      <c r="YA55" s="308"/>
      <c r="YB55" s="308"/>
      <c r="YC55" s="308"/>
      <c r="YD55" s="308"/>
      <c r="YE55" s="308"/>
      <c r="YF55" s="308"/>
      <c r="YG55" s="308"/>
      <c r="YH55" s="308"/>
      <c r="YI55" s="308"/>
      <c r="YJ55" s="308"/>
      <c r="YK55" s="308"/>
      <c r="YL55" s="308"/>
      <c r="YM55" s="308"/>
      <c r="YN55" s="308"/>
      <c r="YO55" s="308"/>
      <c r="YP55" s="308"/>
      <c r="YQ55" s="308"/>
      <c r="YR55" s="308"/>
      <c r="YS55" s="308"/>
      <c r="YT55" s="308"/>
      <c r="YU55" s="308"/>
      <c r="YV55" s="308"/>
      <c r="YW55" s="308"/>
      <c r="YX55" s="308"/>
      <c r="YY55" s="308"/>
      <c r="YZ55" s="308"/>
      <c r="ZA55" s="308"/>
      <c r="ZB55" s="308"/>
      <c r="ZC55" s="308"/>
      <c r="ZD55" s="308"/>
      <c r="ZE55" s="308"/>
      <c r="ZF55" s="308"/>
      <c r="ZG55" s="308"/>
      <c r="ZH55" s="308"/>
      <c r="ZI55" s="308"/>
      <c r="ZJ55" s="308"/>
      <c r="ZK55" s="308"/>
      <c r="ZL55" s="308"/>
      <c r="ZM55" s="308"/>
      <c r="ZN55" s="308"/>
      <c r="ZO55" s="308"/>
      <c r="ZP55" s="308"/>
      <c r="ZQ55" s="308"/>
      <c r="ZR55" s="308"/>
      <c r="ZS55" s="308"/>
      <c r="ZT55" s="308"/>
      <c r="ZU55" s="308"/>
      <c r="ZV55" s="308"/>
      <c r="ZW55" s="308"/>
      <c r="ZX55" s="308"/>
      <c r="ZY55" s="308"/>
      <c r="ZZ55" s="308"/>
      <c r="AAA55" s="308"/>
      <c r="AAB55" s="308"/>
      <c r="AAC55" s="308"/>
      <c r="AAD55" s="308"/>
      <c r="AAE55" s="308"/>
      <c r="AAF55" s="308"/>
      <c r="AAG55" s="308"/>
      <c r="AAH55" s="308"/>
      <c r="AAI55" s="308"/>
      <c r="AAJ55" s="308"/>
      <c r="AAK55" s="308"/>
      <c r="AAL55" s="308"/>
      <c r="AAM55" s="308"/>
      <c r="AAN55" s="308"/>
      <c r="AAO55" s="308"/>
      <c r="AAP55" s="308"/>
      <c r="AAQ55" s="308"/>
      <c r="AAR55" s="308"/>
      <c r="AAS55" s="308"/>
      <c r="AAT55" s="308"/>
      <c r="AAU55" s="308"/>
      <c r="AAV55" s="308"/>
      <c r="AAW55" s="308"/>
      <c r="AAX55" s="308"/>
      <c r="AAY55" s="308"/>
      <c r="AAZ55" s="308"/>
      <c r="ABA55" s="308"/>
      <c r="ABB55" s="308"/>
      <c r="ABC55" s="308"/>
      <c r="ABD55" s="308"/>
      <c r="ABE55" s="308"/>
      <c r="ABF55" s="308"/>
      <c r="ABG55" s="308"/>
      <c r="ABH55" s="308"/>
      <c r="ABI55" s="308"/>
      <c r="ABJ55" s="308"/>
      <c r="ABK55" s="308"/>
      <c r="ABL55" s="308"/>
      <c r="ABM55" s="308"/>
      <c r="ABN55" s="308"/>
      <c r="ABO55" s="308"/>
      <c r="ABP55" s="308"/>
      <c r="ABQ55" s="308"/>
      <c r="ABR55" s="308"/>
      <c r="ABS55" s="308"/>
      <c r="ABT55" s="308"/>
      <c r="ABU55" s="308"/>
      <c r="ABV55" s="308"/>
      <c r="ABW55" s="308"/>
      <c r="ABX55" s="308"/>
      <c r="ABY55" s="308"/>
      <c r="ABZ55" s="308"/>
      <c r="ACA55" s="308"/>
      <c r="ACB55" s="308"/>
      <c r="ACC55" s="308"/>
      <c r="ACD55" s="308"/>
      <c r="ACE55" s="308"/>
      <c r="ACF55" s="308"/>
      <c r="ACG55" s="308"/>
      <c r="ACH55" s="308"/>
      <c r="ACI55" s="308"/>
      <c r="ACJ55" s="308"/>
      <c r="ACK55" s="308"/>
      <c r="ACL55" s="308"/>
      <c r="ACM55" s="308"/>
      <c r="ACN55" s="308"/>
      <c r="ACO55" s="308"/>
      <c r="ACP55" s="308"/>
      <c r="ACQ55" s="308"/>
      <c r="ACR55" s="308"/>
      <c r="ACS55" s="308"/>
      <c r="ACT55" s="308"/>
      <c r="ACU55" s="308"/>
      <c r="ACV55" s="308"/>
      <c r="ACW55" s="308"/>
      <c r="ACX55" s="308"/>
      <c r="ACY55" s="308"/>
      <c r="ACZ55" s="308"/>
      <c r="ADA55" s="308"/>
      <c r="ADB55" s="308"/>
      <c r="ADC55" s="308"/>
      <c r="ADD55" s="308"/>
      <c r="ADE55" s="308"/>
      <c r="ADF55" s="308"/>
      <c r="ADG55" s="308"/>
      <c r="ADH55" s="308"/>
      <c r="ADI55" s="308"/>
      <c r="ADJ55" s="308"/>
      <c r="ADK55" s="308"/>
      <c r="ADL55" s="308"/>
      <c r="ADM55" s="308"/>
      <c r="ADN55" s="308"/>
      <c r="ADO55" s="308"/>
      <c r="ADP55" s="308"/>
      <c r="ADQ55" s="308"/>
      <c r="ADR55" s="308"/>
      <c r="ADS55" s="308"/>
      <c r="ADT55" s="308"/>
      <c r="ADU55" s="308"/>
      <c r="ADV55" s="308"/>
      <c r="ADW55" s="308"/>
      <c r="ADX55" s="308"/>
      <c r="ADY55" s="308"/>
      <c r="ADZ55" s="308"/>
      <c r="AEA55" s="308"/>
      <c r="AEB55" s="308"/>
      <c r="AEC55" s="308"/>
      <c r="AED55" s="308"/>
      <c r="AEE55" s="308"/>
      <c r="AEF55" s="308"/>
      <c r="AEG55" s="308"/>
      <c r="AEH55" s="308"/>
      <c r="AEI55" s="308"/>
      <c r="AEJ55" s="308"/>
      <c r="AEK55" s="308"/>
      <c r="AEL55" s="308"/>
      <c r="AEM55" s="308"/>
      <c r="AEN55" s="308"/>
      <c r="AEO55" s="308"/>
      <c r="AEP55" s="308"/>
      <c r="AEQ55" s="308"/>
      <c r="AER55" s="308"/>
      <c r="AES55" s="308"/>
      <c r="AET55" s="308"/>
      <c r="AEU55" s="308"/>
      <c r="AEV55" s="308"/>
      <c r="AEW55" s="308"/>
      <c r="AEX55" s="308"/>
      <c r="AEY55" s="308"/>
      <c r="AEZ55" s="308"/>
      <c r="AFA55" s="308"/>
      <c r="AFB55" s="308"/>
      <c r="AFC55" s="308"/>
      <c r="AFD55" s="308"/>
      <c r="AFE55" s="308"/>
      <c r="AFF55" s="308"/>
      <c r="AFG55" s="308"/>
      <c r="AFH55" s="308"/>
      <c r="AFI55" s="308"/>
      <c r="AFJ55" s="308"/>
      <c r="AFK55" s="308"/>
      <c r="AFL55" s="308"/>
      <c r="AFM55" s="308"/>
      <c r="AFN55" s="308"/>
      <c r="AFO55" s="308"/>
      <c r="AFP55" s="308"/>
      <c r="AFQ55" s="308"/>
      <c r="AFR55" s="308"/>
      <c r="AFS55" s="308"/>
      <c r="AFT55" s="308"/>
      <c r="AFU55" s="308"/>
      <c r="AFV55" s="308"/>
      <c r="AFW55" s="308"/>
      <c r="AFX55" s="308"/>
      <c r="AFY55" s="308"/>
      <c r="AFZ55" s="308"/>
      <c r="AGA55" s="308"/>
      <c r="AGB55" s="308"/>
      <c r="AGC55" s="308"/>
      <c r="AGD55" s="308"/>
      <c r="AGE55" s="308"/>
      <c r="AGF55" s="308"/>
      <c r="AGG55" s="308"/>
      <c r="AGH55" s="308"/>
      <c r="AGI55" s="308"/>
      <c r="AGJ55" s="308"/>
      <c r="AGK55" s="308"/>
      <c r="AGL55" s="308"/>
      <c r="AGM55" s="308"/>
      <c r="AGN55" s="308"/>
      <c r="AGO55" s="308"/>
      <c r="AGP55" s="308"/>
      <c r="AGQ55" s="308"/>
      <c r="AGR55" s="308"/>
      <c r="AGS55" s="308"/>
      <c r="AGT55" s="308"/>
      <c r="AGU55" s="308"/>
      <c r="AGV55" s="308"/>
      <c r="AGW55" s="308"/>
      <c r="AGX55" s="308"/>
      <c r="AGY55" s="308"/>
      <c r="AGZ55" s="308"/>
      <c r="AHA55" s="308"/>
      <c r="AHB55" s="308"/>
      <c r="AHC55" s="308"/>
      <c r="AHD55" s="308"/>
      <c r="AHE55" s="308"/>
      <c r="AHF55" s="308"/>
      <c r="AHG55" s="308"/>
      <c r="AHH55" s="308"/>
      <c r="AHI55" s="308"/>
      <c r="AHJ55" s="308"/>
      <c r="AHK55" s="308"/>
      <c r="AHL55" s="308"/>
      <c r="AHM55" s="308"/>
      <c r="AHN55" s="308"/>
      <c r="AHO55" s="308"/>
      <c r="AHP55" s="308"/>
      <c r="AHQ55" s="308"/>
      <c r="AHR55" s="308"/>
      <c r="AHS55" s="308"/>
      <c r="AHT55" s="308"/>
      <c r="AHU55" s="308"/>
      <c r="AHV55" s="308"/>
      <c r="AHW55" s="308"/>
      <c r="AHX55" s="308"/>
      <c r="AHY55" s="308"/>
      <c r="AHZ55" s="308"/>
      <c r="AIA55" s="308"/>
      <c r="AIB55" s="308"/>
      <c r="AIC55" s="308"/>
      <c r="AID55" s="308"/>
      <c r="AIE55" s="308"/>
      <c r="AIF55" s="308"/>
      <c r="AIG55" s="308"/>
      <c r="AIH55" s="308"/>
      <c r="AII55" s="308"/>
      <c r="AIJ55" s="308"/>
      <c r="AIK55" s="308"/>
      <c r="AIL55" s="308"/>
      <c r="AIM55" s="308"/>
      <c r="AIN55" s="308"/>
      <c r="AIO55" s="308"/>
      <c r="AIP55" s="308"/>
      <c r="AIQ55" s="308"/>
      <c r="AIR55" s="308"/>
      <c r="AIS55" s="308"/>
      <c r="AIT55" s="308"/>
      <c r="AIU55" s="308"/>
      <c r="AIV55" s="308"/>
      <c r="AIW55" s="308"/>
      <c r="AIX55" s="308"/>
      <c r="AIY55" s="308"/>
      <c r="AIZ55" s="308"/>
      <c r="AJA55" s="308"/>
      <c r="AJB55" s="308"/>
      <c r="AJC55" s="308"/>
    </row>
    <row r="56" spans="1:940" s="546" customFormat="1">
      <c r="A56" s="113">
        <f t="shared" si="0"/>
        <v>49</v>
      </c>
      <c r="B56" s="116">
        <v>2009</v>
      </c>
      <c r="C56" s="113" t="s">
        <v>527</v>
      </c>
      <c r="D56" s="117">
        <v>9000000</v>
      </c>
      <c r="E56" s="117"/>
      <c r="F56" s="117">
        <f t="shared" si="1"/>
        <v>9000000</v>
      </c>
      <c r="G56" s="117"/>
      <c r="H56" s="117"/>
      <c r="I56" s="117"/>
      <c r="J56" s="117"/>
      <c r="K56" s="117"/>
      <c r="L56" s="117"/>
      <c r="M56" s="117"/>
      <c r="N56" s="117">
        <f>1000000-250000-500000</f>
        <v>250000</v>
      </c>
      <c r="O56" s="117">
        <f t="shared" si="10"/>
        <v>8750000</v>
      </c>
      <c r="P56" s="117"/>
      <c r="Q56" s="117"/>
      <c r="R56" s="117"/>
      <c r="S56" s="117"/>
      <c r="T56" s="117"/>
      <c r="U56" s="117">
        <f t="shared" si="7"/>
        <v>250000</v>
      </c>
      <c r="V56" s="117">
        <f t="shared" si="8"/>
        <v>250000</v>
      </c>
      <c r="W56" s="543"/>
      <c r="X56" s="117"/>
      <c r="Y56" s="117"/>
      <c r="Z56" s="113"/>
      <c r="AA56" s="113">
        <v>742000</v>
      </c>
      <c r="AB56" s="117"/>
      <c r="AC56" s="117"/>
      <c r="AD56" s="117"/>
      <c r="AE56" s="117"/>
      <c r="AF56" s="117"/>
      <c r="AG56" s="117"/>
      <c r="AH56" s="117"/>
      <c r="AI56" s="117"/>
      <c r="AJ56" s="117"/>
      <c r="AK56" s="117">
        <f t="shared" si="21"/>
        <v>0</v>
      </c>
      <c r="AL56" s="117"/>
      <c r="AM56" s="566">
        <f t="shared" si="12"/>
        <v>0</v>
      </c>
      <c r="AN56" s="117">
        <f t="shared" si="13"/>
        <v>250000</v>
      </c>
      <c r="AO56" s="117">
        <f t="shared" si="14"/>
        <v>0</v>
      </c>
      <c r="AP56" s="565"/>
      <c r="AQ56" s="565"/>
      <c r="AR56" s="565"/>
      <c r="AS56" s="565"/>
      <c r="AT56" s="117">
        <f t="shared" si="15"/>
        <v>0</v>
      </c>
      <c r="AU56" s="565"/>
      <c r="AV56" s="565"/>
      <c r="AW56" s="565"/>
      <c r="AX56" s="565"/>
      <c r="AY56" s="117">
        <f t="shared" si="16"/>
        <v>250000</v>
      </c>
      <c r="AZ56" s="565"/>
      <c r="BA56" s="565"/>
      <c r="BB56" s="565"/>
      <c r="BC56" s="565"/>
      <c r="BD56" s="544"/>
      <c r="BE56" s="544"/>
      <c r="BF56" s="544"/>
      <c r="BG56" s="544"/>
      <c r="BH56" s="544"/>
      <c r="BI56" s="308"/>
      <c r="BJ56" s="308"/>
      <c r="BK56" s="308"/>
      <c r="BL56" s="308"/>
      <c r="BM56" s="308"/>
      <c r="BN56" s="308"/>
      <c r="BO56" s="308"/>
      <c r="BP56" s="308"/>
      <c r="BQ56" s="308"/>
      <c r="BR56" s="308"/>
      <c r="BS56" s="308"/>
      <c r="BT56" s="308"/>
      <c r="BU56" s="308"/>
      <c r="BV56" s="308"/>
      <c r="BW56" s="308"/>
      <c r="BX56" s="308"/>
      <c r="BY56" s="308"/>
      <c r="BZ56" s="308"/>
      <c r="CA56" s="308"/>
      <c r="CB56" s="308"/>
      <c r="CC56" s="308"/>
      <c r="CD56" s="308"/>
      <c r="CE56" s="308"/>
      <c r="CF56" s="308"/>
      <c r="CG56" s="308"/>
      <c r="CH56" s="308"/>
      <c r="CI56" s="308"/>
      <c r="CJ56" s="308"/>
      <c r="CK56" s="308"/>
      <c r="CL56" s="308"/>
      <c r="CM56" s="308"/>
      <c r="CN56" s="308"/>
      <c r="CO56" s="308"/>
      <c r="CP56" s="308"/>
      <c r="CQ56" s="308"/>
      <c r="CR56" s="308"/>
      <c r="CS56" s="308"/>
      <c r="CT56" s="308"/>
      <c r="CU56" s="308"/>
      <c r="CV56" s="308"/>
      <c r="CW56" s="308"/>
      <c r="CX56" s="308"/>
      <c r="CY56" s="308"/>
      <c r="CZ56" s="308"/>
      <c r="DA56" s="308"/>
      <c r="DB56" s="308"/>
      <c r="DC56" s="308"/>
      <c r="DD56" s="308"/>
      <c r="DE56" s="308"/>
      <c r="DF56" s="308"/>
      <c r="DG56" s="308"/>
      <c r="DH56" s="308"/>
      <c r="DI56" s="308"/>
      <c r="DJ56" s="308"/>
      <c r="DK56" s="308"/>
      <c r="DL56" s="308"/>
      <c r="DM56" s="308"/>
      <c r="DN56" s="308"/>
      <c r="DO56" s="308"/>
      <c r="DP56" s="308"/>
      <c r="DQ56" s="308"/>
      <c r="DR56" s="308"/>
      <c r="DS56" s="308"/>
      <c r="DT56" s="308"/>
      <c r="DU56" s="308"/>
      <c r="DV56" s="308"/>
      <c r="DW56" s="308"/>
      <c r="DX56" s="308"/>
      <c r="DY56" s="308"/>
      <c r="DZ56" s="308"/>
      <c r="EA56" s="308"/>
      <c r="EB56" s="308"/>
      <c r="EC56" s="308"/>
      <c r="ED56" s="308"/>
      <c r="EE56" s="308"/>
      <c r="EF56" s="308"/>
      <c r="EG56" s="308"/>
      <c r="EH56" s="308"/>
      <c r="EI56" s="308"/>
      <c r="EJ56" s="308"/>
      <c r="EK56" s="308"/>
      <c r="EL56" s="308"/>
      <c r="EM56" s="308"/>
      <c r="EN56" s="308"/>
      <c r="EO56" s="308"/>
      <c r="EP56" s="308"/>
      <c r="EQ56" s="308"/>
      <c r="ER56" s="308"/>
      <c r="ES56" s="308"/>
      <c r="ET56" s="308"/>
      <c r="EU56" s="308"/>
      <c r="EV56" s="308"/>
      <c r="EW56" s="308"/>
      <c r="EX56" s="308"/>
      <c r="EY56" s="308"/>
      <c r="EZ56" s="308"/>
      <c r="FA56" s="308"/>
      <c r="FB56" s="308"/>
      <c r="FC56" s="308"/>
      <c r="FD56" s="308"/>
      <c r="FE56" s="308"/>
      <c r="FF56" s="308"/>
      <c r="FG56" s="308"/>
      <c r="FH56" s="308"/>
      <c r="FI56" s="308"/>
      <c r="FJ56" s="308"/>
      <c r="FK56" s="308"/>
      <c r="FL56" s="308"/>
      <c r="FM56" s="308"/>
      <c r="FN56" s="308"/>
      <c r="FO56" s="308"/>
      <c r="FP56" s="308"/>
      <c r="FQ56" s="308"/>
      <c r="FR56" s="308"/>
      <c r="FS56" s="308"/>
      <c r="FT56" s="308"/>
      <c r="FU56" s="308"/>
      <c r="FV56" s="308"/>
      <c r="FW56" s="308"/>
      <c r="FX56" s="308"/>
      <c r="FY56" s="308"/>
      <c r="FZ56" s="308"/>
      <c r="GA56" s="308"/>
      <c r="GB56" s="308"/>
      <c r="GC56" s="308"/>
      <c r="GD56" s="308"/>
      <c r="GE56" s="308"/>
      <c r="GF56" s="308"/>
      <c r="GG56" s="308"/>
      <c r="GH56" s="308"/>
      <c r="GI56" s="308"/>
      <c r="GJ56" s="308"/>
      <c r="GK56" s="308"/>
      <c r="GL56" s="308"/>
      <c r="GM56" s="308"/>
      <c r="GN56" s="308"/>
      <c r="GO56" s="308"/>
      <c r="GP56" s="308"/>
      <c r="GQ56" s="308"/>
      <c r="GR56" s="308"/>
      <c r="GS56" s="308"/>
      <c r="GT56" s="308"/>
      <c r="GU56" s="308"/>
      <c r="GV56" s="308"/>
      <c r="GW56" s="308"/>
      <c r="GX56" s="308"/>
      <c r="GY56" s="308"/>
      <c r="GZ56" s="308"/>
      <c r="HA56" s="308"/>
      <c r="HB56" s="308"/>
      <c r="HC56" s="308"/>
      <c r="HD56" s="308"/>
      <c r="HE56" s="308"/>
      <c r="HF56" s="308"/>
      <c r="HG56" s="308"/>
      <c r="HH56" s="308"/>
      <c r="HI56" s="308"/>
      <c r="HJ56" s="308"/>
      <c r="HK56" s="308"/>
      <c r="HL56" s="308"/>
      <c r="HM56" s="308"/>
      <c r="HN56" s="308"/>
      <c r="HO56" s="308"/>
      <c r="HP56" s="308"/>
      <c r="HQ56" s="308"/>
      <c r="HR56" s="308"/>
      <c r="HS56" s="308"/>
      <c r="HT56" s="308"/>
      <c r="HU56" s="308"/>
      <c r="HV56" s="308"/>
      <c r="HW56" s="308"/>
      <c r="HX56" s="308"/>
      <c r="HY56" s="308"/>
      <c r="HZ56" s="308"/>
      <c r="IA56" s="308"/>
      <c r="IB56" s="308"/>
      <c r="IC56" s="308"/>
      <c r="ID56" s="308"/>
      <c r="IE56" s="308"/>
      <c r="IF56" s="308"/>
      <c r="IG56" s="308"/>
      <c r="IH56" s="308"/>
      <c r="II56" s="308"/>
      <c r="IJ56" s="308"/>
      <c r="IK56" s="308"/>
      <c r="IL56" s="308"/>
      <c r="IM56" s="308"/>
      <c r="IN56" s="308"/>
      <c r="IO56" s="308"/>
      <c r="IP56" s="308"/>
      <c r="IQ56" s="308"/>
      <c r="IR56" s="308"/>
      <c r="IS56" s="308"/>
      <c r="IT56" s="308"/>
      <c r="IU56" s="308"/>
      <c r="IV56" s="308"/>
      <c r="IW56" s="308"/>
      <c r="IX56" s="308"/>
      <c r="IY56" s="308"/>
      <c r="IZ56" s="308"/>
      <c r="JA56" s="308"/>
      <c r="JB56" s="308"/>
      <c r="JC56" s="308"/>
      <c r="JD56" s="308"/>
      <c r="JE56" s="308"/>
      <c r="JF56" s="308"/>
      <c r="JG56" s="308"/>
      <c r="JH56" s="308"/>
      <c r="JI56" s="308"/>
      <c r="JJ56" s="308"/>
      <c r="JK56" s="308"/>
      <c r="JL56" s="308"/>
      <c r="JM56" s="308"/>
      <c r="JN56" s="308"/>
      <c r="JO56" s="308"/>
      <c r="JP56" s="308"/>
      <c r="JQ56" s="308"/>
      <c r="JR56" s="308"/>
      <c r="JS56" s="308"/>
      <c r="JT56" s="308"/>
      <c r="JU56" s="308"/>
      <c r="JV56" s="308"/>
      <c r="JW56" s="308"/>
      <c r="JX56" s="308"/>
      <c r="JY56" s="308"/>
      <c r="JZ56" s="308"/>
      <c r="KA56" s="308"/>
      <c r="KB56" s="308"/>
      <c r="KC56" s="308"/>
      <c r="KD56" s="308"/>
      <c r="KE56" s="308"/>
      <c r="KF56" s="308"/>
      <c r="KG56" s="308"/>
      <c r="KH56" s="308"/>
      <c r="KI56" s="308"/>
      <c r="KJ56" s="308"/>
      <c r="KK56" s="308"/>
      <c r="KL56" s="308"/>
      <c r="KM56" s="308"/>
      <c r="KN56" s="308"/>
      <c r="KO56" s="308"/>
      <c r="KP56" s="308"/>
      <c r="KQ56" s="308"/>
      <c r="KR56" s="308"/>
      <c r="KS56" s="308"/>
      <c r="KT56" s="308"/>
      <c r="KU56" s="308"/>
      <c r="KV56" s="308"/>
      <c r="KW56" s="308"/>
      <c r="KX56" s="308"/>
      <c r="KY56" s="308"/>
      <c r="KZ56" s="308"/>
      <c r="LA56" s="308"/>
      <c r="LB56" s="308"/>
      <c r="LC56" s="308"/>
      <c r="LD56" s="308"/>
      <c r="LE56" s="308"/>
      <c r="LF56" s="308"/>
      <c r="LG56" s="308"/>
      <c r="LH56" s="308"/>
      <c r="LI56" s="308"/>
      <c r="LJ56" s="308"/>
      <c r="LK56" s="308"/>
      <c r="LL56" s="308"/>
      <c r="LM56" s="308"/>
      <c r="LN56" s="308"/>
      <c r="LO56" s="308"/>
      <c r="LP56" s="308"/>
      <c r="LQ56" s="308"/>
      <c r="LR56" s="308"/>
      <c r="LS56" s="308"/>
      <c r="LT56" s="308"/>
      <c r="LU56" s="308"/>
      <c r="LV56" s="308"/>
      <c r="LW56" s="308"/>
      <c r="LX56" s="308"/>
      <c r="LY56" s="308"/>
      <c r="LZ56" s="308"/>
      <c r="MA56" s="308"/>
      <c r="MB56" s="308"/>
      <c r="MC56" s="308"/>
      <c r="MD56" s="308"/>
      <c r="ME56" s="308"/>
      <c r="MF56" s="308"/>
      <c r="MG56" s="308"/>
      <c r="MH56" s="308"/>
      <c r="MI56" s="308"/>
      <c r="MJ56" s="308"/>
      <c r="MK56" s="308"/>
      <c r="ML56" s="308"/>
      <c r="MM56" s="308"/>
      <c r="MN56" s="308"/>
      <c r="MO56" s="308"/>
      <c r="MP56" s="308"/>
      <c r="MQ56" s="308"/>
      <c r="MR56" s="308"/>
      <c r="MS56" s="308"/>
      <c r="MT56" s="308"/>
      <c r="MU56" s="308"/>
      <c r="MV56" s="308"/>
      <c r="MW56" s="308"/>
      <c r="MX56" s="308"/>
      <c r="MY56" s="308"/>
      <c r="MZ56" s="308"/>
      <c r="NA56" s="308"/>
      <c r="NB56" s="308"/>
      <c r="NC56" s="308"/>
      <c r="ND56" s="308"/>
      <c r="NE56" s="308"/>
      <c r="NF56" s="308"/>
      <c r="NG56" s="308"/>
      <c r="NH56" s="308"/>
      <c r="NI56" s="308"/>
      <c r="NJ56" s="308"/>
      <c r="NK56" s="308"/>
      <c r="NL56" s="308"/>
      <c r="NM56" s="308"/>
      <c r="NN56" s="308"/>
      <c r="NO56" s="308"/>
      <c r="NP56" s="308"/>
      <c r="NQ56" s="308"/>
      <c r="NR56" s="308"/>
      <c r="NS56" s="308"/>
      <c r="NT56" s="308"/>
      <c r="NU56" s="308"/>
      <c r="NV56" s="308"/>
      <c r="NW56" s="308"/>
      <c r="NX56" s="308"/>
      <c r="NY56" s="308"/>
      <c r="NZ56" s="308"/>
      <c r="OA56" s="308"/>
      <c r="OB56" s="308"/>
      <c r="OC56" s="308"/>
      <c r="OD56" s="308"/>
      <c r="OE56" s="308"/>
      <c r="OF56" s="308"/>
      <c r="OG56" s="308"/>
      <c r="OH56" s="308"/>
      <c r="OI56" s="308"/>
      <c r="OJ56" s="308"/>
      <c r="OK56" s="308"/>
      <c r="OL56" s="308"/>
      <c r="OM56" s="308"/>
      <c r="ON56" s="308"/>
      <c r="OO56" s="308"/>
      <c r="OP56" s="308"/>
      <c r="OQ56" s="308"/>
      <c r="OR56" s="308"/>
      <c r="OS56" s="308"/>
      <c r="OT56" s="308"/>
      <c r="OU56" s="308"/>
      <c r="OV56" s="308"/>
      <c r="OW56" s="308"/>
      <c r="OX56" s="308"/>
      <c r="OY56" s="308"/>
      <c r="OZ56" s="308"/>
      <c r="PA56" s="308"/>
      <c r="PB56" s="308"/>
      <c r="PC56" s="308"/>
      <c r="PD56" s="308"/>
      <c r="PE56" s="308"/>
      <c r="PF56" s="308"/>
      <c r="PG56" s="308"/>
      <c r="PH56" s="308"/>
      <c r="PI56" s="308"/>
      <c r="PJ56" s="308"/>
      <c r="PK56" s="308"/>
      <c r="PL56" s="308"/>
      <c r="PM56" s="308"/>
      <c r="PN56" s="308"/>
      <c r="PO56" s="308"/>
      <c r="PP56" s="308"/>
      <c r="PQ56" s="308"/>
      <c r="PR56" s="308"/>
      <c r="PS56" s="308"/>
      <c r="PT56" s="308"/>
      <c r="PU56" s="308"/>
      <c r="PV56" s="308"/>
      <c r="PW56" s="308"/>
      <c r="PX56" s="308"/>
      <c r="PY56" s="308"/>
      <c r="PZ56" s="308"/>
      <c r="QA56" s="308"/>
      <c r="QB56" s="308"/>
      <c r="QC56" s="308"/>
      <c r="QD56" s="308"/>
      <c r="QE56" s="308"/>
      <c r="QF56" s="308"/>
      <c r="QG56" s="308"/>
      <c r="QH56" s="308"/>
      <c r="QI56" s="308"/>
      <c r="QJ56" s="308"/>
      <c r="QK56" s="308"/>
      <c r="QL56" s="308"/>
      <c r="QM56" s="308"/>
      <c r="QN56" s="308"/>
      <c r="QO56" s="308"/>
      <c r="QP56" s="308"/>
      <c r="QQ56" s="308"/>
      <c r="QR56" s="308"/>
      <c r="QS56" s="308"/>
      <c r="QT56" s="308"/>
      <c r="QU56" s="308"/>
      <c r="QV56" s="308"/>
      <c r="QW56" s="308"/>
      <c r="QX56" s="308"/>
      <c r="QY56" s="308"/>
      <c r="QZ56" s="308"/>
      <c r="RA56" s="308"/>
      <c r="RB56" s="308"/>
      <c r="RC56" s="308"/>
      <c r="RD56" s="308"/>
      <c r="RE56" s="308"/>
      <c r="RF56" s="308"/>
      <c r="RG56" s="308"/>
      <c r="RH56" s="308"/>
      <c r="RI56" s="308"/>
      <c r="RJ56" s="308"/>
      <c r="RK56" s="308"/>
      <c r="RL56" s="308"/>
      <c r="RM56" s="308"/>
      <c r="RN56" s="308"/>
      <c r="RO56" s="308"/>
      <c r="RP56" s="308"/>
      <c r="RQ56" s="308"/>
      <c r="RR56" s="308"/>
      <c r="RS56" s="308"/>
      <c r="RT56" s="308"/>
      <c r="RU56" s="308"/>
      <c r="RV56" s="308"/>
      <c r="RW56" s="308"/>
      <c r="RX56" s="308"/>
      <c r="RY56" s="308"/>
      <c r="RZ56" s="308"/>
      <c r="SA56" s="308"/>
      <c r="SB56" s="308"/>
      <c r="SC56" s="308"/>
      <c r="SD56" s="308"/>
      <c r="SE56" s="308"/>
      <c r="SF56" s="308"/>
      <c r="SG56" s="308"/>
      <c r="SH56" s="308"/>
      <c r="SI56" s="308"/>
      <c r="SJ56" s="308"/>
      <c r="SK56" s="308"/>
      <c r="SL56" s="308"/>
      <c r="SM56" s="308"/>
      <c r="SN56" s="308"/>
      <c r="SO56" s="308"/>
      <c r="SP56" s="308"/>
      <c r="SQ56" s="308"/>
      <c r="SR56" s="308"/>
      <c r="SS56" s="308"/>
      <c r="ST56" s="308"/>
      <c r="SU56" s="308"/>
      <c r="SV56" s="308"/>
      <c r="SW56" s="308"/>
      <c r="SX56" s="308"/>
      <c r="SY56" s="308"/>
      <c r="SZ56" s="308"/>
      <c r="TA56" s="308"/>
      <c r="TB56" s="308"/>
      <c r="TC56" s="308"/>
      <c r="TD56" s="308"/>
      <c r="TE56" s="308"/>
      <c r="TF56" s="308"/>
      <c r="TG56" s="308"/>
      <c r="TH56" s="308"/>
      <c r="TI56" s="308"/>
      <c r="TJ56" s="308"/>
      <c r="TK56" s="308"/>
      <c r="TL56" s="308"/>
      <c r="TM56" s="308"/>
      <c r="TN56" s="308"/>
      <c r="TO56" s="308"/>
      <c r="TP56" s="308"/>
      <c r="TQ56" s="308"/>
      <c r="TR56" s="308"/>
      <c r="TS56" s="308"/>
      <c r="TT56" s="308"/>
      <c r="TU56" s="308"/>
      <c r="TV56" s="308"/>
      <c r="TW56" s="308"/>
      <c r="TX56" s="308"/>
      <c r="TY56" s="308"/>
      <c r="TZ56" s="308"/>
      <c r="UA56" s="308"/>
      <c r="UB56" s="308"/>
      <c r="UC56" s="308"/>
      <c r="UD56" s="308"/>
      <c r="UE56" s="308"/>
      <c r="UF56" s="308"/>
      <c r="UG56" s="308"/>
      <c r="UH56" s="308"/>
      <c r="UI56" s="308"/>
      <c r="UJ56" s="308"/>
      <c r="UK56" s="308"/>
      <c r="UL56" s="308"/>
      <c r="UM56" s="308"/>
      <c r="UN56" s="308"/>
      <c r="UO56" s="308"/>
      <c r="UP56" s="308"/>
      <c r="UQ56" s="308"/>
      <c r="UR56" s="308"/>
      <c r="US56" s="308"/>
      <c r="UT56" s="308"/>
      <c r="UU56" s="308"/>
      <c r="UV56" s="308"/>
      <c r="UW56" s="308"/>
      <c r="UX56" s="308"/>
      <c r="UY56" s="308"/>
      <c r="UZ56" s="308"/>
      <c r="VA56" s="308"/>
      <c r="VB56" s="308"/>
      <c r="VC56" s="308"/>
      <c r="VD56" s="308"/>
      <c r="VE56" s="308"/>
      <c r="VF56" s="308"/>
      <c r="VG56" s="308"/>
      <c r="VH56" s="308"/>
      <c r="VI56" s="308"/>
      <c r="VJ56" s="308"/>
      <c r="VK56" s="308"/>
      <c r="VL56" s="308"/>
      <c r="VM56" s="308"/>
      <c r="VN56" s="308"/>
      <c r="VO56" s="308"/>
      <c r="VP56" s="308"/>
      <c r="VQ56" s="308"/>
      <c r="VR56" s="308"/>
      <c r="VS56" s="308"/>
      <c r="VT56" s="308"/>
      <c r="VU56" s="308"/>
      <c r="VV56" s="308"/>
      <c r="VW56" s="308"/>
      <c r="VX56" s="308"/>
      <c r="VY56" s="308"/>
      <c r="VZ56" s="308"/>
      <c r="WA56" s="308"/>
      <c r="WB56" s="308"/>
      <c r="WC56" s="308"/>
      <c r="WD56" s="308"/>
      <c r="WE56" s="308"/>
      <c r="WF56" s="308"/>
      <c r="WG56" s="308"/>
      <c r="WH56" s="308"/>
      <c r="WI56" s="308"/>
      <c r="WJ56" s="308"/>
      <c r="WK56" s="308"/>
      <c r="WL56" s="308"/>
      <c r="WM56" s="308"/>
      <c r="WN56" s="308"/>
      <c r="WO56" s="308"/>
      <c r="WP56" s="308"/>
      <c r="WQ56" s="308"/>
      <c r="WR56" s="308"/>
      <c r="WS56" s="308"/>
      <c r="WT56" s="308"/>
      <c r="WU56" s="308"/>
      <c r="WV56" s="308"/>
      <c r="WW56" s="308"/>
      <c r="WX56" s="308"/>
      <c r="WY56" s="308"/>
      <c r="WZ56" s="308"/>
      <c r="XA56" s="308"/>
      <c r="XB56" s="308"/>
      <c r="XC56" s="308"/>
      <c r="XD56" s="308"/>
      <c r="XE56" s="308"/>
      <c r="XF56" s="308"/>
      <c r="XG56" s="308"/>
      <c r="XH56" s="308"/>
      <c r="XI56" s="308"/>
      <c r="XJ56" s="308"/>
      <c r="XK56" s="308"/>
      <c r="XL56" s="308"/>
      <c r="XM56" s="308"/>
      <c r="XN56" s="308"/>
      <c r="XO56" s="308"/>
      <c r="XP56" s="308"/>
      <c r="XQ56" s="308"/>
      <c r="XR56" s="308"/>
      <c r="XS56" s="308"/>
      <c r="XT56" s="308"/>
      <c r="XU56" s="308"/>
      <c r="XV56" s="308"/>
      <c r="XW56" s="308"/>
      <c r="XX56" s="308"/>
      <c r="XY56" s="308"/>
      <c r="XZ56" s="308"/>
      <c r="YA56" s="308"/>
      <c r="YB56" s="308"/>
      <c r="YC56" s="308"/>
      <c r="YD56" s="308"/>
      <c r="YE56" s="308"/>
      <c r="YF56" s="308"/>
      <c r="YG56" s="308"/>
      <c r="YH56" s="308"/>
      <c r="YI56" s="308"/>
      <c r="YJ56" s="308"/>
      <c r="YK56" s="308"/>
      <c r="YL56" s="308"/>
      <c r="YM56" s="308"/>
      <c r="YN56" s="308"/>
      <c r="YO56" s="308"/>
      <c r="YP56" s="308"/>
      <c r="YQ56" s="308"/>
      <c r="YR56" s="308"/>
      <c r="YS56" s="308"/>
      <c r="YT56" s="308"/>
      <c r="YU56" s="308"/>
      <c r="YV56" s="308"/>
      <c r="YW56" s="308"/>
      <c r="YX56" s="308"/>
      <c r="YY56" s="308"/>
      <c r="YZ56" s="308"/>
      <c r="ZA56" s="308"/>
      <c r="ZB56" s="308"/>
      <c r="ZC56" s="308"/>
      <c r="ZD56" s="308"/>
      <c r="ZE56" s="308"/>
      <c r="ZF56" s="308"/>
      <c r="ZG56" s="308"/>
      <c r="ZH56" s="308"/>
      <c r="ZI56" s="308"/>
      <c r="ZJ56" s="308"/>
      <c r="ZK56" s="308"/>
      <c r="ZL56" s="308"/>
      <c r="ZM56" s="308"/>
      <c r="ZN56" s="308"/>
      <c r="ZO56" s="308"/>
      <c r="ZP56" s="308"/>
      <c r="ZQ56" s="308"/>
      <c r="ZR56" s="308"/>
      <c r="ZS56" s="308"/>
      <c r="ZT56" s="308"/>
      <c r="ZU56" s="308"/>
      <c r="ZV56" s="308"/>
      <c r="ZW56" s="308"/>
      <c r="ZX56" s="308"/>
      <c r="ZY56" s="308"/>
      <c r="ZZ56" s="308"/>
      <c r="AAA56" s="308"/>
      <c r="AAB56" s="308"/>
      <c r="AAC56" s="308"/>
      <c r="AAD56" s="308"/>
      <c r="AAE56" s="308"/>
      <c r="AAF56" s="308"/>
      <c r="AAG56" s="308"/>
      <c r="AAH56" s="308"/>
      <c r="AAI56" s="308"/>
      <c r="AAJ56" s="308"/>
      <c r="AAK56" s="308"/>
      <c r="AAL56" s="308"/>
      <c r="AAM56" s="308"/>
      <c r="AAN56" s="308"/>
      <c r="AAO56" s="308"/>
      <c r="AAP56" s="308"/>
      <c r="AAQ56" s="308"/>
      <c r="AAR56" s="308"/>
      <c r="AAS56" s="308"/>
      <c r="AAT56" s="308"/>
      <c r="AAU56" s="308"/>
      <c r="AAV56" s="308"/>
      <c r="AAW56" s="308"/>
      <c r="AAX56" s="308"/>
      <c r="AAY56" s="308"/>
      <c r="AAZ56" s="308"/>
      <c r="ABA56" s="308"/>
      <c r="ABB56" s="308"/>
      <c r="ABC56" s="308"/>
      <c r="ABD56" s="308"/>
      <c r="ABE56" s="308"/>
      <c r="ABF56" s="308"/>
      <c r="ABG56" s="308"/>
      <c r="ABH56" s="308"/>
      <c r="ABI56" s="308"/>
      <c r="ABJ56" s="308"/>
      <c r="ABK56" s="308"/>
      <c r="ABL56" s="308"/>
      <c r="ABM56" s="308"/>
      <c r="ABN56" s="308"/>
      <c r="ABO56" s="308"/>
      <c r="ABP56" s="308"/>
      <c r="ABQ56" s="308"/>
      <c r="ABR56" s="308"/>
      <c r="ABS56" s="308"/>
      <c r="ABT56" s="308"/>
      <c r="ABU56" s="308"/>
      <c r="ABV56" s="308"/>
      <c r="ABW56" s="308"/>
      <c r="ABX56" s="308"/>
      <c r="ABY56" s="308"/>
      <c r="ABZ56" s="308"/>
      <c r="ACA56" s="308"/>
      <c r="ACB56" s="308"/>
      <c r="ACC56" s="308"/>
      <c r="ACD56" s="308"/>
      <c r="ACE56" s="308"/>
      <c r="ACF56" s="308"/>
      <c r="ACG56" s="308"/>
      <c r="ACH56" s="308"/>
      <c r="ACI56" s="308"/>
      <c r="ACJ56" s="308"/>
      <c r="ACK56" s="308"/>
      <c r="ACL56" s="308"/>
      <c r="ACM56" s="308"/>
      <c r="ACN56" s="308"/>
      <c r="ACO56" s="308"/>
      <c r="ACP56" s="308"/>
      <c r="ACQ56" s="308"/>
      <c r="ACR56" s="308"/>
      <c r="ACS56" s="308"/>
      <c r="ACT56" s="308"/>
      <c r="ACU56" s="308"/>
      <c r="ACV56" s="308"/>
      <c r="ACW56" s="308"/>
      <c r="ACX56" s="308"/>
      <c r="ACY56" s="308"/>
      <c r="ACZ56" s="308"/>
      <c r="ADA56" s="308"/>
      <c r="ADB56" s="308"/>
      <c r="ADC56" s="308"/>
      <c r="ADD56" s="308"/>
      <c r="ADE56" s="308"/>
      <c r="ADF56" s="308"/>
      <c r="ADG56" s="308"/>
      <c r="ADH56" s="308"/>
      <c r="ADI56" s="308"/>
      <c r="ADJ56" s="308"/>
      <c r="ADK56" s="308"/>
      <c r="ADL56" s="308"/>
      <c r="ADM56" s="308"/>
      <c r="ADN56" s="308"/>
      <c r="ADO56" s="308"/>
      <c r="ADP56" s="308"/>
      <c r="ADQ56" s="308"/>
      <c r="ADR56" s="308"/>
      <c r="ADS56" s="308"/>
      <c r="ADT56" s="308"/>
      <c r="ADU56" s="308"/>
      <c r="ADV56" s="308"/>
      <c r="ADW56" s="308"/>
      <c r="ADX56" s="308"/>
      <c r="ADY56" s="308"/>
      <c r="ADZ56" s="308"/>
      <c r="AEA56" s="308"/>
      <c r="AEB56" s="308"/>
      <c r="AEC56" s="308"/>
      <c r="AED56" s="308"/>
      <c r="AEE56" s="308"/>
      <c r="AEF56" s="308"/>
      <c r="AEG56" s="308"/>
      <c r="AEH56" s="308"/>
      <c r="AEI56" s="308"/>
      <c r="AEJ56" s="308"/>
      <c r="AEK56" s="308"/>
      <c r="AEL56" s="308"/>
      <c r="AEM56" s="308"/>
      <c r="AEN56" s="308"/>
      <c r="AEO56" s="308"/>
      <c r="AEP56" s="308"/>
      <c r="AEQ56" s="308"/>
      <c r="AER56" s="308"/>
      <c r="AES56" s="308"/>
      <c r="AET56" s="308"/>
      <c r="AEU56" s="308"/>
      <c r="AEV56" s="308"/>
      <c r="AEW56" s="308"/>
      <c r="AEX56" s="308"/>
      <c r="AEY56" s="308"/>
      <c r="AEZ56" s="308"/>
      <c r="AFA56" s="308"/>
      <c r="AFB56" s="308"/>
      <c r="AFC56" s="308"/>
      <c r="AFD56" s="308"/>
      <c r="AFE56" s="308"/>
      <c r="AFF56" s="308"/>
      <c r="AFG56" s="308"/>
      <c r="AFH56" s="308"/>
      <c r="AFI56" s="308"/>
      <c r="AFJ56" s="308"/>
      <c r="AFK56" s="308"/>
      <c r="AFL56" s="308"/>
      <c r="AFM56" s="308"/>
      <c r="AFN56" s="308"/>
      <c r="AFO56" s="308"/>
      <c r="AFP56" s="308"/>
      <c r="AFQ56" s="308"/>
      <c r="AFR56" s="308"/>
      <c r="AFS56" s="308"/>
      <c r="AFT56" s="308"/>
      <c r="AFU56" s="308"/>
      <c r="AFV56" s="308"/>
      <c r="AFW56" s="308"/>
      <c r="AFX56" s="308"/>
      <c r="AFY56" s="308"/>
      <c r="AFZ56" s="308"/>
      <c r="AGA56" s="308"/>
      <c r="AGB56" s="308"/>
      <c r="AGC56" s="308"/>
      <c r="AGD56" s="308"/>
      <c r="AGE56" s="308"/>
      <c r="AGF56" s="308"/>
      <c r="AGG56" s="308"/>
      <c r="AGH56" s="308"/>
      <c r="AGI56" s="308"/>
      <c r="AGJ56" s="308"/>
      <c r="AGK56" s="308"/>
      <c r="AGL56" s="308"/>
      <c r="AGM56" s="308"/>
      <c r="AGN56" s="308"/>
      <c r="AGO56" s="308"/>
      <c r="AGP56" s="308"/>
      <c r="AGQ56" s="308"/>
      <c r="AGR56" s="308"/>
      <c r="AGS56" s="308"/>
      <c r="AGT56" s="308"/>
      <c r="AGU56" s="308"/>
      <c r="AGV56" s="308"/>
      <c r="AGW56" s="308"/>
      <c r="AGX56" s="308"/>
      <c r="AGY56" s="308"/>
      <c r="AGZ56" s="308"/>
      <c r="AHA56" s="308"/>
      <c r="AHB56" s="308"/>
      <c r="AHC56" s="308"/>
      <c r="AHD56" s="308"/>
      <c r="AHE56" s="308"/>
      <c r="AHF56" s="308"/>
      <c r="AHG56" s="308"/>
      <c r="AHH56" s="308"/>
      <c r="AHI56" s="308"/>
      <c r="AHJ56" s="308"/>
      <c r="AHK56" s="308"/>
      <c r="AHL56" s="308"/>
      <c r="AHM56" s="308"/>
      <c r="AHN56" s="308"/>
      <c r="AHO56" s="308"/>
      <c r="AHP56" s="308"/>
      <c r="AHQ56" s="308"/>
      <c r="AHR56" s="308"/>
      <c r="AHS56" s="308"/>
      <c r="AHT56" s="308"/>
      <c r="AHU56" s="308"/>
      <c r="AHV56" s="308"/>
      <c r="AHW56" s="308"/>
      <c r="AHX56" s="308"/>
      <c r="AHY56" s="308"/>
      <c r="AHZ56" s="308"/>
      <c r="AIA56" s="308"/>
      <c r="AIB56" s="308"/>
      <c r="AIC56" s="308"/>
      <c r="AID56" s="308"/>
      <c r="AIE56" s="308"/>
      <c r="AIF56" s="308"/>
      <c r="AIG56" s="308"/>
      <c r="AIH56" s="308"/>
      <c r="AII56" s="308"/>
      <c r="AIJ56" s="308"/>
      <c r="AIK56" s="308"/>
      <c r="AIL56" s="308"/>
      <c r="AIM56" s="308"/>
      <c r="AIN56" s="308"/>
      <c r="AIO56" s="308"/>
      <c r="AIP56" s="308"/>
      <c r="AIQ56" s="308"/>
      <c r="AIR56" s="308"/>
      <c r="AIS56" s="308"/>
      <c r="AIT56" s="308"/>
      <c r="AIU56" s="308"/>
      <c r="AIV56" s="308"/>
      <c r="AIW56" s="308"/>
      <c r="AIX56" s="308"/>
      <c r="AIY56" s="308"/>
      <c r="AIZ56" s="308"/>
      <c r="AJA56" s="308"/>
      <c r="AJB56" s="308"/>
      <c r="AJC56" s="308"/>
    </row>
    <row r="57" spans="1:940" s="546" customFormat="1">
      <c r="A57" s="113">
        <f t="shared" si="0"/>
        <v>50</v>
      </c>
      <c r="B57" s="116">
        <v>2010</v>
      </c>
      <c r="C57" s="113" t="s">
        <v>528</v>
      </c>
      <c r="D57" s="117">
        <v>8000000</v>
      </c>
      <c r="E57" s="117"/>
      <c r="F57" s="117">
        <f t="shared" si="1"/>
        <v>8000000</v>
      </c>
      <c r="G57" s="117"/>
      <c r="H57" s="117"/>
      <c r="I57" s="117"/>
      <c r="J57" s="117"/>
      <c r="K57" s="117"/>
      <c r="L57" s="117"/>
      <c r="M57" s="117"/>
      <c r="N57" s="117">
        <f>1000000-250000</f>
        <v>750000</v>
      </c>
      <c r="O57" s="117">
        <f t="shared" si="10"/>
        <v>7250000</v>
      </c>
      <c r="P57" s="117"/>
      <c r="Q57" s="117"/>
      <c r="R57" s="117"/>
      <c r="S57" s="117"/>
      <c r="T57" s="117"/>
      <c r="U57" s="117">
        <f t="shared" si="7"/>
        <v>750000</v>
      </c>
      <c r="V57" s="117">
        <f t="shared" si="8"/>
        <v>750000</v>
      </c>
      <c r="W57" s="543"/>
      <c r="X57" s="117"/>
      <c r="Y57" s="117"/>
      <c r="Z57" s="113"/>
      <c r="AA57" s="113">
        <v>742000</v>
      </c>
      <c r="AB57" s="117"/>
      <c r="AC57" s="117"/>
      <c r="AD57" s="117"/>
      <c r="AE57" s="117"/>
      <c r="AF57" s="117">
        <v>500000</v>
      </c>
      <c r="AG57" s="117"/>
      <c r="AH57" s="117"/>
      <c r="AI57" s="117"/>
      <c r="AJ57" s="117"/>
      <c r="AK57" s="117">
        <f t="shared" si="21"/>
        <v>500000</v>
      </c>
      <c r="AL57" s="117"/>
      <c r="AM57" s="566">
        <f t="shared" si="12"/>
        <v>500000</v>
      </c>
      <c r="AN57" s="117">
        <f t="shared" si="13"/>
        <v>250000</v>
      </c>
      <c r="AO57" s="117">
        <f t="shared" si="14"/>
        <v>500000</v>
      </c>
      <c r="AP57" s="565"/>
      <c r="AQ57" s="565"/>
      <c r="AR57" s="565"/>
      <c r="AS57" s="565"/>
      <c r="AT57" s="117">
        <f t="shared" si="15"/>
        <v>0</v>
      </c>
      <c r="AU57" s="565"/>
      <c r="AV57" s="565"/>
      <c r="AW57" s="565"/>
      <c r="AX57" s="565"/>
      <c r="AY57" s="117">
        <f t="shared" si="16"/>
        <v>250000</v>
      </c>
      <c r="AZ57" s="565"/>
      <c r="BA57" s="565"/>
      <c r="BB57" s="565"/>
      <c r="BC57" s="565"/>
      <c r="BD57" s="544"/>
      <c r="BE57" s="544"/>
      <c r="BF57" s="544"/>
      <c r="BG57" s="544"/>
      <c r="BH57" s="544"/>
      <c r="BI57" s="308"/>
      <c r="BJ57" s="308"/>
      <c r="BK57" s="308"/>
      <c r="BL57" s="308"/>
      <c r="BM57" s="308"/>
      <c r="BN57" s="308"/>
      <c r="BO57" s="308"/>
      <c r="BP57" s="308"/>
      <c r="BQ57" s="308"/>
      <c r="BR57" s="308"/>
      <c r="BS57" s="308"/>
      <c r="BT57" s="308"/>
      <c r="BU57" s="308"/>
      <c r="BV57" s="308"/>
      <c r="BW57" s="308"/>
      <c r="BX57" s="308"/>
      <c r="BY57" s="308"/>
      <c r="BZ57" s="308"/>
      <c r="CA57" s="308"/>
      <c r="CB57" s="308"/>
      <c r="CC57" s="308"/>
      <c r="CD57" s="308"/>
      <c r="CE57" s="308"/>
      <c r="CF57" s="308"/>
      <c r="CG57" s="308"/>
      <c r="CH57" s="308"/>
      <c r="CI57" s="308"/>
      <c r="CJ57" s="308"/>
      <c r="CK57" s="308"/>
      <c r="CL57" s="308"/>
      <c r="CM57" s="308"/>
      <c r="CN57" s="308"/>
      <c r="CO57" s="308"/>
      <c r="CP57" s="308"/>
      <c r="CQ57" s="308"/>
      <c r="CR57" s="308"/>
      <c r="CS57" s="308"/>
      <c r="CT57" s="308"/>
      <c r="CU57" s="308"/>
      <c r="CV57" s="308"/>
      <c r="CW57" s="308"/>
      <c r="CX57" s="308"/>
      <c r="CY57" s="308"/>
      <c r="CZ57" s="308"/>
      <c r="DA57" s="308"/>
      <c r="DB57" s="308"/>
      <c r="DC57" s="308"/>
      <c r="DD57" s="308"/>
      <c r="DE57" s="308"/>
      <c r="DF57" s="308"/>
      <c r="DG57" s="308"/>
      <c r="DH57" s="308"/>
      <c r="DI57" s="308"/>
      <c r="DJ57" s="308"/>
      <c r="DK57" s="308"/>
      <c r="DL57" s="308"/>
      <c r="DM57" s="308"/>
      <c r="DN57" s="308"/>
      <c r="DO57" s="308"/>
      <c r="DP57" s="308"/>
      <c r="DQ57" s="308"/>
      <c r="DR57" s="308"/>
      <c r="DS57" s="308"/>
      <c r="DT57" s="308"/>
      <c r="DU57" s="308"/>
      <c r="DV57" s="308"/>
      <c r="DW57" s="308"/>
      <c r="DX57" s="308"/>
      <c r="DY57" s="308"/>
      <c r="DZ57" s="308"/>
      <c r="EA57" s="308"/>
      <c r="EB57" s="308"/>
      <c r="EC57" s="308"/>
      <c r="ED57" s="308"/>
      <c r="EE57" s="308"/>
      <c r="EF57" s="308"/>
      <c r="EG57" s="308"/>
      <c r="EH57" s="308"/>
      <c r="EI57" s="308"/>
      <c r="EJ57" s="308"/>
      <c r="EK57" s="308"/>
      <c r="EL57" s="308"/>
      <c r="EM57" s="308"/>
      <c r="EN57" s="308"/>
      <c r="EO57" s="308"/>
      <c r="EP57" s="308"/>
      <c r="EQ57" s="308"/>
      <c r="ER57" s="308"/>
      <c r="ES57" s="308"/>
      <c r="ET57" s="308"/>
      <c r="EU57" s="308"/>
      <c r="EV57" s="308"/>
      <c r="EW57" s="308"/>
      <c r="EX57" s="308"/>
      <c r="EY57" s="308"/>
      <c r="EZ57" s="308"/>
      <c r="FA57" s="308"/>
      <c r="FB57" s="308"/>
      <c r="FC57" s="308"/>
      <c r="FD57" s="308"/>
      <c r="FE57" s="308"/>
      <c r="FF57" s="308"/>
      <c r="FG57" s="308"/>
      <c r="FH57" s="308"/>
      <c r="FI57" s="308"/>
      <c r="FJ57" s="308"/>
      <c r="FK57" s="308"/>
      <c r="FL57" s="308"/>
      <c r="FM57" s="308"/>
      <c r="FN57" s="308"/>
      <c r="FO57" s="308"/>
      <c r="FP57" s="308"/>
      <c r="FQ57" s="308"/>
      <c r="FR57" s="308"/>
      <c r="FS57" s="308"/>
      <c r="FT57" s="308"/>
      <c r="FU57" s="308"/>
      <c r="FV57" s="308"/>
      <c r="FW57" s="308"/>
      <c r="FX57" s="308"/>
      <c r="FY57" s="308"/>
      <c r="FZ57" s="308"/>
      <c r="GA57" s="308"/>
      <c r="GB57" s="308"/>
      <c r="GC57" s="308"/>
      <c r="GD57" s="308"/>
      <c r="GE57" s="308"/>
      <c r="GF57" s="308"/>
      <c r="GG57" s="308"/>
      <c r="GH57" s="308"/>
      <c r="GI57" s="308"/>
      <c r="GJ57" s="308"/>
      <c r="GK57" s="308"/>
      <c r="GL57" s="308"/>
      <c r="GM57" s="308"/>
      <c r="GN57" s="308"/>
      <c r="GO57" s="308"/>
      <c r="GP57" s="308"/>
      <c r="GQ57" s="308"/>
      <c r="GR57" s="308"/>
      <c r="GS57" s="308"/>
      <c r="GT57" s="308"/>
      <c r="GU57" s="308"/>
      <c r="GV57" s="308"/>
      <c r="GW57" s="308"/>
      <c r="GX57" s="308"/>
      <c r="GY57" s="308"/>
      <c r="GZ57" s="308"/>
      <c r="HA57" s="308"/>
      <c r="HB57" s="308"/>
      <c r="HC57" s="308"/>
      <c r="HD57" s="308"/>
      <c r="HE57" s="308"/>
      <c r="HF57" s="308"/>
      <c r="HG57" s="308"/>
      <c r="HH57" s="308"/>
      <c r="HI57" s="308"/>
      <c r="HJ57" s="308"/>
      <c r="HK57" s="308"/>
      <c r="HL57" s="308"/>
      <c r="HM57" s="308"/>
      <c r="HN57" s="308"/>
      <c r="HO57" s="308"/>
      <c r="HP57" s="308"/>
      <c r="HQ57" s="308"/>
      <c r="HR57" s="308"/>
      <c r="HS57" s="308"/>
      <c r="HT57" s="308"/>
      <c r="HU57" s="308"/>
      <c r="HV57" s="308"/>
      <c r="HW57" s="308"/>
      <c r="HX57" s="308"/>
      <c r="HY57" s="308"/>
      <c r="HZ57" s="308"/>
      <c r="IA57" s="308"/>
      <c r="IB57" s="308"/>
      <c r="IC57" s="308"/>
      <c r="ID57" s="308"/>
      <c r="IE57" s="308"/>
      <c r="IF57" s="308"/>
      <c r="IG57" s="308"/>
      <c r="IH57" s="308"/>
      <c r="II57" s="308"/>
      <c r="IJ57" s="308"/>
      <c r="IK57" s="308"/>
      <c r="IL57" s="308"/>
      <c r="IM57" s="308"/>
      <c r="IN57" s="308"/>
      <c r="IO57" s="308"/>
      <c r="IP57" s="308"/>
      <c r="IQ57" s="308"/>
      <c r="IR57" s="308"/>
      <c r="IS57" s="308"/>
      <c r="IT57" s="308"/>
      <c r="IU57" s="308"/>
      <c r="IV57" s="308"/>
      <c r="IW57" s="308"/>
      <c r="IX57" s="308"/>
      <c r="IY57" s="308"/>
      <c r="IZ57" s="308"/>
      <c r="JA57" s="308"/>
      <c r="JB57" s="308"/>
      <c r="JC57" s="308"/>
      <c r="JD57" s="308"/>
      <c r="JE57" s="308"/>
      <c r="JF57" s="308"/>
      <c r="JG57" s="308"/>
      <c r="JH57" s="308"/>
      <c r="JI57" s="308"/>
      <c r="JJ57" s="308"/>
      <c r="JK57" s="308"/>
      <c r="JL57" s="308"/>
      <c r="JM57" s="308"/>
      <c r="JN57" s="308"/>
      <c r="JO57" s="308"/>
      <c r="JP57" s="308"/>
      <c r="JQ57" s="308"/>
      <c r="JR57" s="308"/>
      <c r="JS57" s="308"/>
      <c r="JT57" s="308"/>
      <c r="JU57" s="308"/>
      <c r="JV57" s="308"/>
      <c r="JW57" s="308"/>
      <c r="JX57" s="308"/>
      <c r="JY57" s="308"/>
      <c r="JZ57" s="308"/>
      <c r="KA57" s="308"/>
      <c r="KB57" s="308"/>
      <c r="KC57" s="308"/>
      <c r="KD57" s="308"/>
      <c r="KE57" s="308"/>
      <c r="KF57" s="308"/>
      <c r="KG57" s="308"/>
      <c r="KH57" s="308"/>
      <c r="KI57" s="308"/>
      <c r="KJ57" s="308"/>
      <c r="KK57" s="308"/>
      <c r="KL57" s="308"/>
      <c r="KM57" s="308"/>
      <c r="KN57" s="308"/>
      <c r="KO57" s="308"/>
      <c r="KP57" s="308"/>
      <c r="KQ57" s="308"/>
      <c r="KR57" s="308"/>
      <c r="KS57" s="308"/>
      <c r="KT57" s="308"/>
      <c r="KU57" s="308"/>
      <c r="KV57" s="308"/>
      <c r="KW57" s="308"/>
      <c r="KX57" s="308"/>
      <c r="KY57" s="308"/>
      <c r="KZ57" s="308"/>
      <c r="LA57" s="308"/>
      <c r="LB57" s="308"/>
      <c r="LC57" s="308"/>
      <c r="LD57" s="308"/>
      <c r="LE57" s="308"/>
      <c r="LF57" s="308"/>
      <c r="LG57" s="308"/>
      <c r="LH57" s="308"/>
      <c r="LI57" s="308"/>
      <c r="LJ57" s="308"/>
      <c r="LK57" s="308"/>
      <c r="LL57" s="308"/>
      <c r="LM57" s="308"/>
      <c r="LN57" s="308"/>
      <c r="LO57" s="308"/>
      <c r="LP57" s="308"/>
      <c r="LQ57" s="308"/>
      <c r="LR57" s="308"/>
      <c r="LS57" s="308"/>
      <c r="LT57" s="308"/>
      <c r="LU57" s="308"/>
      <c r="LV57" s="308"/>
      <c r="LW57" s="308"/>
      <c r="LX57" s="308"/>
      <c r="LY57" s="308"/>
      <c r="LZ57" s="308"/>
      <c r="MA57" s="308"/>
      <c r="MB57" s="308"/>
      <c r="MC57" s="308"/>
      <c r="MD57" s="308"/>
      <c r="ME57" s="308"/>
      <c r="MF57" s="308"/>
      <c r="MG57" s="308"/>
      <c r="MH57" s="308"/>
      <c r="MI57" s="308"/>
      <c r="MJ57" s="308"/>
      <c r="MK57" s="308"/>
      <c r="ML57" s="308"/>
      <c r="MM57" s="308"/>
      <c r="MN57" s="308"/>
      <c r="MO57" s="308"/>
      <c r="MP57" s="308"/>
      <c r="MQ57" s="308"/>
      <c r="MR57" s="308"/>
      <c r="MS57" s="308"/>
      <c r="MT57" s="308"/>
      <c r="MU57" s="308"/>
      <c r="MV57" s="308"/>
      <c r="MW57" s="308"/>
      <c r="MX57" s="308"/>
      <c r="MY57" s="308"/>
      <c r="MZ57" s="308"/>
      <c r="NA57" s="308"/>
      <c r="NB57" s="308"/>
      <c r="NC57" s="308"/>
      <c r="ND57" s="308"/>
      <c r="NE57" s="308"/>
      <c r="NF57" s="308"/>
      <c r="NG57" s="308"/>
      <c r="NH57" s="308"/>
      <c r="NI57" s="308"/>
      <c r="NJ57" s="308"/>
      <c r="NK57" s="308"/>
      <c r="NL57" s="308"/>
      <c r="NM57" s="308"/>
      <c r="NN57" s="308"/>
      <c r="NO57" s="308"/>
      <c r="NP57" s="308"/>
      <c r="NQ57" s="308"/>
      <c r="NR57" s="308"/>
      <c r="NS57" s="308"/>
      <c r="NT57" s="308"/>
      <c r="NU57" s="308"/>
      <c r="NV57" s="308"/>
      <c r="NW57" s="308"/>
      <c r="NX57" s="308"/>
      <c r="NY57" s="308"/>
      <c r="NZ57" s="308"/>
      <c r="OA57" s="308"/>
      <c r="OB57" s="308"/>
      <c r="OC57" s="308"/>
      <c r="OD57" s="308"/>
      <c r="OE57" s="308"/>
      <c r="OF57" s="308"/>
      <c r="OG57" s="308"/>
      <c r="OH57" s="308"/>
      <c r="OI57" s="308"/>
      <c r="OJ57" s="308"/>
      <c r="OK57" s="308"/>
      <c r="OL57" s="308"/>
      <c r="OM57" s="308"/>
      <c r="ON57" s="308"/>
      <c r="OO57" s="308"/>
      <c r="OP57" s="308"/>
      <c r="OQ57" s="308"/>
      <c r="OR57" s="308"/>
      <c r="OS57" s="308"/>
      <c r="OT57" s="308"/>
      <c r="OU57" s="308"/>
      <c r="OV57" s="308"/>
      <c r="OW57" s="308"/>
      <c r="OX57" s="308"/>
      <c r="OY57" s="308"/>
      <c r="OZ57" s="308"/>
      <c r="PA57" s="308"/>
      <c r="PB57" s="308"/>
      <c r="PC57" s="308"/>
      <c r="PD57" s="308"/>
      <c r="PE57" s="308"/>
      <c r="PF57" s="308"/>
      <c r="PG57" s="308"/>
      <c r="PH57" s="308"/>
      <c r="PI57" s="308"/>
      <c r="PJ57" s="308"/>
      <c r="PK57" s="308"/>
      <c r="PL57" s="308"/>
      <c r="PM57" s="308"/>
      <c r="PN57" s="308"/>
      <c r="PO57" s="308"/>
      <c r="PP57" s="308"/>
      <c r="PQ57" s="308"/>
      <c r="PR57" s="308"/>
      <c r="PS57" s="308"/>
      <c r="PT57" s="308"/>
      <c r="PU57" s="308"/>
      <c r="PV57" s="308"/>
      <c r="PW57" s="308"/>
      <c r="PX57" s="308"/>
      <c r="PY57" s="308"/>
      <c r="PZ57" s="308"/>
      <c r="QA57" s="308"/>
      <c r="QB57" s="308"/>
      <c r="QC57" s="308"/>
      <c r="QD57" s="308"/>
      <c r="QE57" s="308"/>
      <c r="QF57" s="308"/>
      <c r="QG57" s="308"/>
      <c r="QH57" s="308"/>
      <c r="QI57" s="308"/>
      <c r="QJ57" s="308"/>
      <c r="QK57" s="308"/>
      <c r="QL57" s="308"/>
      <c r="QM57" s="308"/>
      <c r="QN57" s="308"/>
      <c r="QO57" s="308"/>
      <c r="QP57" s="308"/>
      <c r="QQ57" s="308"/>
      <c r="QR57" s="308"/>
      <c r="QS57" s="308"/>
      <c r="QT57" s="308"/>
      <c r="QU57" s="308"/>
      <c r="QV57" s="308"/>
      <c r="QW57" s="308"/>
      <c r="QX57" s="308"/>
      <c r="QY57" s="308"/>
      <c r="QZ57" s="308"/>
      <c r="RA57" s="308"/>
      <c r="RB57" s="308"/>
      <c r="RC57" s="308"/>
      <c r="RD57" s="308"/>
      <c r="RE57" s="308"/>
      <c r="RF57" s="308"/>
      <c r="RG57" s="308"/>
      <c r="RH57" s="308"/>
      <c r="RI57" s="308"/>
      <c r="RJ57" s="308"/>
      <c r="RK57" s="308"/>
      <c r="RL57" s="308"/>
      <c r="RM57" s="308"/>
      <c r="RN57" s="308"/>
      <c r="RO57" s="308"/>
      <c r="RP57" s="308"/>
      <c r="RQ57" s="308"/>
      <c r="RR57" s="308"/>
      <c r="RS57" s="308"/>
      <c r="RT57" s="308"/>
      <c r="RU57" s="308"/>
      <c r="RV57" s="308"/>
      <c r="RW57" s="308"/>
      <c r="RX57" s="308"/>
      <c r="RY57" s="308"/>
      <c r="RZ57" s="308"/>
      <c r="SA57" s="308"/>
      <c r="SB57" s="308"/>
      <c r="SC57" s="308"/>
      <c r="SD57" s="308"/>
      <c r="SE57" s="308"/>
      <c r="SF57" s="308"/>
      <c r="SG57" s="308"/>
      <c r="SH57" s="308"/>
      <c r="SI57" s="308"/>
      <c r="SJ57" s="308"/>
      <c r="SK57" s="308"/>
      <c r="SL57" s="308"/>
      <c r="SM57" s="308"/>
      <c r="SN57" s="308"/>
      <c r="SO57" s="308"/>
      <c r="SP57" s="308"/>
      <c r="SQ57" s="308"/>
      <c r="SR57" s="308"/>
      <c r="SS57" s="308"/>
      <c r="ST57" s="308"/>
      <c r="SU57" s="308"/>
      <c r="SV57" s="308"/>
      <c r="SW57" s="308"/>
      <c r="SX57" s="308"/>
      <c r="SY57" s="308"/>
      <c r="SZ57" s="308"/>
      <c r="TA57" s="308"/>
      <c r="TB57" s="308"/>
      <c r="TC57" s="308"/>
      <c r="TD57" s="308"/>
      <c r="TE57" s="308"/>
      <c r="TF57" s="308"/>
      <c r="TG57" s="308"/>
      <c r="TH57" s="308"/>
      <c r="TI57" s="308"/>
      <c r="TJ57" s="308"/>
      <c r="TK57" s="308"/>
      <c r="TL57" s="308"/>
      <c r="TM57" s="308"/>
      <c r="TN57" s="308"/>
      <c r="TO57" s="308"/>
      <c r="TP57" s="308"/>
      <c r="TQ57" s="308"/>
      <c r="TR57" s="308"/>
      <c r="TS57" s="308"/>
      <c r="TT57" s="308"/>
      <c r="TU57" s="308"/>
      <c r="TV57" s="308"/>
      <c r="TW57" s="308"/>
      <c r="TX57" s="308"/>
      <c r="TY57" s="308"/>
      <c r="TZ57" s="308"/>
      <c r="UA57" s="308"/>
      <c r="UB57" s="308"/>
      <c r="UC57" s="308"/>
      <c r="UD57" s="308"/>
      <c r="UE57" s="308"/>
      <c r="UF57" s="308"/>
      <c r="UG57" s="308"/>
      <c r="UH57" s="308"/>
      <c r="UI57" s="308"/>
      <c r="UJ57" s="308"/>
      <c r="UK57" s="308"/>
      <c r="UL57" s="308"/>
      <c r="UM57" s="308"/>
      <c r="UN57" s="308"/>
      <c r="UO57" s="308"/>
      <c r="UP57" s="308"/>
      <c r="UQ57" s="308"/>
      <c r="UR57" s="308"/>
      <c r="US57" s="308"/>
      <c r="UT57" s="308"/>
      <c r="UU57" s="308"/>
      <c r="UV57" s="308"/>
      <c r="UW57" s="308"/>
      <c r="UX57" s="308"/>
      <c r="UY57" s="308"/>
      <c r="UZ57" s="308"/>
      <c r="VA57" s="308"/>
      <c r="VB57" s="308"/>
      <c r="VC57" s="308"/>
      <c r="VD57" s="308"/>
      <c r="VE57" s="308"/>
      <c r="VF57" s="308"/>
      <c r="VG57" s="308"/>
      <c r="VH57" s="308"/>
      <c r="VI57" s="308"/>
      <c r="VJ57" s="308"/>
      <c r="VK57" s="308"/>
      <c r="VL57" s="308"/>
      <c r="VM57" s="308"/>
      <c r="VN57" s="308"/>
      <c r="VO57" s="308"/>
      <c r="VP57" s="308"/>
      <c r="VQ57" s="308"/>
      <c r="VR57" s="308"/>
      <c r="VS57" s="308"/>
      <c r="VT57" s="308"/>
      <c r="VU57" s="308"/>
      <c r="VV57" s="308"/>
      <c r="VW57" s="308"/>
      <c r="VX57" s="308"/>
      <c r="VY57" s="308"/>
      <c r="VZ57" s="308"/>
      <c r="WA57" s="308"/>
      <c r="WB57" s="308"/>
      <c r="WC57" s="308"/>
      <c r="WD57" s="308"/>
      <c r="WE57" s="308"/>
      <c r="WF57" s="308"/>
      <c r="WG57" s="308"/>
      <c r="WH57" s="308"/>
      <c r="WI57" s="308"/>
      <c r="WJ57" s="308"/>
      <c r="WK57" s="308"/>
      <c r="WL57" s="308"/>
      <c r="WM57" s="308"/>
      <c r="WN57" s="308"/>
      <c r="WO57" s="308"/>
      <c r="WP57" s="308"/>
      <c r="WQ57" s="308"/>
      <c r="WR57" s="308"/>
      <c r="WS57" s="308"/>
      <c r="WT57" s="308"/>
      <c r="WU57" s="308"/>
      <c r="WV57" s="308"/>
      <c r="WW57" s="308"/>
      <c r="WX57" s="308"/>
      <c r="WY57" s="308"/>
      <c r="WZ57" s="308"/>
      <c r="XA57" s="308"/>
      <c r="XB57" s="308"/>
      <c r="XC57" s="308"/>
      <c r="XD57" s="308"/>
      <c r="XE57" s="308"/>
      <c r="XF57" s="308"/>
      <c r="XG57" s="308"/>
      <c r="XH57" s="308"/>
      <c r="XI57" s="308"/>
      <c r="XJ57" s="308"/>
      <c r="XK57" s="308"/>
      <c r="XL57" s="308"/>
      <c r="XM57" s="308"/>
      <c r="XN57" s="308"/>
      <c r="XO57" s="308"/>
      <c r="XP57" s="308"/>
      <c r="XQ57" s="308"/>
      <c r="XR57" s="308"/>
      <c r="XS57" s="308"/>
      <c r="XT57" s="308"/>
      <c r="XU57" s="308"/>
      <c r="XV57" s="308"/>
      <c r="XW57" s="308"/>
      <c r="XX57" s="308"/>
      <c r="XY57" s="308"/>
      <c r="XZ57" s="308"/>
      <c r="YA57" s="308"/>
      <c r="YB57" s="308"/>
      <c r="YC57" s="308"/>
      <c r="YD57" s="308"/>
      <c r="YE57" s="308"/>
      <c r="YF57" s="308"/>
      <c r="YG57" s="308"/>
      <c r="YH57" s="308"/>
      <c r="YI57" s="308"/>
      <c r="YJ57" s="308"/>
      <c r="YK57" s="308"/>
      <c r="YL57" s="308"/>
      <c r="YM57" s="308"/>
      <c r="YN57" s="308"/>
      <c r="YO57" s="308"/>
      <c r="YP57" s="308"/>
      <c r="YQ57" s="308"/>
      <c r="YR57" s="308"/>
      <c r="YS57" s="308"/>
      <c r="YT57" s="308"/>
      <c r="YU57" s="308"/>
      <c r="YV57" s="308"/>
      <c r="YW57" s="308"/>
      <c r="YX57" s="308"/>
      <c r="YY57" s="308"/>
      <c r="YZ57" s="308"/>
      <c r="ZA57" s="308"/>
      <c r="ZB57" s="308"/>
      <c r="ZC57" s="308"/>
      <c r="ZD57" s="308"/>
      <c r="ZE57" s="308"/>
      <c r="ZF57" s="308"/>
      <c r="ZG57" s="308"/>
      <c r="ZH57" s="308"/>
      <c r="ZI57" s="308"/>
      <c r="ZJ57" s="308"/>
      <c r="ZK57" s="308"/>
      <c r="ZL57" s="308"/>
      <c r="ZM57" s="308"/>
      <c r="ZN57" s="308"/>
      <c r="ZO57" s="308"/>
      <c r="ZP57" s="308"/>
      <c r="ZQ57" s="308"/>
      <c r="ZR57" s="308"/>
      <c r="ZS57" s="308"/>
      <c r="ZT57" s="308"/>
      <c r="ZU57" s="308"/>
      <c r="ZV57" s="308"/>
      <c r="ZW57" s="308"/>
      <c r="ZX57" s="308"/>
      <c r="ZY57" s="308"/>
      <c r="ZZ57" s="308"/>
      <c r="AAA57" s="308"/>
      <c r="AAB57" s="308"/>
      <c r="AAC57" s="308"/>
      <c r="AAD57" s="308"/>
      <c r="AAE57" s="308"/>
      <c r="AAF57" s="308"/>
      <c r="AAG57" s="308"/>
      <c r="AAH57" s="308"/>
      <c r="AAI57" s="308"/>
      <c r="AAJ57" s="308"/>
      <c r="AAK57" s="308"/>
      <c r="AAL57" s="308"/>
      <c r="AAM57" s="308"/>
      <c r="AAN57" s="308"/>
      <c r="AAO57" s="308"/>
      <c r="AAP57" s="308"/>
      <c r="AAQ57" s="308"/>
      <c r="AAR57" s="308"/>
      <c r="AAS57" s="308"/>
      <c r="AAT57" s="308"/>
      <c r="AAU57" s="308"/>
      <c r="AAV57" s="308"/>
      <c r="AAW57" s="308"/>
      <c r="AAX57" s="308"/>
      <c r="AAY57" s="308"/>
      <c r="AAZ57" s="308"/>
      <c r="ABA57" s="308"/>
      <c r="ABB57" s="308"/>
      <c r="ABC57" s="308"/>
      <c r="ABD57" s="308"/>
      <c r="ABE57" s="308"/>
      <c r="ABF57" s="308"/>
      <c r="ABG57" s="308"/>
      <c r="ABH57" s="308"/>
      <c r="ABI57" s="308"/>
      <c r="ABJ57" s="308"/>
      <c r="ABK57" s="308"/>
      <c r="ABL57" s="308"/>
      <c r="ABM57" s="308"/>
      <c r="ABN57" s="308"/>
      <c r="ABO57" s="308"/>
      <c r="ABP57" s="308"/>
      <c r="ABQ57" s="308"/>
      <c r="ABR57" s="308"/>
      <c r="ABS57" s="308"/>
      <c r="ABT57" s="308"/>
      <c r="ABU57" s="308"/>
      <c r="ABV57" s="308"/>
      <c r="ABW57" s="308"/>
      <c r="ABX57" s="308"/>
      <c r="ABY57" s="308"/>
      <c r="ABZ57" s="308"/>
      <c r="ACA57" s="308"/>
      <c r="ACB57" s="308"/>
      <c r="ACC57" s="308"/>
      <c r="ACD57" s="308"/>
      <c r="ACE57" s="308"/>
      <c r="ACF57" s="308"/>
      <c r="ACG57" s="308"/>
      <c r="ACH57" s="308"/>
      <c r="ACI57" s="308"/>
      <c r="ACJ57" s="308"/>
      <c r="ACK57" s="308"/>
      <c r="ACL57" s="308"/>
      <c r="ACM57" s="308"/>
      <c r="ACN57" s="308"/>
      <c r="ACO57" s="308"/>
      <c r="ACP57" s="308"/>
      <c r="ACQ57" s="308"/>
      <c r="ACR57" s="308"/>
      <c r="ACS57" s="308"/>
      <c r="ACT57" s="308"/>
      <c r="ACU57" s="308"/>
      <c r="ACV57" s="308"/>
      <c r="ACW57" s="308"/>
      <c r="ACX57" s="308"/>
      <c r="ACY57" s="308"/>
      <c r="ACZ57" s="308"/>
      <c r="ADA57" s="308"/>
      <c r="ADB57" s="308"/>
      <c r="ADC57" s="308"/>
      <c r="ADD57" s="308"/>
      <c r="ADE57" s="308"/>
      <c r="ADF57" s="308"/>
      <c r="ADG57" s="308"/>
      <c r="ADH57" s="308"/>
      <c r="ADI57" s="308"/>
      <c r="ADJ57" s="308"/>
      <c r="ADK57" s="308"/>
      <c r="ADL57" s="308"/>
      <c r="ADM57" s="308"/>
      <c r="ADN57" s="308"/>
      <c r="ADO57" s="308"/>
      <c r="ADP57" s="308"/>
      <c r="ADQ57" s="308"/>
      <c r="ADR57" s="308"/>
      <c r="ADS57" s="308"/>
      <c r="ADT57" s="308"/>
      <c r="ADU57" s="308"/>
      <c r="ADV57" s="308"/>
      <c r="ADW57" s="308"/>
      <c r="ADX57" s="308"/>
      <c r="ADY57" s="308"/>
      <c r="ADZ57" s="308"/>
      <c r="AEA57" s="308"/>
      <c r="AEB57" s="308"/>
      <c r="AEC57" s="308"/>
      <c r="AED57" s="308"/>
      <c r="AEE57" s="308"/>
      <c r="AEF57" s="308"/>
      <c r="AEG57" s="308"/>
      <c r="AEH57" s="308"/>
      <c r="AEI57" s="308"/>
      <c r="AEJ57" s="308"/>
      <c r="AEK57" s="308"/>
      <c r="AEL57" s="308"/>
      <c r="AEM57" s="308"/>
      <c r="AEN57" s="308"/>
      <c r="AEO57" s="308"/>
      <c r="AEP57" s="308"/>
      <c r="AEQ57" s="308"/>
      <c r="AER57" s="308"/>
      <c r="AES57" s="308"/>
      <c r="AET57" s="308"/>
      <c r="AEU57" s="308"/>
      <c r="AEV57" s="308"/>
      <c r="AEW57" s="308"/>
      <c r="AEX57" s="308"/>
      <c r="AEY57" s="308"/>
      <c r="AEZ57" s="308"/>
      <c r="AFA57" s="308"/>
      <c r="AFB57" s="308"/>
      <c r="AFC57" s="308"/>
      <c r="AFD57" s="308"/>
      <c r="AFE57" s="308"/>
      <c r="AFF57" s="308"/>
      <c r="AFG57" s="308"/>
      <c r="AFH57" s="308"/>
      <c r="AFI57" s="308"/>
      <c r="AFJ57" s="308"/>
      <c r="AFK57" s="308"/>
      <c r="AFL57" s="308"/>
      <c r="AFM57" s="308"/>
      <c r="AFN57" s="308"/>
      <c r="AFO57" s="308"/>
      <c r="AFP57" s="308"/>
      <c r="AFQ57" s="308"/>
      <c r="AFR57" s="308"/>
      <c r="AFS57" s="308"/>
      <c r="AFT57" s="308"/>
      <c r="AFU57" s="308"/>
      <c r="AFV57" s="308"/>
      <c r="AFW57" s="308"/>
      <c r="AFX57" s="308"/>
      <c r="AFY57" s="308"/>
      <c r="AFZ57" s="308"/>
      <c r="AGA57" s="308"/>
      <c r="AGB57" s="308"/>
      <c r="AGC57" s="308"/>
      <c r="AGD57" s="308"/>
      <c r="AGE57" s="308"/>
      <c r="AGF57" s="308"/>
      <c r="AGG57" s="308"/>
      <c r="AGH57" s="308"/>
      <c r="AGI57" s="308"/>
      <c r="AGJ57" s="308"/>
      <c r="AGK57" s="308"/>
      <c r="AGL57" s="308"/>
      <c r="AGM57" s="308"/>
      <c r="AGN57" s="308"/>
      <c r="AGO57" s="308"/>
      <c r="AGP57" s="308"/>
      <c r="AGQ57" s="308"/>
      <c r="AGR57" s="308"/>
      <c r="AGS57" s="308"/>
      <c r="AGT57" s="308"/>
      <c r="AGU57" s="308"/>
      <c r="AGV57" s="308"/>
      <c r="AGW57" s="308"/>
      <c r="AGX57" s="308"/>
      <c r="AGY57" s="308"/>
      <c r="AGZ57" s="308"/>
      <c r="AHA57" s="308"/>
      <c r="AHB57" s="308"/>
      <c r="AHC57" s="308"/>
      <c r="AHD57" s="308"/>
      <c r="AHE57" s="308"/>
      <c r="AHF57" s="308"/>
      <c r="AHG57" s="308"/>
      <c r="AHH57" s="308"/>
      <c r="AHI57" s="308"/>
      <c r="AHJ57" s="308"/>
      <c r="AHK57" s="308"/>
      <c r="AHL57" s="308"/>
      <c r="AHM57" s="308"/>
      <c r="AHN57" s="308"/>
      <c r="AHO57" s="308"/>
      <c r="AHP57" s="308"/>
      <c r="AHQ57" s="308"/>
      <c r="AHR57" s="308"/>
      <c r="AHS57" s="308"/>
      <c r="AHT57" s="308"/>
      <c r="AHU57" s="308"/>
      <c r="AHV57" s="308"/>
      <c r="AHW57" s="308"/>
      <c r="AHX57" s="308"/>
      <c r="AHY57" s="308"/>
      <c r="AHZ57" s="308"/>
      <c r="AIA57" s="308"/>
      <c r="AIB57" s="308"/>
      <c r="AIC57" s="308"/>
      <c r="AID57" s="308"/>
      <c r="AIE57" s="308"/>
      <c r="AIF57" s="308"/>
      <c r="AIG57" s="308"/>
      <c r="AIH57" s="308"/>
      <c r="AII57" s="308"/>
      <c r="AIJ57" s="308"/>
      <c r="AIK57" s="308"/>
      <c r="AIL57" s="308"/>
      <c r="AIM57" s="308"/>
      <c r="AIN57" s="308"/>
      <c r="AIO57" s="308"/>
      <c r="AIP57" s="308"/>
      <c r="AIQ57" s="308"/>
      <c r="AIR57" s="308"/>
      <c r="AIS57" s="308"/>
      <c r="AIT57" s="308"/>
      <c r="AIU57" s="308"/>
      <c r="AIV57" s="308"/>
      <c r="AIW57" s="308"/>
      <c r="AIX57" s="308"/>
      <c r="AIY57" s="308"/>
      <c r="AIZ57" s="308"/>
      <c r="AJA57" s="308"/>
      <c r="AJB57" s="308"/>
      <c r="AJC57" s="308"/>
    </row>
    <row r="58" spans="1:940" s="546" customFormat="1">
      <c r="A58" s="113">
        <f t="shared" si="0"/>
        <v>51</v>
      </c>
      <c r="B58" s="116">
        <v>2011</v>
      </c>
      <c r="C58" s="113" t="s">
        <v>529</v>
      </c>
      <c r="D58" s="117">
        <v>80000000</v>
      </c>
      <c r="E58" s="117"/>
      <c r="F58" s="117">
        <f t="shared" si="1"/>
        <v>80000000</v>
      </c>
      <c r="G58" s="117"/>
      <c r="H58" s="117"/>
      <c r="I58" s="117"/>
      <c r="J58" s="117"/>
      <c r="K58" s="117"/>
      <c r="L58" s="117"/>
      <c r="M58" s="117"/>
      <c r="N58" s="117">
        <f>2000000-1000000+1000000</f>
        <v>2000000</v>
      </c>
      <c r="O58" s="117">
        <f t="shared" si="10"/>
        <v>78000000</v>
      </c>
      <c r="P58" s="117"/>
      <c r="Q58" s="117"/>
      <c r="R58" s="117"/>
      <c r="S58" s="117"/>
      <c r="T58" s="117"/>
      <c r="U58" s="117">
        <f t="shared" si="7"/>
        <v>2000000</v>
      </c>
      <c r="V58" s="117">
        <f t="shared" si="8"/>
        <v>2000000</v>
      </c>
      <c r="W58" s="543"/>
      <c r="X58" s="117"/>
      <c r="Y58" s="117"/>
      <c r="Z58" s="113"/>
      <c r="AA58" s="113">
        <v>742000</v>
      </c>
      <c r="AB58" s="117"/>
      <c r="AC58" s="117"/>
      <c r="AD58" s="117"/>
      <c r="AE58" s="117"/>
      <c r="AF58" s="117"/>
      <c r="AG58" s="117"/>
      <c r="AH58" s="117"/>
      <c r="AI58" s="117"/>
      <c r="AJ58" s="117"/>
      <c r="AK58" s="117">
        <f t="shared" si="21"/>
        <v>0</v>
      </c>
      <c r="AL58" s="117"/>
      <c r="AM58" s="566">
        <f t="shared" si="12"/>
        <v>0</v>
      </c>
      <c r="AN58" s="117">
        <f t="shared" si="13"/>
        <v>2000000</v>
      </c>
      <c r="AO58" s="117">
        <f t="shared" si="14"/>
        <v>0</v>
      </c>
      <c r="AP58" s="565"/>
      <c r="AQ58" s="565"/>
      <c r="AR58" s="565"/>
      <c r="AS58" s="565"/>
      <c r="AT58" s="117">
        <f t="shared" si="15"/>
        <v>0</v>
      </c>
      <c r="AU58" s="565"/>
      <c r="AV58" s="565"/>
      <c r="AW58" s="565"/>
      <c r="AX58" s="565"/>
      <c r="AY58" s="117">
        <f t="shared" si="16"/>
        <v>2000000</v>
      </c>
      <c r="AZ58" s="565"/>
      <c r="BA58" s="565"/>
      <c r="BB58" s="565"/>
      <c r="BC58" s="565"/>
      <c r="BD58" s="544"/>
      <c r="BE58" s="544"/>
      <c r="BF58" s="544"/>
      <c r="BG58" s="544"/>
      <c r="BH58" s="544"/>
      <c r="BI58" s="308"/>
      <c r="BJ58" s="308"/>
      <c r="BK58" s="308"/>
      <c r="BL58" s="308"/>
      <c r="BM58" s="308"/>
      <c r="BN58" s="308"/>
      <c r="BO58" s="308"/>
      <c r="BP58" s="308"/>
      <c r="BQ58" s="308"/>
      <c r="BR58" s="308"/>
      <c r="BS58" s="308"/>
      <c r="BT58" s="308"/>
      <c r="BU58" s="308"/>
      <c r="BV58" s="308"/>
      <c r="BW58" s="308"/>
      <c r="BX58" s="308"/>
      <c r="BY58" s="308"/>
      <c r="BZ58" s="308"/>
      <c r="CA58" s="308"/>
      <c r="CB58" s="308"/>
      <c r="CC58" s="308"/>
      <c r="CD58" s="308"/>
      <c r="CE58" s="308"/>
      <c r="CF58" s="308"/>
      <c r="CG58" s="308"/>
      <c r="CH58" s="308"/>
      <c r="CI58" s="308"/>
      <c r="CJ58" s="308"/>
      <c r="CK58" s="308"/>
      <c r="CL58" s="308"/>
      <c r="CM58" s="308"/>
      <c r="CN58" s="308"/>
      <c r="CO58" s="308"/>
      <c r="CP58" s="308"/>
      <c r="CQ58" s="308"/>
      <c r="CR58" s="308"/>
      <c r="CS58" s="308"/>
      <c r="CT58" s="308"/>
      <c r="CU58" s="308"/>
      <c r="CV58" s="308"/>
      <c r="CW58" s="308"/>
      <c r="CX58" s="308"/>
      <c r="CY58" s="308"/>
      <c r="CZ58" s="308"/>
      <c r="DA58" s="308"/>
      <c r="DB58" s="308"/>
      <c r="DC58" s="308"/>
      <c r="DD58" s="308"/>
      <c r="DE58" s="308"/>
      <c r="DF58" s="308"/>
      <c r="DG58" s="308"/>
      <c r="DH58" s="308"/>
      <c r="DI58" s="308"/>
      <c r="DJ58" s="308"/>
      <c r="DK58" s="308"/>
      <c r="DL58" s="308"/>
      <c r="DM58" s="308"/>
      <c r="DN58" s="308"/>
      <c r="DO58" s="308"/>
      <c r="DP58" s="308"/>
      <c r="DQ58" s="308"/>
      <c r="DR58" s="308"/>
      <c r="DS58" s="308"/>
      <c r="DT58" s="308"/>
      <c r="DU58" s="308"/>
      <c r="DV58" s="308"/>
      <c r="DW58" s="308"/>
      <c r="DX58" s="308"/>
      <c r="DY58" s="308"/>
      <c r="DZ58" s="308"/>
      <c r="EA58" s="308"/>
      <c r="EB58" s="308"/>
      <c r="EC58" s="308"/>
      <c r="ED58" s="308"/>
      <c r="EE58" s="308"/>
      <c r="EF58" s="308"/>
      <c r="EG58" s="308"/>
      <c r="EH58" s="308"/>
      <c r="EI58" s="308"/>
      <c r="EJ58" s="308"/>
      <c r="EK58" s="308"/>
      <c r="EL58" s="308"/>
      <c r="EM58" s="308"/>
      <c r="EN58" s="308"/>
      <c r="EO58" s="308"/>
      <c r="EP58" s="308"/>
      <c r="EQ58" s="308"/>
      <c r="ER58" s="308"/>
      <c r="ES58" s="308"/>
      <c r="ET58" s="308"/>
      <c r="EU58" s="308"/>
      <c r="EV58" s="308"/>
      <c r="EW58" s="308"/>
      <c r="EX58" s="308"/>
      <c r="EY58" s="308"/>
      <c r="EZ58" s="308"/>
      <c r="FA58" s="308"/>
      <c r="FB58" s="308"/>
      <c r="FC58" s="308"/>
      <c r="FD58" s="308"/>
      <c r="FE58" s="308"/>
      <c r="FF58" s="308"/>
      <c r="FG58" s="308"/>
      <c r="FH58" s="308"/>
      <c r="FI58" s="308"/>
      <c r="FJ58" s="308"/>
      <c r="FK58" s="308"/>
      <c r="FL58" s="308"/>
      <c r="FM58" s="308"/>
      <c r="FN58" s="308"/>
      <c r="FO58" s="308"/>
      <c r="FP58" s="308"/>
      <c r="FQ58" s="308"/>
      <c r="FR58" s="308"/>
      <c r="FS58" s="308"/>
      <c r="FT58" s="308"/>
      <c r="FU58" s="308"/>
      <c r="FV58" s="308"/>
      <c r="FW58" s="308"/>
      <c r="FX58" s="308"/>
      <c r="FY58" s="308"/>
      <c r="FZ58" s="308"/>
      <c r="GA58" s="308"/>
      <c r="GB58" s="308"/>
      <c r="GC58" s="308"/>
      <c r="GD58" s="308"/>
      <c r="GE58" s="308"/>
      <c r="GF58" s="308"/>
      <c r="GG58" s="308"/>
      <c r="GH58" s="308"/>
      <c r="GI58" s="308"/>
      <c r="GJ58" s="308"/>
      <c r="GK58" s="308"/>
      <c r="GL58" s="308"/>
      <c r="GM58" s="308"/>
      <c r="GN58" s="308"/>
      <c r="GO58" s="308"/>
      <c r="GP58" s="308"/>
      <c r="GQ58" s="308"/>
      <c r="GR58" s="308"/>
      <c r="GS58" s="308"/>
      <c r="GT58" s="308"/>
      <c r="GU58" s="308"/>
      <c r="GV58" s="308"/>
      <c r="GW58" s="308"/>
      <c r="GX58" s="308"/>
      <c r="GY58" s="308"/>
      <c r="GZ58" s="308"/>
      <c r="HA58" s="308"/>
      <c r="HB58" s="308"/>
      <c r="HC58" s="308"/>
      <c r="HD58" s="308"/>
      <c r="HE58" s="308"/>
      <c r="HF58" s="308"/>
      <c r="HG58" s="308"/>
      <c r="HH58" s="308"/>
      <c r="HI58" s="308"/>
      <c r="HJ58" s="308"/>
      <c r="HK58" s="308"/>
      <c r="HL58" s="308"/>
      <c r="HM58" s="308"/>
      <c r="HN58" s="308"/>
      <c r="HO58" s="308"/>
      <c r="HP58" s="308"/>
      <c r="HQ58" s="308"/>
      <c r="HR58" s="308"/>
      <c r="HS58" s="308"/>
      <c r="HT58" s="308"/>
      <c r="HU58" s="308"/>
      <c r="HV58" s="308"/>
      <c r="HW58" s="308"/>
      <c r="HX58" s="308"/>
      <c r="HY58" s="308"/>
      <c r="HZ58" s="308"/>
      <c r="IA58" s="308"/>
      <c r="IB58" s="308"/>
      <c r="IC58" s="308"/>
      <c r="ID58" s="308"/>
      <c r="IE58" s="308"/>
      <c r="IF58" s="308"/>
      <c r="IG58" s="308"/>
      <c r="IH58" s="308"/>
      <c r="II58" s="308"/>
      <c r="IJ58" s="308"/>
      <c r="IK58" s="308"/>
      <c r="IL58" s="308"/>
      <c r="IM58" s="308"/>
      <c r="IN58" s="308"/>
      <c r="IO58" s="308"/>
      <c r="IP58" s="308"/>
      <c r="IQ58" s="308"/>
      <c r="IR58" s="308"/>
      <c r="IS58" s="308"/>
      <c r="IT58" s="308"/>
      <c r="IU58" s="308"/>
      <c r="IV58" s="308"/>
      <c r="IW58" s="308"/>
      <c r="IX58" s="308"/>
      <c r="IY58" s="308"/>
      <c r="IZ58" s="308"/>
      <c r="JA58" s="308"/>
      <c r="JB58" s="308"/>
      <c r="JC58" s="308"/>
      <c r="JD58" s="308"/>
      <c r="JE58" s="308"/>
      <c r="JF58" s="308"/>
      <c r="JG58" s="308"/>
      <c r="JH58" s="308"/>
      <c r="JI58" s="308"/>
      <c r="JJ58" s="308"/>
      <c r="JK58" s="308"/>
      <c r="JL58" s="308"/>
      <c r="JM58" s="308"/>
      <c r="JN58" s="308"/>
      <c r="JO58" s="308"/>
      <c r="JP58" s="308"/>
      <c r="JQ58" s="308"/>
      <c r="JR58" s="308"/>
      <c r="JS58" s="308"/>
      <c r="JT58" s="308"/>
      <c r="JU58" s="308"/>
      <c r="JV58" s="308"/>
      <c r="JW58" s="308"/>
      <c r="JX58" s="308"/>
      <c r="JY58" s="308"/>
      <c r="JZ58" s="308"/>
      <c r="KA58" s="308"/>
      <c r="KB58" s="308"/>
      <c r="KC58" s="308"/>
      <c r="KD58" s="308"/>
      <c r="KE58" s="308"/>
      <c r="KF58" s="308"/>
      <c r="KG58" s="308"/>
      <c r="KH58" s="308"/>
      <c r="KI58" s="308"/>
      <c r="KJ58" s="308"/>
      <c r="KK58" s="308"/>
      <c r="KL58" s="308"/>
      <c r="KM58" s="308"/>
      <c r="KN58" s="308"/>
      <c r="KO58" s="308"/>
      <c r="KP58" s="308"/>
      <c r="KQ58" s="308"/>
      <c r="KR58" s="308"/>
      <c r="KS58" s="308"/>
      <c r="KT58" s="308"/>
      <c r="KU58" s="308"/>
      <c r="KV58" s="308"/>
      <c r="KW58" s="308"/>
      <c r="KX58" s="308"/>
      <c r="KY58" s="308"/>
      <c r="KZ58" s="308"/>
      <c r="LA58" s="308"/>
      <c r="LB58" s="308"/>
      <c r="LC58" s="308"/>
      <c r="LD58" s="308"/>
      <c r="LE58" s="308"/>
      <c r="LF58" s="308"/>
      <c r="LG58" s="308"/>
      <c r="LH58" s="308"/>
      <c r="LI58" s="308"/>
      <c r="LJ58" s="308"/>
      <c r="LK58" s="308"/>
      <c r="LL58" s="308"/>
      <c r="LM58" s="308"/>
      <c r="LN58" s="308"/>
      <c r="LO58" s="308"/>
      <c r="LP58" s="308"/>
      <c r="LQ58" s="308"/>
      <c r="LR58" s="308"/>
      <c r="LS58" s="308"/>
      <c r="LT58" s="308"/>
      <c r="LU58" s="308"/>
      <c r="LV58" s="308"/>
      <c r="LW58" s="308"/>
      <c r="LX58" s="308"/>
      <c r="LY58" s="308"/>
      <c r="LZ58" s="308"/>
      <c r="MA58" s="308"/>
      <c r="MB58" s="308"/>
      <c r="MC58" s="308"/>
      <c r="MD58" s="308"/>
      <c r="ME58" s="308"/>
      <c r="MF58" s="308"/>
      <c r="MG58" s="308"/>
      <c r="MH58" s="308"/>
      <c r="MI58" s="308"/>
      <c r="MJ58" s="308"/>
      <c r="MK58" s="308"/>
      <c r="ML58" s="308"/>
      <c r="MM58" s="308"/>
      <c r="MN58" s="308"/>
      <c r="MO58" s="308"/>
      <c r="MP58" s="308"/>
      <c r="MQ58" s="308"/>
      <c r="MR58" s="308"/>
      <c r="MS58" s="308"/>
      <c r="MT58" s="308"/>
      <c r="MU58" s="308"/>
      <c r="MV58" s="308"/>
      <c r="MW58" s="308"/>
      <c r="MX58" s="308"/>
      <c r="MY58" s="308"/>
      <c r="MZ58" s="308"/>
      <c r="NA58" s="308"/>
      <c r="NB58" s="308"/>
      <c r="NC58" s="308"/>
      <c r="ND58" s="308"/>
      <c r="NE58" s="308"/>
      <c r="NF58" s="308"/>
      <c r="NG58" s="308"/>
      <c r="NH58" s="308"/>
      <c r="NI58" s="308"/>
      <c r="NJ58" s="308"/>
      <c r="NK58" s="308"/>
      <c r="NL58" s="308"/>
      <c r="NM58" s="308"/>
      <c r="NN58" s="308"/>
      <c r="NO58" s="308"/>
      <c r="NP58" s="308"/>
      <c r="NQ58" s="308"/>
      <c r="NR58" s="308"/>
      <c r="NS58" s="308"/>
      <c r="NT58" s="308"/>
      <c r="NU58" s="308"/>
      <c r="NV58" s="308"/>
      <c r="NW58" s="308"/>
      <c r="NX58" s="308"/>
      <c r="NY58" s="308"/>
      <c r="NZ58" s="308"/>
      <c r="OA58" s="308"/>
      <c r="OB58" s="308"/>
      <c r="OC58" s="308"/>
      <c r="OD58" s="308"/>
      <c r="OE58" s="308"/>
      <c r="OF58" s="308"/>
      <c r="OG58" s="308"/>
      <c r="OH58" s="308"/>
      <c r="OI58" s="308"/>
      <c r="OJ58" s="308"/>
      <c r="OK58" s="308"/>
      <c r="OL58" s="308"/>
      <c r="OM58" s="308"/>
      <c r="ON58" s="308"/>
      <c r="OO58" s="308"/>
      <c r="OP58" s="308"/>
      <c r="OQ58" s="308"/>
      <c r="OR58" s="308"/>
      <c r="OS58" s="308"/>
      <c r="OT58" s="308"/>
      <c r="OU58" s="308"/>
      <c r="OV58" s="308"/>
      <c r="OW58" s="308"/>
      <c r="OX58" s="308"/>
      <c r="OY58" s="308"/>
      <c r="OZ58" s="308"/>
      <c r="PA58" s="308"/>
      <c r="PB58" s="308"/>
      <c r="PC58" s="308"/>
      <c r="PD58" s="308"/>
      <c r="PE58" s="308"/>
      <c r="PF58" s="308"/>
      <c r="PG58" s="308"/>
      <c r="PH58" s="308"/>
      <c r="PI58" s="308"/>
      <c r="PJ58" s="308"/>
      <c r="PK58" s="308"/>
      <c r="PL58" s="308"/>
      <c r="PM58" s="308"/>
      <c r="PN58" s="308"/>
      <c r="PO58" s="308"/>
      <c r="PP58" s="308"/>
      <c r="PQ58" s="308"/>
      <c r="PR58" s="308"/>
      <c r="PS58" s="308"/>
      <c r="PT58" s="308"/>
      <c r="PU58" s="308"/>
      <c r="PV58" s="308"/>
      <c r="PW58" s="308"/>
      <c r="PX58" s="308"/>
      <c r="PY58" s="308"/>
      <c r="PZ58" s="308"/>
      <c r="QA58" s="308"/>
      <c r="QB58" s="308"/>
      <c r="QC58" s="308"/>
      <c r="QD58" s="308"/>
      <c r="QE58" s="308"/>
      <c r="QF58" s="308"/>
      <c r="QG58" s="308"/>
      <c r="QH58" s="308"/>
      <c r="QI58" s="308"/>
      <c r="QJ58" s="308"/>
      <c r="QK58" s="308"/>
      <c r="QL58" s="308"/>
      <c r="QM58" s="308"/>
      <c r="QN58" s="308"/>
      <c r="QO58" s="308"/>
      <c r="QP58" s="308"/>
      <c r="QQ58" s="308"/>
      <c r="QR58" s="308"/>
      <c r="QS58" s="308"/>
      <c r="QT58" s="308"/>
      <c r="QU58" s="308"/>
      <c r="QV58" s="308"/>
      <c r="QW58" s="308"/>
      <c r="QX58" s="308"/>
      <c r="QY58" s="308"/>
      <c r="QZ58" s="308"/>
      <c r="RA58" s="308"/>
      <c r="RB58" s="308"/>
      <c r="RC58" s="308"/>
      <c r="RD58" s="308"/>
      <c r="RE58" s="308"/>
      <c r="RF58" s="308"/>
      <c r="RG58" s="308"/>
      <c r="RH58" s="308"/>
      <c r="RI58" s="308"/>
      <c r="RJ58" s="308"/>
      <c r="RK58" s="308"/>
      <c r="RL58" s="308"/>
      <c r="RM58" s="308"/>
      <c r="RN58" s="308"/>
      <c r="RO58" s="308"/>
      <c r="RP58" s="308"/>
      <c r="RQ58" s="308"/>
      <c r="RR58" s="308"/>
      <c r="RS58" s="308"/>
      <c r="RT58" s="308"/>
      <c r="RU58" s="308"/>
      <c r="RV58" s="308"/>
      <c r="RW58" s="308"/>
      <c r="RX58" s="308"/>
      <c r="RY58" s="308"/>
      <c r="RZ58" s="308"/>
      <c r="SA58" s="308"/>
      <c r="SB58" s="308"/>
      <c r="SC58" s="308"/>
      <c r="SD58" s="308"/>
      <c r="SE58" s="308"/>
      <c r="SF58" s="308"/>
      <c r="SG58" s="308"/>
      <c r="SH58" s="308"/>
      <c r="SI58" s="308"/>
      <c r="SJ58" s="308"/>
      <c r="SK58" s="308"/>
      <c r="SL58" s="308"/>
      <c r="SM58" s="308"/>
      <c r="SN58" s="308"/>
      <c r="SO58" s="308"/>
      <c r="SP58" s="308"/>
      <c r="SQ58" s="308"/>
      <c r="SR58" s="308"/>
      <c r="SS58" s="308"/>
      <c r="ST58" s="308"/>
      <c r="SU58" s="308"/>
      <c r="SV58" s="308"/>
      <c r="SW58" s="308"/>
      <c r="SX58" s="308"/>
      <c r="SY58" s="308"/>
      <c r="SZ58" s="308"/>
      <c r="TA58" s="308"/>
      <c r="TB58" s="308"/>
      <c r="TC58" s="308"/>
      <c r="TD58" s="308"/>
      <c r="TE58" s="308"/>
      <c r="TF58" s="308"/>
      <c r="TG58" s="308"/>
      <c r="TH58" s="308"/>
      <c r="TI58" s="308"/>
      <c r="TJ58" s="308"/>
      <c r="TK58" s="308"/>
      <c r="TL58" s="308"/>
      <c r="TM58" s="308"/>
      <c r="TN58" s="308"/>
      <c r="TO58" s="308"/>
      <c r="TP58" s="308"/>
      <c r="TQ58" s="308"/>
      <c r="TR58" s="308"/>
      <c r="TS58" s="308"/>
      <c r="TT58" s="308"/>
      <c r="TU58" s="308"/>
      <c r="TV58" s="308"/>
      <c r="TW58" s="308"/>
      <c r="TX58" s="308"/>
      <c r="TY58" s="308"/>
      <c r="TZ58" s="308"/>
      <c r="UA58" s="308"/>
      <c r="UB58" s="308"/>
      <c r="UC58" s="308"/>
      <c r="UD58" s="308"/>
      <c r="UE58" s="308"/>
      <c r="UF58" s="308"/>
      <c r="UG58" s="308"/>
      <c r="UH58" s="308"/>
      <c r="UI58" s="308"/>
      <c r="UJ58" s="308"/>
      <c r="UK58" s="308"/>
      <c r="UL58" s="308"/>
      <c r="UM58" s="308"/>
      <c r="UN58" s="308"/>
      <c r="UO58" s="308"/>
      <c r="UP58" s="308"/>
      <c r="UQ58" s="308"/>
      <c r="UR58" s="308"/>
      <c r="US58" s="308"/>
      <c r="UT58" s="308"/>
      <c r="UU58" s="308"/>
      <c r="UV58" s="308"/>
      <c r="UW58" s="308"/>
      <c r="UX58" s="308"/>
      <c r="UY58" s="308"/>
      <c r="UZ58" s="308"/>
      <c r="VA58" s="308"/>
      <c r="VB58" s="308"/>
      <c r="VC58" s="308"/>
      <c r="VD58" s="308"/>
      <c r="VE58" s="308"/>
      <c r="VF58" s="308"/>
      <c r="VG58" s="308"/>
      <c r="VH58" s="308"/>
      <c r="VI58" s="308"/>
      <c r="VJ58" s="308"/>
      <c r="VK58" s="308"/>
      <c r="VL58" s="308"/>
      <c r="VM58" s="308"/>
      <c r="VN58" s="308"/>
      <c r="VO58" s="308"/>
      <c r="VP58" s="308"/>
      <c r="VQ58" s="308"/>
      <c r="VR58" s="308"/>
      <c r="VS58" s="308"/>
      <c r="VT58" s="308"/>
      <c r="VU58" s="308"/>
      <c r="VV58" s="308"/>
      <c r="VW58" s="308"/>
      <c r="VX58" s="308"/>
      <c r="VY58" s="308"/>
      <c r="VZ58" s="308"/>
      <c r="WA58" s="308"/>
      <c r="WB58" s="308"/>
      <c r="WC58" s="308"/>
      <c r="WD58" s="308"/>
      <c r="WE58" s="308"/>
      <c r="WF58" s="308"/>
      <c r="WG58" s="308"/>
      <c r="WH58" s="308"/>
      <c r="WI58" s="308"/>
      <c r="WJ58" s="308"/>
      <c r="WK58" s="308"/>
      <c r="WL58" s="308"/>
      <c r="WM58" s="308"/>
      <c r="WN58" s="308"/>
      <c r="WO58" s="308"/>
      <c r="WP58" s="308"/>
      <c r="WQ58" s="308"/>
      <c r="WR58" s="308"/>
      <c r="WS58" s="308"/>
      <c r="WT58" s="308"/>
      <c r="WU58" s="308"/>
      <c r="WV58" s="308"/>
      <c r="WW58" s="308"/>
      <c r="WX58" s="308"/>
      <c r="WY58" s="308"/>
      <c r="WZ58" s="308"/>
      <c r="XA58" s="308"/>
      <c r="XB58" s="308"/>
      <c r="XC58" s="308"/>
      <c r="XD58" s="308"/>
      <c r="XE58" s="308"/>
      <c r="XF58" s="308"/>
      <c r="XG58" s="308"/>
      <c r="XH58" s="308"/>
      <c r="XI58" s="308"/>
      <c r="XJ58" s="308"/>
      <c r="XK58" s="308"/>
      <c r="XL58" s="308"/>
      <c r="XM58" s="308"/>
      <c r="XN58" s="308"/>
      <c r="XO58" s="308"/>
      <c r="XP58" s="308"/>
      <c r="XQ58" s="308"/>
      <c r="XR58" s="308"/>
      <c r="XS58" s="308"/>
      <c r="XT58" s="308"/>
      <c r="XU58" s="308"/>
      <c r="XV58" s="308"/>
      <c r="XW58" s="308"/>
      <c r="XX58" s="308"/>
      <c r="XY58" s="308"/>
      <c r="XZ58" s="308"/>
      <c r="YA58" s="308"/>
      <c r="YB58" s="308"/>
      <c r="YC58" s="308"/>
      <c r="YD58" s="308"/>
      <c r="YE58" s="308"/>
      <c r="YF58" s="308"/>
      <c r="YG58" s="308"/>
      <c r="YH58" s="308"/>
      <c r="YI58" s="308"/>
      <c r="YJ58" s="308"/>
      <c r="YK58" s="308"/>
      <c r="YL58" s="308"/>
      <c r="YM58" s="308"/>
      <c r="YN58" s="308"/>
      <c r="YO58" s="308"/>
      <c r="YP58" s="308"/>
      <c r="YQ58" s="308"/>
      <c r="YR58" s="308"/>
      <c r="YS58" s="308"/>
      <c r="YT58" s="308"/>
      <c r="YU58" s="308"/>
      <c r="YV58" s="308"/>
      <c r="YW58" s="308"/>
      <c r="YX58" s="308"/>
      <c r="YY58" s="308"/>
      <c r="YZ58" s="308"/>
      <c r="ZA58" s="308"/>
      <c r="ZB58" s="308"/>
      <c r="ZC58" s="308"/>
      <c r="ZD58" s="308"/>
      <c r="ZE58" s="308"/>
      <c r="ZF58" s="308"/>
      <c r="ZG58" s="308"/>
      <c r="ZH58" s="308"/>
      <c r="ZI58" s="308"/>
      <c r="ZJ58" s="308"/>
      <c r="ZK58" s="308"/>
      <c r="ZL58" s="308"/>
      <c r="ZM58" s="308"/>
      <c r="ZN58" s="308"/>
      <c r="ZO58" s="308"/>
      <c r="ZP58" s="308"/>
      <c r="ZQ58" s="308"/>
      <c r="ZR58" s="308"/>
      <c r="ZS58" s="308"/>
      <c r="ZT58" s="308"/>
      <c r="ZU58" s="308"/>
      <c r="ZV58" s="308"/>
      <c r="ZW58" s="308"/>
      <c r="ZX58" s="308"/>
      <c r="ZY58" s="308"/>
      <c r="ZZ58" s="308"/>
      <c r="AAA58" s="308"/>
      <c r="AAB58" s="308"/>
      <c r="AAC58" s="308"/>
      <c r="AAD58" s="308"/>
      <c r="AAE58" s="308"/>
      <c r="AAF58" s="308"/>
      <c r="AAG58" s="308"/>
      <c r="AAH58" s="308"/>
      <c r="AAI58" s="308"/>
      <c r="AAJ58" s="308"/>
      <c r="AAK58" s="308"/>
      <c r="AAL58" s="308"/>
      <c r="AAM58" s="308"/>
      <c r="AAN58" s="308"/>
      <c r="AAO58" s="308"/>
      <c r="AAP58" s="308"/>
      <c r="AAQ58" s="308"/>
      <c r="AAR58" s="308"/>
      <c r="AAS58" s="308"/>
      <c r="AAT58" s="308"/>
      <c r="AAU58" s="308"/>
      <c r="AAV58" s="308"/>
      <c r="AAW58" s="308"/>
      <c r="AAX58" s="308"/>
      <c r="AAY58" s="308"/>
      <c r="AAZ58" s="308"/>
      <c r="ABA58" s="308"/>
      <c r="ABB58" s="308"/>
      <c r="ABC58" s="308"/>
      <c r="ABD58" s="308"/>
      <c r="ABE58" s="308"/>
      <c r="ABF58" s="308"/>
      <c r="ABG58" s="308"/>
      <c r="ABH58" s="308"/>
      <c r="ABI58" s="308"/>
      <c r="ABJ58" s="308"/>
      <c r="ABK58" s="308"/>
      <c r="ABL58" s="308"/>
      <c r="ABM58" s="308"/>
      <c r="ABN58" s="308"/>
      <c r="ABO58" s="308"/>
      <c r="ABP58" s="308"/>
      <c r="ABQ58" s="308"/>
      <c r="ABR58" s="308"/>
      <c r="ABS58" s="308"/>
      <c r="ABT58" s="308"/>
      <c r="ABU58" s="308"/>
      <c r="ABV58" s="308"/>
      <c r="ABW58" s="308"/>
      <c r="ABX58" s="308"/>
      <c r="ABY58" s="308"/>
      <c r="ABZ58" s="308"/>
      <c r="ACA58" s="308"/>
      <c r="ACB58" s="308"/>
      <c r="ACC58" s="308"/>
      <c r="ACD58" s="308"/>
      <c r="ACE58" s="308"/>
      <c r="ACF58" s="308"/>
      <c r="ACG58" s="308"/>
      <c r="ACH58" s="308"/>
      <c r="ACI58" s="308"/>
      <c r="ACJ58" s="308"/>
      <c r="ACK58" s="308"/>
      <c r="ACL58" s="308"/>
      <c r="ACM58" s="308"/>
      <c r="ACN58" s="308"/>
      <c r="ACO58" s="308"/>
      <c r="ACP58" s="308"/>
      <c r="ACQ58" s="308"/>
      <c r="ACR58" s="308"/>
      <c r="ACS58" s="308"/>
      <c r="ACT58" s="308"/>
      <c r="ACU58" s="308"/>
      <c r="ACV58" s="308"/>
      <c r="ACW58" s="308"/>
      <c r="ACX58" s="308"/>
      <c r="ACY58" s="308"/>
      <c r="ACZ58" s="308"/>
      <c r="ADA58" s="308"/>
      <c r="ADB58" s="308"/>
      <c r="ADC58" s="308"/>
      <c r="ADD58" s="308"/>
      <c r="ADE58" s="308"/>
      <c r="ADF58" s="308"/>
      <c r="ADG58" s="308"/>
      <c r="ADH58" s="308"/>
      <c r="ADI58" s="308"/>
      <c r="ADJ58" s="308"/>
      <c r="ADK58" s="308"/>
      <c r="ADL58" s="308"/>
      <c r="ADM58" s="308"/>
      <c r="ADN58" s="308"/>
      <c r="ADO58" s="308"/>
      <c r="ADP58" s="308"/>
      <c r="ADQ58" s="308"/>
      <c r="ADR58" s="308"/>
      <c r="ADS58" s="308"/>
      <c r="ADT58" s="308"/>
      <c r="ADU58" s="308"/>
      <c r="ADV58" s="308"/>
      <c r="ADW58" s="308"/>
      <c r="ADX58" s="308"/>
      <c r="ADY58" s="308"/>
      <c r="ADZ58" s="308"/>
      <c r="AEA58" s="308"/>
      <c r="AEB58" s="308"/>
      <c r="AEC58" s="308"/>
      <c r="AED58" s="308"/>
      <c r="AEE58" s="308"/>
      <c r="AEF58" s="308"/>
      <c r="AEG58" s="308"/>
      <c r="AEH58" s="308"/>
      <c r="AEI58" s="308"/>
      <c r="AEJ58" s="308"/>
      <c r="AEK58" s="308"/>
      <c r="AEL58" s="308"/>
      <c r="AEM58" s="308"/>
      <c r="AEN58" s="308"/>
      <c r="AEO58" s="308"/>
      <c r="AEP58" s="308"/>
      <c r="AEQ58" s="308"/>
      <c r="AER58" s="308"/>
      <c r="AES58" s="308"/>
      <c r="AET58" s="308"/>
      <c r="AEU58" s="308"/>
      <c r="AEV58" s="308"/>
      <c r="AEW58" s="308"/>
      <c r="AEX58" s="308"/>
      <c r="AEY58" s="308"/>
      <c r="AEZ58" s="308"/>
      <c r="AFA58" s="308"/>
      <c r="AFB58" s="308"/>
      <c r="AFC58" s="308"/>
      <c r="AFD58" s="308"/>
      <c r="AFE58" s="308"/>
      <c r="AFF58" s="308"/>
      <c r="AFG58" s="308"/>
      <c r="AFH58" s="308"/>
      <c r="AFI58" s="308"/>
      <c r="AFJ58" s="308"/>
      <c r="AFK58" s="308"/>
      <c r="AFL58" s="308"/>
      <c r="AFM58" s="308"/>
      <c r="AFN58" s="308"/>
      <c r="AFO58" s="308"/>
      <c r="AFP58" s="308"/>
      <c r="AFQ58" s="308"/>
      <c r="AFR58" s="308"/>
      <c r="AFS58" s="308"/>
      <c r="AFT58" s="308"/>
      <c r="AFU58" s="308"/>
      <c r="AFV58" s="308"/>
      <c r="AFW58" s="308"/>
      <c r="AFX58" s="308"/>
      <c r="AFY58" s="308"/>
      <c r="AFZ58" s="308"/>
      <c r="AGA58" s="308"/>
      <c r="AGB58" s="308"/>
      <c r="AGC58" s="308"/>
      <c r="AGD58" s="308"/>
      <c r="AGE58" s="308"/>
      <c r="AGF58" s="308"/>
      <c r="AGG58" s="308"/>
      <c r="AGH58" s="308"/>
      <c r="AGI58" s="308"/>
      <c r="AGJ58" s="308"/>
      <c r="AGK58" s="308"/>
      <c r="AGL58" s="308"/>
      <c r="AGM58" s="308"/>
      <c r="AGN58" s="308"/>
      <c r="AGO58" s="308"/>
      <c r="AGP58" s="308"/>
      <c r="AGQ58" s="308"/>
      <c r="AGR58" s="308"/>
      <c r="AGS58" s="308"/>
      <c r="AGT58" s="308"/>
      <c r="AGU58" s="308"/>
      <c r="AGV58" s="308"/>
      <c r="AGW58" s="308"/>
      <c r="AGX58" s="308"/>
      <c r="AGY58" s="308"/>
      <c r="AGZ58" s="308"/>
      <c r="AHA58" s="308"/>
      <c r="AHB58" s="308"/>
      <c r="AHC58" s="308"/>
      <c r="AHD58" s="308"/>
      <c r="AHE58" s="308"/>
      <c r="AHF58" s="308"/>
      <c r="AHG58" s="308"/>
      <c r="AHH58" s="308"/>
      <c r="AHI58" s="308"/>
      <c r="AHJ58" s="308"/>
      <c r="AHK58" s="308"/>
      <c r="AHL58" s="308"/>
      <c r="AHM58" s="308"/>
      <c r="AHN58" s="308"/>
      <c r="AHO58" s="308"/>
      <c r="AHP58" s="308"/>
      <c r="AHQ58" s="308"/>
      <c r="AHR58" s="308"/>
      <c r="AHS58" s="308"/>
      <c r="AHT58" s="308"/>
      <c r="AHU58" s="308"/>
      <c r="AHV58" s="308"/>
      <c r="AHW58" s="308"/>
      <c r="AHX58" s="308"/>
      <c r="AHY58" s="308"/>
      <c r="AHZ58" s="308"/>
      <c r="AIA58" s="308"/>
      <c r="AIB58" s="308"/>
      <c r="AIC58" s="308"/>
      <c r="AID58" s="308"/>
      <c r="AIE58" s="308"/>
      <c r="AIF58" s="308"/>
      <c r="AIG58" s="308"/>
      <c r="AIH58" s="308"/>
      <c r="AII58" s="308"/>
      <c r="AIJ58" s="308"/>
      <c r="AIK58" s="308"/>
      <c r="AIL58" s="308"/>
      <c r="AIM58" s="308"/>
      <c r="AIN58" s="308"/>
      <c r="AIO58" s="308"/>
      <c r="AIP58" s="308"/>
      <c r="AIQ58" s="308"/>
      <c r="AIR58" s="308"/>
      <c r="AIS58" s="308"/>
      <c r="AIT58" s="308"/>
      <c r="AIU58" s="308"/>
      <c r="AIV58" s="308"/>
      <c r="AIW58" s="308"/>
      <c r="AIX58" s="308"/>
      <c r="AIY58" s="308"/>
      <c r="AIZ58" s="308"/>
      <c r="AJA58" s="308"/>
      <c r="AJB58" s="308"/>
      <c r="AJC58" s="308"/>
    </row>
    <row r="59" spans="1:940" s="546" customFormat="1">
      <c r="A59" s="113">
        <f t="shared" si="0"/>
        <v>52</v>
      </c>
      <c r="B59" s="116">
        <v>2012</v>
      </c>
      <c r="C59" s="113" t="s">
        <v>530</v>
      </c>
      <c r="D59" s="117">
        <v>5000000</v>
      </c>
      <c r="E59" s="117"/>
      <c r="F59" s="117">
        <f t="shared" si="1"/>
        <v>5000000</v>
      </c>
      <c r="G59" s="117"/>
      <c r="H59" s="117"/>
      <c r="I59" s="117"/>
      <c r="J59" s="117"/>
      <c r="K59" s="117"/>
      <c r="L59" s="117"/>
      <c r="M59" s="117"/>
      <c r="N59" s="117">
        <f>1000000-500000</f>
        <v>500000</v>
      </c>
      <c r="O59" s="117">
        <f t="shared" si="10"/>
        <v>4500000</v>
      </c>
      <c r="P59" s="117"/>
      <c r="Q59" s="117"/>
      <c r="R59" s="117"/>
      <c r="S59" s="117"/>
      <c r="T59" s="117"/>
      <c r="U59" s="117">
        <f t="shared" si="7"/>
        <v>500000</v>
      </c>
      <c r="V59" s="117">
        <f t="shared" si="8"/>
        <v>500000</v>
      </c>
      <c r="W59" s="543"/>
      <c r="X59" s="117"/>
      <c r="Y59" s="117"/>
      <c r="Z59" s="113"/>
      <c r="AA59" s="113">
        <v>742000</v>
      </c>
      <c r="AB59" s="117"/>
      <c r="AC59" s="117"/>
      <c r="AD59" s="117"/>
      <c r="AE59" s="117"/>
      <c r="AF59" s="117"/>
      <c r="AG59" s="117"/>
      <c r="AH59" s="117"/>
      <c r="AI59" s="117"/>
      <c r="AJ59" s="117">
        <v>200000</v>
      </c>
      <c r="AK59" s="117">
        <f>SUM(AB59:AJ59)</f>
        <v>200000</v>
      </c>
      <c r="AL59" s="117"/>
      <c r="AM59" s="566">
        <f t="shared" si="12"/>
        <v>200000</v>
      </c>
      <c r="AN59" s="117">
        <f t="shared" si="13"/>
        <v>300000</v>
      </c>
      <c r="AO59" s="117">
        <f t="shared" si="14"/>
        <v>200000</v>
      </c>
      <c r="AP59" s="565"/>
      <c r="AQ59" s="565"/>
      <c r="AR59" s="565"/>
      <c r="AS59" s="565"/>
      <c r="AT59" s="117">
        <f t="shared" si="15"/>
        <v>0</v>
      </c>
      <c r="AU59" s="565"/>
      <c r="AV59" s="565"/>
      <c r="AW59" s="565"/>
      <c r="AX59" s="565"/>
      <c r="AY59" s="117">
        <f t="shared" si="16"/>
        <v>300000</v>
      </c>
      <c r="AZ59" s="565"/>
      <c r="BA59" s="565"/>
      <c r="BB59" s="565"/>
      <c r="BC59" s="565"/>
      <c r="BD59" s="544"/>
      <c r="BE59" s="544"/>
      <c r="BF59" s="544"/>
      <c r="BG59" s="544"/>
      <c r="BH59" s="544"/>
      <c r="BI59" s="308"/>
      <c r="BJ59" s="308"/>
      <c r="BK59" s="308"/>
      <c r="BL59" s="308"/>
      <c r="BM59" s="308"/>
      <c r="BN59" s="308"/>
      <c r="BO59" s="308"/>
      <c r="BP59" s="308"/>
      <c r="BQ59" s="308"/>
      <c r="BR59" s="308"/>
      <c r="BS59" s="308"/>
      <c r="BT59" s="308"/>
      <c r="BU59" s="308"/>
      <c r="BV59" s="308"/>
      <c r="BW59" s="308"/>
      <c r="BX59" s="308"/>
      <c r="BY59" s="308"/>
      <c r="BZ59" s="308"/>
      <c r="CA59" s="308"/>
      <c r="CB59" s="308"/>
      <c r="CC59" s="308"/>
      <c r="CD59" s="308"/>
      <c r="CE59" s="308"/>
      <c r="CF59" s="308"/>
      <c r="CG59" s="308"/>
      <c r="CH59" s="308"/>
      <c r="CI59" s="308"/>
      <c r="CJ59" s="308"/>
      <c r="CK59" s="308"/>
      <c r="CL59" s="308"/>
      <c r="CM59" s="308"/>
      <c r="CN59" s="308"/>
      <c r="CO59" s="308"/>
      <c r="CP59" s="308"/>
      <c r="CQ59" s="308"/>
      <c r="CR59" s="308"/>
      <c r="CS59" s="308"/>
      <c r="CT59" s="308"/>
      <c r="CU59" s="308"/>
      <c r="CV59" s="308"/>
      <c r="CW59" s="308"/>
      <c r="CX59" s="308"/>
      <c r="CY59" s="308"/>
      <c r="CZ59" s="308"/>
      <c r="DA59" s="308"/>
      <c r="DB59" s="308"/>
      <c r="DC59" s="308"/>
      <c r="DD59" s="308"/>
      <c r="DE59" s="308"/>
      <c r="DF59" s="308"/>
      <c r="DG59" s="308"/>
      <c r="DH59" s="308"/>
      <c r="DI59" s="308"/>
      <c r="DJ59" s="308"/>
      <c r="DK59" s="308"/>
      <c r="DL59" s="308"/>
      <c r="DM59" s="308"/>
      <c r="DN59" s="308"/>
      <c r="DO59" s="308"/>
      <c r="DP59" s="308"/>
      <c r="DQ59" s="308"/>
      <c r="DR59" s="308"/>
      <c r="DS59" s="308"/>
      <c r="DT59" s="308"/>
      <c r="DU59" s="308"/>
      <c r="DV59" s="308"/>
      <c r="DW59" s="308"/>
      <c r="DX59" s="308"/>
      <c r="DY59" s="308"/>
      <c r="DZ59" s="308"/>
      <c r="EA59" s="308"/>
      <c r="EB59" s="308"/>
      <c r="EC59" s="308"/>
      <c r="ED59" s="308"/>
      <c r="EE59" s="308"/>
      <c r="EF59" s="308"/>
      <c r="EG59" s="308"/>
      <c r="EH59" s="308"/>
      <c r="EI59" s="308"/>
      <c r="EJ59" s="308"/>
      <c r="EK59" s="308"/>
      <c r="EL59" s="308"/>
      <c r="EM59" s="308"/>
      <c r="EN59" s="308"/>
      <c r="EO59" s="308"/>
      <c r="EP59" s="308"/>
      <c r="EQ59" s="308"/>
      <c r="ER59" s="308"/>
      <c r="ES59" s="308"/>
      <c r="ET59" s="308"/>
      <c r="EU59" s="308"/>
      <c r="EV59" s="308"/>
      <c r="EW59" s="308"/>
      <c r="EX59" s="308"/>
      <c r="EY59" s="308"/>
      <c r="EZ59" s="308"/>
      <c r="FA59" s="308"/>
      <c r="FB59" s="308"/>
      <c r="FC59" s="308"/>
      <c r="FD59" s="308"/>
      <c r="FE59" s="308"/>
      <c r="FF59" s="308"/>
      <c r="FG59" s="308"/>
      <c r="FH59" s="308"/>
      <c r="FI59" s="308"/>
      <c r="FJ59" s="308"/>
      <c r="FK59" s="308"/>
      <c r="FL59" s="308"/>
      <c r="FM59" s="308"/>
      <c r="FN59" s="308"/>
      <c r="FO59" s="308"/>
      <c r="FP59" s="308"/>
      <c r="FQ59" s="308"/>
      <c r="FR59" s="308"/>
      <c r="FS59" s="308"/>
      <c r="FT59" s="308"/>
      <c r="FU59" s="308"/>
      <c r="FV59" s="308"/>
      <c r="FW59" s="308"/>
      <c r="FX59" s="308"/>
      <c r="FY59" s="308"/>
      <c r="FZ59" s="308"/>
      <c r="GA59" s="308"/>
      <c r="GB59" s="308"/>
      <c r="GC59" s="308"/>
      <c r="GD59" s="308"/>
      <c r="GE59" s="308"/>
      <c r="GF59" s="308"/>
      <c r="GG59" s="308"/>
      <c r="GH59" s="308"/>
      <c r="GI59" s="308"/>
      <c r="GJ59" s="308"/>
      <c r="GK59" s="308"/>
      <c r="GL59" s="308"/>
      <c r="GM59" s="308"/>
      <c r="GN59" s="308"/>
      <c r="GO59" s="308"/>
      <c r="GP59" s="308"/>
      <c r="GQ59" s="308"/>
      <c r="GR59" s="308"/>
      <c r="GS59" s="308"/>
      <c r="GT59" s="308"/>
      <c r="GU59" s="308"/>
      <c r="GV59" s="308"/>
      <c r="GW59" s="308"/>
      <c r="GX59" s="308"/>
      <c r="GY59" s="308"/>
      <c r="GZ59" s="308"/>
      <c r="HA59" s="308"/>
      <c r="HB59" s="308"/>
      <c r="HC59" s="308"/>
      <c r="HD59" s="308"/>
      <c r="HE59" s="308"/>
      <c r="HF59" s="308"/>
      <c r="HG59" s="308"/>
      <c r="HH59" s="308"/>
      <c r="HI59" s="308"/>
      <c r="HJ59" s="308"/>
      <c r="HK59" s="308"/>
      <c r="HL59" s="308"/>
      <c r="HM59" s="308"/>
      <c r="HN59" s="308"/>
      <c r="HO59" s="308"/>
      <c r="HP59" s="308"/>
      <c r="HQ59" s="308"/>
      <c r="HR59" s="308"/>
      <c r="HS59" s="308"/>
      <c r="HT59" s="308"/>
      <c r="HU59" s="308"/>
      <c r="HV59" s="308"/>
      <c r="HW59" s="308"/>
      <c r="HX59" s="308"/>
      <c r="HY59" s="308"/>
      <c r="HZ59" s="308"/>
      <c r="IA59" s="308"/>
      <c r="IB59" s="308"/>
      <c r="IC59" s="308"/>
      <c r="ID59" s="308"/>
      <c r="IE59" s="308"/>
      <c r="IF59" s="308"/>
      <c r="IG59" s="308"/>
      <c r="IH59" s="308"/>
      <c r="II59" s="308"/>
      <c r="IJ59" s="308"/>
      <c r="IK59" s="308"/>
      <c r="IL59" s="308"/>
      <c r="IM59" s="308"/>
      <c r="IN59" s="308"/>
      <c r="IO59" s="308"/>
      <c r="IP59" s="308"/>
      <c r="IQ59" s="308"/>
      <c r="IR59" s="308"/>
      <c r="IS59" s="308"/>
      <c r="IT59" s="308"/>
      <c r="IU59" s="308"/>
      <c r="IV59" s="308"/>
      <c r="IW59" s="308"/>
      <c r="IX59" s="308"/>
      <c r="IY59" s="308"/>
      <c r="IZ59" s="308"/>
      <c r="JA59" s="308"/>
      <c r="JB59" s="308"/>
      <c r="JC59" s="308"/>
      <c r="JD59" s="308"/>
      <c r="JE59" s="308"/>
      <c r="JF59" s="308"/>
      <c r="JG59" s="308"/>
      <c r="JH59" s="308"/>
      <c r="JI59" s="308"/>
      <c r="JJ59" s="308"/>
      <c r="JK59" s="308"/>
      <c r="JL59" s="308"/>
      <c r="JM59" s="308"/>
      <c r="JN59" s="308"/>
      <c r="JO59" s="308"/>
      <c r="JP59" s="308"/>
      <c r="JQ59" s="308"/>
      <c r="JR59" s="308"/>
      <c r="JS59" s="308"/>
      <c r="JT59" s="308"/>
      <c r="JU59" s="308"/>
      <c r="JV59" s="308"/>
      <c r="JW59" s="308"/>
      <c r="JX59" s="308"/>
      <c r="JY59" s="308"/>
      <c r="JZ59" s="308"/>
      <c r="KA59" s="308"/>
      <c r="KB59" s="308"/>
      <c r="KC59" s="308"/>
      <c r="KD59" s="308"/>
      <c r="KE59" s="308"/>
      <c r="KF59" s="308"/>
      <c r="KG59" s="308"/>
      <c r="KH59" s="308"/>
      <c r="KI59" s="308"/>
      <c r="KJ59" s="308"/>
      <c r="KK59" s="308"/>
      <c r="KL59" s="308"/>
      <c r="KM59" s="308"/>
      <c r="KN59" s="308"/>
      <c r="KO59" s="308"/>
      <c r="KP59" s="308"/>
      <c r="KQ59" s="308"/>
      <c r="KR59" s="308"/>
      <c r="KS59" s="308"/>
      <c r="KT59" s="308"/>
      <c r="KU59" s="308"/>
      <c r="KV59" s="308"/>
      <c r="KW59" s="308"/>
      <c r="KX59" s="308"/>
      <c r="KY59" s="308"/>
      <c r="KZ59" s="308"/>
      <c r="LA59" s="308"/>
      <c r="LB59" s="308"/>
      <c r="LC59" s="308"/>
      <c r="LD59" s="308"/>
      <c r="LE59" s="308"/>
      <c r="LF59" s="308"/>
      <c r="LG59" s="308"/>
      <c r="LH59" s="308"/>
      <c r="LI59" s="308"/>
      <c r="LJ59" s="308"/>
      <c r="LK59" s="308"/>
      <c r="LL59" s="308"/>
      <c r="LM59" s="308"/>
      <c r="LN59" s="308"/>
      <c r="LO59" s="308"/>
      <c r="LP59" s="308"/>
      <c r="LQ59" s="308"/>
      <c r="LR59" s="308"/>
      <c r="LS59" s="308"/>
      <c r="LT59" s="308"/>
      <c r="LU59" s="308"/>
      <c r="LV59" s="308"/>
      <c r="LW59" s="308"/>
      <c r="LX59" s="308"/>
      <c r="LY59" s="308"/>
      <c r="LZ59" s="308"/>
      <c r="MA59" s="308"/>
      <c r="MB59" s="308"/>
      <c r="MC59" s="308"/>
      <c r="MD59" s="308"/>
      <c r="ME59" s="308"/>
      <c r="MF59" s="308"/>
      <c r="MG59" s="308"/>
      <c r="MH59" s="308"/>
      <c r="MI59" s="308"/>
      <c r="MJ59" s="308"/>
      <c r="MK59" s="308"/>
      <c r="ML59" s="308"/>
      <c r="MM59" s="308"/>
      <c r="MN59" s="308"/>
      <c r="MO59" s="308"/>
      <c r="MP59" s="308"/>
      <c r="MQ59" s="308"/>
      <c r="MR59" s="308"/>
      <c r="MS59" s="308"/>
      <c r="MT59" s="308"/>
      <c r="MU59" s="308"/>
      <c r="MV59" s="308"/>
      <c r="MW59" s="308"/>
      <c r="MX59" s="308"/>
      <c r="MY59" s="308"/>
      <c r="MZ59" s="308"/>
      <c r="NA59" s="308"/>
      <c r="NB59" s="308"/>
      <c r="NC59" s="308"/>
      <c r="ND59" s="308"/>
      <c r="NE59" s="308"/>
      <c r="NF59" s="308"/>
      <c r="NG59" s="308"/>
      <c r="NH59" s="308"/>
      <c r="NI59" s="308"/>
      <c r="NJ59" s="308"/>
      <c r="NK59" s="308"/>
      <c r="NL59" s="308"/>
      <c r="NM59" s="308"/>
      <c r="NN59" s="308"/>
      <c r="NO59" s="308"/>
      <c r="NP59" s="308"/>
      <c r="NQ59" s="308"/>
      <c r="NR59" s="308"/>
      <c r="NS59" s="308"/>
      <c r="NT59" s="308"/>
      <c r="NU59" s="308"/>
      <c r="NV59" s="308"/>
      <c r="NW59" s="308"/>
      <c r="NX59" s="308"/>
      <c r="NY59" s="308"/>
      <c r="NZ59" s="308"/>
      <c r="OA59" s="308"/>
      <c r="OB59" s="308"/>
      <c r="OC59" s="308"/>
      <c r="OD59" s="308"/>
      <c r="OE59" s="308"/>
      <c r="OF59" s="308"/>
      <c r="OG59" s="308"/>
      <c r="OH59" s="308"/>
      <c r="OI59" s="308"/>
      <c r="OJ59" s="308"/>
      <c r="OK59" s="308"/>
      <c r="OL59" s="308"/>
      <c r="OM59" s="308"/>
      <c r="ON59" s="308"/>
      <c r="OO59" s="308"/>
      <c r="OP59" s="308"/>
      <c r="OQ59" s="308"/>
      <c r="OR59" s="308"/>
      <c r="OS59" s="308"/>
      <c r="OT59" s="308"/>
      <c r="OU59" s="308"/>
      <c r="OV59" s="308"/>
      <c r="OW59" s="308"/>
      <c r="OX59" s="308"/>
      <c r="OY59" s="308"/>
      <c r="OZ59" s="308"/>
      <c r="PA59" s="308"/>
      <c r="PB59" s="308"/>
      <c r="PC59" s="308"/>
      <c r="PD59" s="308"/>
      <c r="PE59" s="308"/>
      <c r="PF59" s="308"/>
      <c r="PG59" s="308"/>
      <c r="PH59" s="308"/>
      <c r="PI59" s="308"/>
      <c r="PJ59" s="308"/>
      <c r="PK59" s="308"/>
      <c r="PL59" s="308"/>
      <c r="PM59" s="308"/>
      <c r="PN59" s="308"/>
      <c r="PO59" s="308"/>
      <c r="PP59" s="308"/>
      <c r="PQ59" s="308"/>
      <c r="PR59" s="308"/>
      <c r="PS59" s="308"/>
      <c r="PT59" s="308"/>
      <c r="PU59" s="308"/>
      <c r="PV59" s="308"/>
      <c r="PW59" s="308"/>
      <c r="PX59" s="308"/>
      <c r="PY59" s="308"/>
      <c r="PZ59" s="308"/>
      <c r="QA59" s="308"/>
      <c r="QB59" s="308"/>
      <c r="QC59" s="308"/>
      <c r="QD59" s="308"/>
      <c r="QE59" s="308"/>
      <c r="QF59" s="308"/>
      <c r="QG59" s="308"/>
      <c r="QH59" s="308"/>
      <c r="QI59" s="308"/>
      <c r="QJ59" s="308"/>
      <c r="QK59" s="308"/>
      <c r="QL59" s="308"/>
      <c r="QM59" s="308"/>
      <c r="QN59" s="308"/>
      <c r="QO59" s="308"/>
      <c r="QP59" s="308"/>
      <c r="QQ59" s="308"/>
      <c r="QR59" s="308"/>
      <c r="QS59" s="308"/>
      <c r="QT59" s="308"/>
      <c r="QU59" s="308"/>
      <c r="QV59" s="308"/>
      <c r="QW59" s="308"/>
      <c r="QX59" s="308"/>
      <c r="QY59" s="308"/>
      <c r="QZ59" s="308"/>
      <c r="RA59" s="308"/>
      <c r="RB59" s="308"/>
      <c r="RC59" s="308"/>
      <c r="RD59" s="308"/>
      <c r="RE59" s="308"/>
      <c r="RF59" s="308"/>
      <c r="RG59" s="308"/>
      <c r="RH59" s="308"/>
      <c r="RI59" s="308"/>
      <c r="RJ59" s="308"/>
      <c r="RK59" s="308"/>
      <c r="RL59" s="308"/>
      <c r="RM59" s="308"/>
      <c r="RN59" s="308"/>
      <c r="RO59" s="308"/>
      <c r="RP59" s="308"/>
      <c r="RQ59" s="308"/>
      <c r="RR59" s="308"/>
      <c r="RS59" s="308"/>
      <c r="RT59" s="308"/>
      <c r="RU59" s="308"/>
      <c r="RV59" s="308"/>
      <c r="RW59" s="308"/>
      <c r="RX59" s="308"/>
      <c r="RY59" s="308"/>
      <c r="RZ59" s="308"/>
      <c r="SA59" s="308"/>
      <c r="SB59" s="308"/>
      <c r="SC59" s="308"/>
      <c r="SD59" s="308"/>
      <c r="SE59" s="308"/>
      <c r="SF59" s="308"/>
      <c r="SG59" s="308"/>
      <c r="SH59" s="308"/>
      <c r="SI59" s="308"/>
      <c r="SJ59" s="308"/>
      <c r="SK59" s="308"/>
      <c r="SL59" s="308"/>
      <c r="SM59" s="308"/>
      <c r="SN59" s="308"/>
      <c r="SO59" s="308"/>
      <c r="SP59" s="308"/>
      <c r="SQ59" s="308"/>
      <c r="SR59" s="308"/>
      <c r="SS59" s="308"/>
      <c r="ST59" s="308"/>
      <c r="SU59" s="308"/>
      <c r="SV59" s="308"/>
      <c r="SW59" s="308"/>
      <c r="SX59" s="308"/>
      <c r="SY59" s="308"/>
      <c r="SZ59" s="308"/>
      <c r="TA59" s="308"/>
      <c r="TB59" s="308"/>
      <c r="TC59" s="308"/>
      <c r="TD59" s="308"/>
      <c r="TE59" s="308"/>
      <c r="TF59" s="308"/>
      <c r="TG59" s="308"/>
      <c r="TH59" s="308"/>
      <c r="TI59" s="308"/>
      <c r="TJ59" s="308"/>
      <c r="TK59" s="308"/>
      <c r="TL59" s="308"/>
      <c r="TM59" s="308"/>
      <c r="TN59" s="308"/>
      <c r="TO59" s="308"/>
      <c r="TP59" s="308"/>
      <c r="TQ59" s="308"/>
      <c r="TR59" s="308"/>
      <c r="TS59" s="308"/>
      <c r="TT59" s="308"/>
      <c r="TU59" s="308"/>
      <c r="TV59" s="308"/>
      <c r="TW59" s="308"/>
      <c r="TX59" s="308"/>
      <c r="TY59" s="308"/>
      <c r="TZ59" s="308"/>
      <c r="UA59" s="308"/>
      <c r="UB59" s="308"/>
      <c r="UC59" s="308"/>
      <c r="UD59" s="308"/>
      <c r="UE59" s="308"/>
      <c r="UF59" s="308"/>
      <c r="UG59" s="308"/>
      <c r="UH59" s="308"/>
      <c r="UI59" s="308"/>
      <c r="UJ59" s="308"/>
      <c r="UK59" s="308"/>
      <c r="UL59" s="308"/>
      <c r="UM59" s="308"/>
      <c r="UN59" s="308"/>
      <c r="UO59" s="308"/>
      <c r="UP59" s="308"/>
      <c r="UQ59" s="308"/>
      <c r="UR59" s="308"/>
      <c r="US59" s="308"/>
      <c r="UT59" s="308"/>
      <c r="UU59" s="308"/>
      <c r="UV59" s="308"/>
      <c r="UW59" s="308"/>
      <c r="UX59" s="308"/>
      <c r="UY59" s="308"/>
      <c r="UZ59" s="308"/>
      <c r="VA59" s="308"/>
      <c r="VB59" s="308"/>
      <c r="VC59" s="308"/>
      <c r="VD59" s="308"/>
      <c r="VE59" s="308"/>
      <c r="VF59" s="308"/>
      <c r="VG59" s="308"/>
      <c r="VH59" s="308"/>
      <c r="VI59" s="308"/>
      <c r="VJ59" s="308"/>
      <c r="VK59" s="308"/>
      <c r="VL59" s="308"/>
      <c r="VM59" s="308"/>
      <c r="VN59" s="308"/>
      <c r="VO59" s="308"/>
      <c r="VP59" s="308"/>
      <c r="VQ59" s="308"/>
      <c r="VR59" s="308"/>
      <c r="VS59" s="308"/>
      <c r="VT59" s="308"/>
      <c r="VU59" s="308"/>
      <c r="VV59" s="308"/>
      <c r="VW59" s="308"/>
      <c r="VX59" s="308"/>
      <c r="VY59" s="308"/>
      <c r="VZ59" s="308"/>
      <c r="WA59" s="308"/>
      <c r="WB59" s="308"/>
      <c r="WC59" s="308"/>
      <c r="WD59" s="308"/>
      <c r="WE59" s="308"/>
      <c r="WF59" s="308"/>
      <c r="WG59" s="308"/>
      <c r="WH59" s="308"/>
      <c r="WI59" s="308"/>
      <c r="WJ59" s="308"/>
      <c r="WK59" s="308"/>
      <c r="WL59" s="308"/>
      <c r="WM59" s="308"/>
      <c r="WN59" s="308"/>
      <c r="WO59" s="308"/>
      <c r="WP59" s="308"/>
      <c r="WQ59" s="308"/>
      <c r="WR59" s="308"/>
      <c r="WS59" s="308"/>
      <c r="WT59" s="308"/>
      <c r="WU59" s="308"/>
      <c r="WV59" s="308"/>
      <c r="WW59" s="308"/>
      <c r="WX59" s="308"/>
      <c r="WY59" s="308"/>
      <c r="WZ59" s="308"/>
      <c r="XA59" s="308"/>
      <c r="XB59" s="308"/>
      <c r="XC59" s="308"/>
      <c r="XD59" s="308"/>
      <c r="XE59" s="308"/>
      <c r="XF59" s="308"/>
      <c r="XG59" s="308"/>
      <c r="XH59" s="308"/>
      <c r="XI59" s="308"/>
      <c r="XJ59" s="308"/>
      <c r="XK59" s="308"/>
      <c r="XL59" s="308"/>
      <c r="XM59" s="308"/>
      <c r="XN59" s="308"/>
      <c r="XO59" s="308"/>
      <c r="XP59" s="308"/>
      <c r="XQ59" s="308"/>
      <c r="XR59" s="308"/>
      <c r="XS59" s="308"/>
      <c r="XT59" s="308"/>
      <c r="XU59" s="308"/>
      <c r="XV59" s="308"/>
      <c r="XW59" s="308"/>
      <c r="XX59" s="308"/>
      <c r="XY59" s="308"/>
      <c r="XZ59" s="308"/>
      <c r="YA59" s="308"/>
      <c r="YB59" s="308"/>
      <c r="YC59" s="308"/>
      <c r="YD59" s="308"/>
      <c r="YE59" s="308"/>
      <c r="YF59" s="308"/>
      <c r="YG59" s="308"/>
      <c r="YH59" s="308"/>
      <c r="YI59" s="308"/>
      <c r="YJ59" s="308"/>
      <c r="YK59" s="308"/>
      <c r="YL59" s="308"/>
      <c r="YM59" s="308"/>
      <c r="YN59" s="308"/>
      <c r="YO59" s="308"/>
      <c r="YP59" s="308"/>
      <c r="YQ59" s="308"/>
      <c r="YR59" s="308"/>
      <c r="YS59" s="308"/>
      <c r="YT59" s="308"/>
      <c r="YU59" s="308"/>
      <c r="YV59" s="308"/>
      <c r="YW59" s="308"/>
      <c r="YX59" s="308"/>
      <c r="YY59" s="308"/>
      <c r="YZ59" s="308"/>
      <c r="ZA59" s="308"/>
      <c r="ZB59" s="308"/>
      <c r="ZC59" s="308"/>
      <c r="ZD59" s="308"/>
      <c r="ZE59" s="308"/>
      <c r="ZF59" s="308"/>
      <c r="ZG59" s="308"/>
      <c r="ZH59" s="308"/>
      <c r="ZI59" s="308"/>
      <c r="ZJ59" s="308"/>
      <c r="ZK59" s="308"/>
      <c r="ZL59" s="308"/>
      <c r="ZM59" s="308"/>
      <c r="ZN59" s="308"/>
      <c r="ZO59" s="308"/>
      <c r="ZP59" s="308"/>
      <c r="ZQ59" s="308"/>
      <c r="ZR59" s="308"/>
      <c r="ZS59" s="308"/>
      <c r="ZT59" s="308"/>
      <c r="ZU59" s="308"/>
      <c r="ZV59" s="308"/>
      <c r="ZW59" s="308"/>
      <c r="ZX59" s="308"/>
      <c r="ZY59" s="308"/>
      <c r="ZZ59" s="308"/>
      <c r="AAA59" s="308"/>
      <c r="AAB59" s="308"/>
      <c r="AAC59" s="308"/>
      <c r="AAD59" s="308"/>
      <c r="AAE59" s="308"/>
      <c r="AAF59" s="308"/>
      <c r="AAG59" s="308"/>
      <c r="AAH59" s="308"/>
      <c r="AAI59" s="308"/>
      <c r="AAJ59" s="308"/>
      <c r="AAK59" s="308"/>
      <c r="AAL59" s="308"/>
      <c r="AAM59" s="308"/>
      <c r="AAN59" s="308"/>
      <c r="AAO59" s="308"/>
      <c r="AAP59" s="308"/>
      <c r="AAQ59" s="308"/>
      <c r="AAR59" s="308"/>
      <c r="AAS59" s="308"/>
      <c r="AAT59" s="308"/>
      <c r="AAU59" s="308"/>
      <c r="AAV59" s="308"/>
      <c r="AAW59" s="308"/>
      <c r="AAX59" s="308"/>
      <c r="AAY59" s="308"/>
      <c r="AAZ59" s="308"/>
      <c r="ABA59" s="308"/>
      <c r="ABB59" s="308"/>
      <c r="ABC59" s="308"/>
      <c r="ABD59" s="308"/>
      <c r="ABE59" s="308"/>
      <c r="ABF59" s="308"/>
      <c r="ABG59" s="308"/>
      <c r="ABH59" s="308"/>
      <c r="ABI59" s="308"/>
      <c r="ABJ59" s="308"/>
      <c r="ABK59" s="308"/>
      <c r="ABL59" s="308"/>
      <c r="ABM59" s="308"/>
      <c r="ABN59" s="308"/>
      <c r="ABO59" s="308"/>
      <c r="ABP59" s="308"/>
      <c r="ABQ59" s="308"/>
      <c r="ABR59" s="308"/>
      <c r="ABS59" s="308"/>
      <c r="ABT59" s="308"/>
      <c r="ABU59" s="308"/>
      <c r="ABV59" s="308"/>
      <c r="ABW59" s="308"/>
      <c r="ABX59" s="308"/>
      <c r="ABY59" s="308"/>
      <c r="ABZ59" s="308"/>
      <c r="ACA59" s="308"/>
      <c r="ACB59" s="308"/>
      <c r="ACC59" s="308"/>
      <c r="ACD59" s="308"/>
      <c r="ACE59" s="308"/>
      <c r="ACF59" s="308"/>
      <c r="ACG59" s="308"/>
      <c r="ACH59" s="308"/>
      <c r="ACI59" s="308"/>
      <c r="ACJ59" s="308"/>
      <c r="ACK59" s="308"/>
      <c r="ACL59" s="308"/>
      <c r="ACM59" s="308"/>
      <c r="ACN59" s="308"/>
      <c r="ACO59" s="308"/>
      <c r="ACP59" s="308"/>
      <c r="ACQ59" s="308"/>
      <c r="ACR59" s="308"/>
      <c r="ACS59" s="308"/>
      <c r="ACT59" s="308"/>
      <c r="ACU59" s="308"/>
      <c r="ACV59" s="308"/>
      <c r="ACW59" s="308"/>
      <c r="ACX59" s="308"/>
      <c r="ACY59" s="308"/>
      <c r="ACZ59" s="308"/>
      <c r="ADA59" s="308"/>
      <c r="ADB59" s="308"/>
      <c r="ADC59" s="308"/>
      <c r="ADD59" s="308"/>
      <c r="ADE59" s="308"/>
      <c r="ADF59" s="308"/>
      <c r="ADG59" s="308"/>
      <c r="ADH59" s="308"/>
      <c r="ADI59" s="308"/>
      <c r="ADJ59" s="308"/>
      <c r="ADK59" s="308"/>
      <c r="ADL59" s="308"/>
      <c r="ADM59" s="308"/>
      <c r="ADN59" s="308"/>
      <c r="ADO59" s="308"/>
      <c r="ADP59" s="308"/>
      <c r="ADQ59" s="308"/>
      <c r="ADR59" s="308"/>
      <c r="ADS59" s="308"/>
      <c r="ADT59" s="308"/>
      <c r="ADU59" s="308"/>
      <c r="ADV59" s="308"/>
      <c r="ADW59" s="308"/>
      <c r="ADX59" s="308"/>
      <c r="ADY59" s="308"/>
      <c r="ADZ59" s="308"/>
      <c r="AEA59" s="308"/>
      <c r="AEB59" s="308"/>
      <c r="AEC59" s="308"/>
      <c r="AED59" s="308"/>
      <c r="AEE59" s="308"/>
      <c r="AEF59" s="308"/>
      <c r="AEG59" s="308"/>
      <c r="AEH59" s="308"/>
      <c r="AEI59" s="308"/>
      <c r="AEJ59" s="308"/>
      <c r="AEK59" s="308"/>
      <c r="AEL59" s="308"/>
      <c r="AEM59" s="308"/>
      <c r="AEN59" s="308"/>
      <c r="AEO59" s="308"/>
      <c r="AEP59" s="308"/>
      <c r="AEQ59" s="308"/>
      <c r="AER59" s="308"/>
      <c r="AES59" s="308"/>
      <c r="AET59" s="308"/>
      <c r="AEU59" s="308"/>
      <c r="AEV59" s="308"/>
      <c r="AEW59" s="308"/>
      <c r="AEX59" s="308"/>
      <c r="AEY59" s="308"/>
      <c r="AEZ59" s="308"/>
      <c r="AFA59" s="308"/>
      <c r="AFB59" s="308"/>
      <c r="AFC59" s="308"/>
      <c r="AFD59" s="308"/>
      <c r="AFE59" s="308"/>
      <c r="AFF59" s="308"/>
      <c r="AFG59" s="308"/>
      <c r="AFH59" s="308"/>
      <c r="AFI59" s="308"/>
      <c r="AFJ59" s="308"/>
      <c r="AFK59" s="308"/>
      <c r="AFL59" s="308"/>
      <c r="AFM59" s="308"/>
      <c r="AFN59" s="308"/>
      <c r="AFO59" s="308"/>
      <c r="AFP59" s="308"/>
      <c r="AFQ59" s="308"/>
      <c r="AFR59" s="308"/>
      <c r="AFS59" s="308"/>
      <c r="AFT59" s="308"/>
      <c r="AFU59" s="308"/>
      <c r="AFV59" s="308"/>
      <c r="AFW59" s="308"/>
      <c r="AFX59" s="308"/>
      <c r="AFY59" s="308"/>
      <c r="AFZ59" s="308"/>
      <c r="AGA59" s="308"/>
      <c r="AGB59" s="308"/>
      <c r="AGC59" s="308"/>
      <c r="AGD59" s="308"/>
      <c r="AGE59" s="308"/>
      <c r="AGF59" s="308"/>
      <c r="AGG59" s="308"/>
      <c r="AGH59" s="308"/>
      <c r="AGI59" s="308"/>
      <c r="AGJ59" s="308"/>
      <c r="AGK59" s="308"/>
      <c r="AGL59" s="308"/>
      <c r="AGM59" s="308"/>
      <c r="AGN59" s="308"/>
      <c r="AGO59" s="308"/>
      <c r="AGP59" s="308"/>
      <c r="AGQ59" s="308"/>
      <c r="AGR59" s="308"/>
      <c r="AGS59" s="308"/>
      <c r="AGT59" s="308"/>
      <c r="AGU59" s="308"/>
      <c r="AGV59" s="308"/>
      <c r="AGW59" s="308"/>
      <c r="AGX59" s="308"/>
      <c r="AGY59" s="308"/>
      <c r="AGZ59" s="308"/>
      <c r="AHA59" s="308"/>
      <c r="AHB59" s="308"/>
      <c r="AHC59" s="308"/>
      <c r="AHD59" s="308"/>
      <c r="AHE59" s="308"/>
      <c r="AHF59" s="308"/>
      <c r="AHG59" s="308"/>
      <c r="AHH59" s="308"/>
      <c r="AHI59" s="308"/>
      <c r="AHJ59" s="308"/>
      <c r="AHK59" s="308"/>
      <c r="AHL59" s="308"/>
      <c r="AHM59" s="308"/>
      <c r="AHN59" s="308"/>
      <c r="AHO59" s="308"/>
      <c r="AHP59" s="308"/>
      <c r="AHQ59" s="308"/>
      <c r="AHR59" s="308"/>
      <c r="AHS59" s="308"/>
      <c r="AHT59" s="308"/>
      <c r="AHU59" s="308"/>
      <c r="AHV59" s="308"/>
      <c r="AHW59" s="308"/>
      <c r="AHX59" s="308"/>
      <c r="AHY59" s="308"/>
      <c r="AHZ59" s="308"/>
      <c r="AIA59" s="308"/>
      <c r="AIB59" s="308"/>
      <c r="AIC59" s="308"/>
      <c r="AID59" s="308"/>
      <c r="AIE59" s="308"/>
      <c r="AIF59" s="308"/>
      <c r="AIG59" s="308"/>
      <c r="AIH59" s="308"/>
      <c r="AII59" s="308"/>
      <c r="AIJ59" s="308"/>
      <c r="AIK59" s="308"/>
      <c r="AIL59" s="308"/>
      <c r="AIM59" s="308"/>
      <c r="AIN59" s="308"/>
      <c r="AIO59" s="308"/>
      <c r="AIP59" s="308"/>
      <c r="AIQ59" s="308"/>
      <c r="AIR59" s="308"/>
      <c r="AIS59" s="308"/>
      <c r="AIT59" s="308"/>
      <c r="AIU59" s="308"/>
      <c r="AIV59" s="308"/>
      <c r="AIW59" s="308"/>
      <c r="AIX59" s="308"/>
      <c r="AIY59" s="308"/>
      <c r="AIZ59" s="308"/>
      <c r="AJA59" s="308"/>
      <c r="AJB59" s="308"/>
      <c r="AJC59" s="308"/>
    </row>
    <row r="60" spans="1:940" s="567" customFormat="1">
      <c r="A60" s="115">
        <f>A59</f>
        <v>52</v>
      </c>
      <c r="B60" s="115"/>
      <c r="C60" s="115" t="s">
        <v>160</v>
      </c>
      <c r="D60" s="311">
        <f t="shared" ref="D60:AJ60" si="22">SUM(D8:D59)</f>
        <v>678388875</v>
      </c>
      <c r="E60" s="311">
        <f t="shared" si="22"/>
        <v>548562769</v>
      </c>
      <c r="F60" s="311">
        <f t="shared" si="22"/>
        <v>129826106</v>
      </c>
      <c r="G60" s="311">
        <f t="shared" si="22"/>
        <v>322106790</v>
      </c>
      <c r="H60" s="311">
        <f t="shared" si="22"/>
        <v>245047248.78000006</v>
      </c>
      <c r="I60" s="311">
        <f t="shared" si="22"/>
        <v>33173681.989999998</v>
      </c>
      <c r="J60" s="311">
        <f t="shared" si="22"/>
        <v>14153218.749999998</v>
      </c>
      <c r="K60" s="311">
        <f t="shared" si="22"/>
        <v>47326900.739999995</v>
      </c>
      <c r="L60" s="311">
        <f t="shared" si="22"/>
        <v>292374149.5200001</v>
      </c>
      <c r="M60" s="311">
        <f t="shared" si="22"/>
        <v>17588640.479999997</v>
      </c>
      <c r="N60" s="311">
        <f t="shared" si="22"/>
        <v>25100000</v>
      </c>
      <c r="O60" s="311">
        <f t="shared" si="22"/>
        <v>343326085</v>
      </c>
      <c r="P60" s="311">
        <f t="shared" si="22"/>
        <v>29732640.480000004</v>
      </c>
      <c r="Q60" s="311">
        <f t="shared" si="22"/>
        <v>0</v>
      </c>
      <c r="R60" s="311">
        <f t="shared" si="22"/>
        <v>0</v>
      </c>
      <c r="S60" s="311">
        <f t="shared" si="22"/>
        <v>0</v>
      </c>
      <c r="T60" s="311">
        <f t="shared" si="22"/>
        <v>12144000</v>
      </c>
      <c r="U60" s="311">
        <f t="shared" si="22"/>
        <v>12956000</v>
      </c>
      <c r="V60" s="311">
        <f t="shared" si="22"/>
        <v>12467173</v>
      </c>
      <c r="W60" s="118">
        <f t="shared" si="22"/>
        <v>0</v>
      </c>
      <c r="X60" s="311">
        <f t="shared" si="22"/>
        <v>0</v>
      </c>
      <c r="Y60" s="311">
        <f t="shared" si="22"/>
        <v>0</v>
      </c>
      <c r="Z60" s="311">
        <f t="shared" si="22"/>
        <v>488827</v>
      </c>
      <c r="AA60" s="311">
        <f t="shared" si="22"/>
        <v>38821200</v>
      </c>
      <c r="AB60" s="311">
        <f t="shared" si="22"/>
        <v>0</v>
      </c>
      <c r="AC60" s="311">
        <f t="shared" si="22"/>
        <v>0</v>
      </c>
      <c r="AD60" s="311">
        <f t="shared" si="22"/>
        <v>-1884000</v>
      </c>
      <c r="AE60" s="311">
        <f t="shared" si="22"/>
        <v>0</v>
      </c>
      <c r="AF60" s="311">
        <f t="shared" si="22"/>
        <v>1350000</v>
      </c>
      <c r="AG60" s="311">
        <f t="shared" si="22"/>
        <v>850000</v>
      </c>
      <c r="AH60" s="311">
        <f t="shared" si="22"/>
        <v>100000</v>
      </c>
      <c r="AI60" s="311">
        <f t="shared" si="22"/>
        <v>1550000</v>
      </c>
      <c r="AJ60" s="311">
        <f t="shared" si="22"/>
        <v>200000</v>
      </c>
      <c r="AK60" s="311">
        <f>SUM(AK8:AK59)</f>
        <v>2166000</v>
      </c>
      <c r="AL60" s="311">
        <f t="shared" ref="AL60:BC60" si="23">SUM(AL8:AL59)</f>
        <v>0</v>
      </c>
      <c r="AM60" s="311">
        <f t="shared" si="23"/>
        <v>2166000</v>
      </c>
      <c r="AN60" s="311">
        <f t="shared" si="23"/>
        <v>10790000</v>
      </c>
      <c r="AO60" s="311">
        <f t="shared" si="23"/>
        <v>2166000</v>
      </c>
      <c r="AP60" s="311">
        <f t="shared" si="23"/>
        <v>0</v>
      </c>
      <c r="AQ60" s="311">
        <f t="shared" si="23"/>
        <v>0</v>
      </c>
      <c r="AR60" s="311">
        <f t="shared" si="23"/>
        <v>0</v>
      </c>
      <c r="AS60" s="311">
        <f t="shared" si="23"/>
        <v>0</v>
      </c>
      <c r="AT60" s="311">
        <f t="shared" si="23"/>
        <v>0</v>
      </c>
      <c r="AU60" s="311">
        <f t="shared" si="23"/>
        <v>0</v>
      </c>
      <c r="AV60" s="311">
        <f t="shared" si="23"/>
        <v>0</v>
      </c>
      <c r="AW60" s="311">
        <f t="shared" si="23"/>
        <v>0</v>
      </c>
      <c r="AX60" s="311">
        <f t="shared" si="23"/>
        <v>0</v>
      </c>
      <c r="AY60" s="311">
        <f t="shared" si="23"/>
        <v>10301173</v>
      </c>
      <c r="AZ60" s="311">
        <f t="shared" si="23"/>
        <v>0</v>
      </c>
      <c r="BA60" s="311">
        <f t="shared" si="23"/>
        <v>0</v>
      </c>
      <c r="BB60" s="311">
        <f t="shared" si="23"/>
        <v>0</v>
      </c>
      <c r="BC60" s="311">
        <f t="shared" si="23"/>
        <v>488827</v>
      </c>
      <c r="BD60" s="544"/>
      <c r="BE60" s="544"/>
      <c r="BF60" s="544"/>
      <c r="BG60" s="544"/>
      <c r="BH60" s="544"/>
      <c r="AJD60" s="546"/>
    </row>
    <row r="61" spans="1:940" s="546" customFormat="1">
      <c r="A61" s="113"/>
      <c r="B61" s="113"/>
      <c r="C61" s="115" t="s">
        <v>254</v>
      </c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543"/>
      <c r="X61" s="117"/>
      <c r="Y61" s="117"/>
      <c r="Z61" s="113"/>
      <c r="AA61" s="113"/>
      <c r="AB61" s="117"/>
      <c r="AC61" s="117"/>
      <c r="AD61" s="117"/>
      <c r="AE61" s="117"/>
      <c r="AF61" s="117"/>
      <c r="AG61" s="117"/>
      <c r="AH61" s="117"/>
      <c r="AI61" s="117"/>
      <c r="AJ61" s="117"/>
      <c r="AK61" s="117">
        <f t="shared" ref="AK61:AK100" si="24">SUM(AB61:AJ61)</f>
        <v>0</v>
      </c>
      <c r="AL61" s="117"/>
      <c r="AM61" s="117"/>
      <c r="AN61" s="117">
        <f>U61-AK61</f>
        <v>0</v>
      </c>
      <c r="AO61" s="117">
        <f>AB61</f>
        <v>0</v>
      </c>
      <c r="AP61" s="565"/>
      <c r="AQ61" s="565"/>
      <c r="AR61" s="565"/>
      <c r="AS61" s="565"/>
      <c r="AT61" s="117">
        <f>AG61</f>
        <v>0</v>
      </c>
      <c r="AU61" s="565"/>
      <c r="AV61" s="565"/>
      <c r="AW61" s="565"/>
      <c r="AX61" s="565"/>
      <c r="AY61" s="117">
        <f>AL61</f>
        <v>0</v>
      </c>
      <c r="AZ61" s="565"/>
      <c r="BA61" s="565"/>
      <c r="BB61" s="565"/>
      <c r="BC61" s="565"/>
      <c r="BD61" s="544"/>
      <c r="BE61" s="544"/>
      <c r="BF61" s="544"/>
      <c r="BG61" s="544"/>
      <c r="BH61" s="544"/>
      <c r="BI61" s="308"/>
      <c r="BJ61" s="308"/>
      <c r="BK61" s="308"/>
      <c r="BL61" s="308"/>
      <c r="BM61" s="308"/>
      <c r="BN61" s="308"/>
      <c r="BO61" s="308"/>
      <c r="BP61" s="308"/>
      <c r="BQ61" s="308"/>
      <c r="BR61" s="308"/>
      <c r="BS61" s="308"/>
      <c r="BT61" s="308"/>
      <c r="BU61" s="308"/>
      <c r="BV61" s="308"/>
      <c r="BW61" s="308"/>
      <c r="BX61" s="308"/>
      <c r="BY61" s="308"/>
      <c r="BZ61" s="308"/>
      <c r="CA61" s="308"/>
      <c r="CB61" s="308"/>
      <c r="CC61" s="308"/>
      <c r="CD61" s="308"/>
      <c r="CE61" s="308"/>
      <c r="CF61" s="308"/>
      <c r="CG61" s="308"/>
      <c r="CH61" s="308"/>
      <c r="CI61" s="308"/>
      <c r="CJ61" s="308"/>
      <c r="CK61" s="308"/>
      <c r="CL61" s="308"/>
      <c r="CM61" s="308"/>
      <c r="CN61" s="308"/>
      <c r="CO61" s="308"/>
      <c r="CP61" s="308"/>
      <c r="CQ61" s="308"/>
      <c r="CR61" s="308"/>
      <c r="CS61" s="308"/>
      <c r="CT61" s="308"/>
      <c r="CU61" s="308"/>
      <c r="CV61" s="308"/>
      <c r="CW61" s="308"/>
      <c r="CX61" s="308"/>
      <c r="CY61" s="308"/>
      <c r="CZ61" s="308"/>
      <c r="DA61" s="308"/>
      <c r="DB61" s="308"/>
      <c r="DC61" s="308"/>
      <c r="DD61" s="308"/>
      <c r="DE61" s="308"/>
      <c r="DF61" s="308"/>
      <c r="DG61" s="308"/>
      <c r="DH61" s="308"/>
      <c r="DI61" s="308"/>
      <c r="DJ61" s="308"/>
      <c r="DK61" s="308"/>
      <c r="DL61" s="308"/>
      <c r="DM61" s="308"/>
      <c r="DN61" s="308"/>
      <c r="DO61" s="308"/>
      <c r="DP61" s="308"/>
      <c r="DQ61" s="308"/>
      <c r="DR61" s="308"/>
      <c r="DS61" s="308"/>
      <c r="DT61" s="308"/>
      <c r="DU61" s="308"/>
      <c r="DV61" s="308"/>
      <c r="DW61" s="308"/>
      <c r="DX61" s="308"/>
      <c r="DY61" s="308"/>
      <c r="DZ61" s="308"/>
      <c r="EA61" s="308"/>
      <c r="EB61" s="308"/>
      <c r="EC61" s="308"/>
      <c r="ED61" s="308"/>
      <c r="EE61" s="308"/>
      <c r="EF61" s="308"/>
      <c r="EG61" s="308"/>
      <c r="EH61" s="308"/>
      <c r="EI61" s="308"/>
      <c r="EJ61" s="308"/>
      <c r="EK61" s="308"/>
      <c r="EL61" s="308"/>
      <c r="EM61" s="308"/>
      <c r="EN61" s="308"/>
      <c r="EO61" s="308"/>
      <c r="EP61" s="308"/>
      <c r="EQ61" s="308"/>
      <c r="ER61" s="308"/>
      <c r="ES61" s="308"/>
      <c r="ET61" s="308"/>
      <c r="EU61" s="308"/>
      <c r="EV61" s="308"/>
      <c r="EW61" s="308"/>
      <c r="EX61" s="308"/>
      <c r="EY61" s="308"/>
      <c r="EZ61" s="308"/>
      <c r="FA61" s="308"/>
      <c r="FB61" s="308"/>
      <c r="FC61" s="308"/>
      <c r="FD61" s="308"/>
      <c r="FE61" s="308"/>
      <c r="FF61" s="308"/>
      <c r="FG61" s="308"/>
      <c r="FH61" s="308"/>
      <c r="FI61" s="308"/>
      <c r="FJ61" s="308"/>
      <c r="FK61" s="308"/>
      <c r="FL61" s="308"/>
      <c r="FM61" s="308"/>
      <c r="FN61" s="308"/>
      <c r="FO61" s="308"/>
      <c r="FP61" s="308"/>
      <c r="FQ61" s="308"/>
      <c r="FR61" s="308"/>
      <c r="FS61" s="308"/>
      <c r="FT61" s="308"/>
      <c r="FU61" s="308"/>
      <c r="FV61" s="308"/>
      <c r="FW61" s="308"/>
      <c r="FX61" s="308"/>
      <c r="FY61" s="308"/>
      <c r="FZ61" s="308"/>
      <c r="GA61" s="308"/>
      <c r="GB61" s="308"/>
      <c r="GC61" s="308"/>
      <c r="GD61" s="308"/>
      <c r="GE61" s="308"/>
      <c r="GF61" s="308"/>
      <c r="GG61" s="308"/>
      <c r="GH61" s="308"/>
      <c r="GI61" s="308"/>
      <c r="GJ61" s="308"/>
      <c r="GK61" s="308"/>
      <c r="GL61" s="308"/>
      <c r="GM61" s="308"/>
      <c r="GN61" s="308"/>
      <c r="GO61" s="308"/>
      <c r="GP61" s="308"/>
      <c r="GQ61" s="308"/>
      <c r="GR61" s="308"/>
      <c r="GS61" s="308"/>
      <c r="GT61" s="308"/>
      <c r="GU61" s="308"/>
      <c r="GV61" s="308"/>
      <c r="GW61" s="308"/>
      <c r="GX61" s="308"/>
      <c r="GY61" s="308"/>
      <c r="GZ61" s="308"/>
      <c r="HA61" s="308"/>
      <c r="HB61" s="308"/>
      <c r="HC61" s="308"/>
      <c r="HD61" s="308"/>
      <c r="HE61" s="308"/>
      <c r="HF61" s="308"/>
      <c r="HG61" s="308"/>
      <c r="HH61" s="308"/>
      <c r="HI61" s="308"/>
      <c r="HJ61" s="308"/>
      <c r="HK61" s="308"/>
      <c r="HL61" s="308"/>
      <c r="HM61" s="308"/>
      <c r="HN61" s="308"/>
      <c r="HO61" s="308"/>
      <c r="HP61" s="308"/>
      <c r="HQ61" s="308"/>
      <c r="HR61" s="308"/>
      <c r="HS61" s="308"/>
      <c r="HT61" s="308"/>
      <c r="HU61" s="308"/>
      <c r="HV61" s="308"/>
      <c r="HW61" s="308"/>
      <c r="HX61" s="308"/>
      <c r="HY61" s="308"/>
      <c r="HZ61" s="308"/>
      <c r="IA61" s="308"/>
      <c r="IB61" s="308"/>
      <c r="IC61" s="308"/>
      <c r="ID61" s="308"/>
      <c r="IE61" s="308"/>
      <c r="IF61" s="308"/>
      <c r="IG61" s="308"/>
      <c r="IH61" s="308"/>
      <c r="II61" s="308"/>
      <c r="IJ61" s="308"/>
      <c r="IK61" s="308"/>
      <c r="IL61" s="308"/>
      <c r="IM61" s="308"/>
      <c r="IN61" s="308"/>
      <c r="IO61" s="308"/>
      <c r="IP61" s="308"/>
      <c r="IQ61" s="308"/>
      <c r="IR61" s="308"/>
      <c r="IS61" s="308"/>
      <c r="IT61" s="308"/>
      <c r="IU61" s="308"/>
      <c r="IV61" s="308"/>
      <c r="IW61" s="308"/>
      <c r="IX61" s="308"/>
      <c r="IY61" s="308"/>
      <c r="IZ61" s="308"/>
      <c r="JA61" s="308"/>
      <c r="JB61" s="308"/>
      <c r="JC61" s="308"/>
      <c r="JD61" s="308"/>
      <c r="JE61" s="308"/>
      <c r="JF61" s="308"/>
      <c r="JG61" s="308"/>
      <c r="JH61" s="308"/>
      <c r="JI61" s="308"/>
      <c r="JJ61" s="308"/>
      <c r="JK61" s="308"/>
      <c r="JL61" s="308"/>
      <c r="JM61" s="308"/>
      <c r="JN61" s="308"/>
      <c r="JO61" s="308"/>
      <c r="JP61" s="308"/>
      <c r="JQ61" s="308"/>
      <c r="JR61" s="308"/>
      <c r="JS61" s="308"/>
      <c r="JT61" s="308"/>
      <c r="JU61" s="308"/>
      <c r="JV61" s="308"/>
      <c r="JW61" s="308"/>
      <c r="JX61" s="308"/>
      <c r="JY61" s="308"/>
      <c r="JZ61" s="308"/>
      <c r="KA61" s="308"/>
      <c r="KB61" s="308"/>
      <c r="KC61" s="308"/>
      <c r="KD61" s="308"/>
      <c r="KE61" s="308"/>
      <c r="KF61" s="308"/>
      <c r="KG61" s="308"/>
      <c r="KH61" s="308"/>
      <c r="KI61" s="308"/>
      <c r="KJ61" s="308"/>
      <c r="KK61" s="308"/>
      <c r="KL61" s="308"/>
      <c r="KM61" s="308"/>
      <c r="KN61" s="308"/>
      <c r="KO61" s="308"/>
      <c r="KP61" s="308"/>
      <c r="KQ61" s="308"/>
      <c r="KR61" s="308"/>
      <c r="KS61" s="308"/>
      <c r="KT61" s="308"/>
      <c r="KU61" s="308"/>
      <c r="KV61" s="308"/>
      <c r="KW61" s="308"/>
      <c r="KX61" s="308"/>
      <c r="KY61" s="308"/>
      <c r="KZ61" s="308"/>
      <c r="LA61" s="308"/>
      <c r="LB61" s="308"/>
      <c r="LC61" s="308"/>
      <c r="LD61" s="308"/>
      <c r="LE61" s="308"/>
      <c r="LF61" s="308"/>
      <c r="LG61" s="308"/>
      <c r="LH61" s="308"/>
      <c r="LI61" s="308"/>
      <c r="LJ61" s="308"/>
      <c r="LK61" s="308"/>
      <c r="LL61" s="308"/>
      <c r="LM61" s="308"/>
      <c r="LN61" s="308"/>
      <c r="LO61" s="308"/>
      <c r="LP61" s="308"/>
      <c r="LQ61" s="308"/>
      <c r="LR61" s="308"/>
      <c r="LS61" s="308"/>
      <c r="LT61" s="308"/>
      <c r="LU61" s="308"/>
      <c r="LV61" s="308"/>
      <c r="LW61" s="308"/>
      <c r="LX61" s="308"/>
      <c r="LY61" s="308"/>
      <c r="LZ61" s="308"/>
      <c r="MA61" s="308"/>
      <c r="MB61" s="308"/>
      <c r="MC61" s="308"/>
      <c r="MD61" s="308"/>
      <c r="ME61" s="308"/>
      <c r="MF61" s="308"/>
      <c r="MG61" s="308"/>
      <c r="MH61" s="308"/>
      <c r="MI61" s="308"/>
      <c r="MJ61" s="308"/>
      <c r="MK61" s="308"/>
      <c r="ML61" s="308"/>
      <c r="MM61" s="308"/>
      <c r="MN61" s="308"/>
      <c r="MO61" s="308"/>
      <c r="MP61" s="308"/>
      <c r="MQ61" s="308"/>
      <c r="MR61" s="308"/>
      <c r="MS61" s="308"/>
      <c r="MT61" s="308"/>
      <c r="MU61" s="308"/>
      <c r="MV61" s="308"/>
      <c r="MW61" s="308"/>
      <c r="MX61" s="308"/>
      <c r="MY61" s="308"/>
      <c r="MZ61" s="308"/>
      <c r="NA61" s="308"/>
      <c r="NB61" s="308"/>
      <c r="NC61" s="308"/>
      <c r="ND61" s="308"/>
      <c r="NE61" s="308"/>
      <c r="NF61" s="308"/>
      <c r="NG61" s="308"/>
      <c r="NH61" s="308"/>
      <c r="NI61" s="308"/>
      <c r="NJ61" s="308"/>
      <c r="NK61" s="308"/>
      <c r="NL61" s="308"/>
      <c r="NM61" s="308"/>
      <c r="NN61" s="308"/>
      <c r="NO61" s="308"/>
      <c r="NP61" s="308"/>
      <c r="NQ61" s="308"/>
      <c r="NR61" s="308"/>
      <c r="NS61" s="308"/>
      <c r="NT61" s="308"/>
      <c r="NU61" s="308"/>
      <c r="NV61" s="308"/>
      <c r="NW61" s="308"/>
      <c r="NX61" s="308"/>
      <c r="NY61" s="308"/>
      <c r="NZ61" s="308"/>
      <c r="OA61" s="308"/>
      <c r="OB61" s="308"/>
      <c r="OC61" s="308"/>
      <c r="OD61" s="308"/>
      <c r="OE61" s="308"/>
      <c r="OF61" s="308"/>
      <c r="OG61" s="308"/>
      <c r="OH61" s="308"/>
      <c r="OI61" s="308"/>
      <c r="OJ61" s="308"/>
      <c r="OK61" s="308"/>
      <c r="OL61" s="308"/>
      <c r="OM61" s="308"/>
      <c r="ON61" s="308"/>
      <c r="OO61" s="308"/>
      <c r="OP61" s="308"/>
      <c r="OQ61" s="308"/>
      <c r="OR61" s="308"/>
      <c r="OS61" s="308"/>
      <c r="OT61" s="308"/>
      <c r="OU61" s="308"/>
      <c r="OV61" s="308"/>
      <c r="OW61" s="308"/>
      <c r="OX61" s="308"/>
      <c r="OY61" s="308"/>
      <c r="OZ61" s="308"/>
      <c r="PA61" s="308"/>
      <c r="PB61" s="308"/>
      <c r="PC61" s="308"/>
      <c r="PD61" s="308"/>
      <c r="PE61" s="308"/>
      <c r="PF61" s="308"/>
      <c r="PG61" s="308"/>
      <c r="PH61" s="308"/>
      <c r="PI61" s="308"/>
      <c r="PJ61" s="308"/>
      <c r="PK61" s="308"/>
      <c r="PL61" s="308"/>
      <c r="PM61" s="308"/>
      <c r="PN61" s="308"/>
      <c r="PO61" s="308"/>
      <c r="PP61" s="308"/>
      <c r="PQ61" s="308"/>
      <c r="PR61" s="308"/>
      <c r="PS61" s="308"/>
      <c r="PT61" s="308"/>
      <c r="PU61" s="308"/>
      <c r="PV61" s="308"/>
      <c r="PW61" s="308"/>
      <c r="PX61" s="308"/>
      <c r="PY61" s="308"/>
      <c r="PZ61" s="308"/>
      <c r="QA61" s="308"/>
      <c r="QB61" s="308"/>
      <c r="QC61" s="308"/>
      <c r="QD61" s="308"/>
      <c r="QE61" s="308"/>
      <c r="QF61" s="308"/>
      <c r="QG61" s="308"/>
      <c r="QH61" s="308"/>
      <c r="QI61" s="308"/>
      <c r="QJ61" s="308"/>
      <c r="QK61" s="308"/>
      <c r="QL61" s="308"/>
      <c r="QM61" s="308"/>
      <c r="QN61" s="308"/>
      <c r="QO61" s="308"/>
      <c r="QP61" s="308"/>
      <c r="QQ61" s="308"/>
      <c r="QR61" s="308"/>
      <c r="QS61" s="308"/>
      <c r="QT61" s="308"/>
      <c r="QU61" s="308"/>
      <c r="QV61" s="308"/>
      <c r="QW61" s="308"/>
      <c r="QX61" s="308"/>
      <c r="QY61" s="308"/>
      <c r="QZ61" s="308"/>
      <c r="RA61" s="308"/>
      <c r="RB61" s="308"/>
      <c r="RC61" s="308"/>
      <c r="RD61" s="308"/>
      <c r="RE61" s="308"/>
      <c r="RF61" s="308"/>
      <c r="RG61" s="308"/>
      <c r="RH61" s="308"/>
      <c r="RI61" s="308"/>
      <c r="RJ61" s="308"/>
      <c r="RK61" s="308"/>
      <c r="RL61" s="308"/>
      <c r="RM61" s="308"/>
      <c r="RN61" s="308"/>
      <c r="RO61" s="308"/>
      <c r="RP61" s="308"/>
      <c r="RQ61" s="308"/>
      <c r="RR61" s="308"/>
      <c r="RS61" s="308"/>
      <c r="RT61" s="308"/>
      <c r="RU61" s="308"/>
      <c r="RV61" s="308"/>
      <c r="RW61" s="308"/>
      <c r="RX61" s="308"/>
      <c r="RY61" s="308"/>
      <c r="RZ61" s="308"/>
      <c r="SA61" s="308"/>
      <c r="SB61" s="308"/>
      <c r="SC61" s="308"/>
      <c r="SD61" s="308"/>
      <c r="SE61" s="308"/>
      <c r="SF61" s="308"/>
      <c r="SG61" s="308"/>
      <c r="SH61" s="308"/>
      <c r="SI61" s="308"/>
      <c r="SJ61" s="308"/>
      <c r="SK61" s="308"/>
      <c r="SL61" s="308"/>
      <c r="SM61" s="308"/>
      <c r="SN61" s="308"/>
      <c r="SO61" s="308"/>
      <c r="SP61" s="308"/>
      <c r="SQ61" s="308"/>
      <c r="SR61" s="308"/>
      <c r="SS61" s="308"/>
      <c r="ST61" s="308"/>
      <c r="SU61" s="308"/>
      <c r="SV61" s="308"/>
      <c r="SW61" s="308"/>
      <c r="SX61" s="308"/>
      <c r="SY61" s="308"/>
      <c r="SZ61" s="308"/>
      <c r="TA61" s="308"/>
      <c r="TB61" s="308"/>
      <c r="TC61" s="308"/>
      <c r="TD61" s="308"/>
      <c r="TE61" s="308"/>
      <c r="TF61" s="308"/>
      <c r="TG61" s="308"/>
      <c r="TH61" s="308"/>
      <c r="TI61" s="308"/>
      <c r="TJ61" s="308"/>
      <c r="TK61" s="308"/>
      <c r="TL61" s="308"/>
      <c r="TM61" s="308"/>
      <c r="TN61" s="308"/>
      <c r="TO61" s="308"/>
      <c r="TP61" s="308"/>
      <c r="TQ61" s="308"/>
      <c r="TR61" s="308"/>
      <c r="TS61" s="308"/>
      <c r="TT61" s="308"/>
      <c r="TU61" s="308"/>
      <c r="TV61" s="308"/>
      <c r="TW61" s="308"/>
      <c r="TX61" s="308"/>
      <c r="TY61" s="308"/>
      <c r="TZ61" s="308"/>
      <c r="UA61" s="308"/>
      <c r="UB61" s="308"/>
      <c r="UC61" s="308"/>
      <c r="UD61" s="308"/>
      <c r="UE61" s="308"/>
      <c r="UF61" s="308"/>
      <c r="UG61" s="308"/>
      <c r="UH61" s="308"/>
      <c r="UI61" s="308"/>
      <c r="UJ61" s="308"/>
      <c r="UK61" s="308"/>
      <c r="UL61" s="308"/>
      <c r="UM61" s="308"/>
      <c r="UN61" s="308"/>
      <c r="UO61" s="308"/>
      <c r="UP61" s="308"/>
      <c r="UQ61" s="308"/>
      <c r="UR61" s="308"/>
      <c r="US61" s="308"/>
      <c r="UT61" s="308"/>
      <c r="UU61" s="308"/>
      <c r="UV61" s="308"/>
      <c r="UW61" s="308"/>
      <c r="UX61" s="308"/>
      <c r="UY61" s="308"/>
      <c r="UZ61" s="308"/>
      <c r="VA61" s="308"/>
      <c r="VB61" s="308"/>
      <c r="VC61" s="308"/>
      <c r="VD61" s="308"/>
      <c r="VE61" s="308"/>
      <c r="VF61" s="308"/>
      <c r="VG61" s="308"/>
      <c r="VH61" s="308"/>
      <c r="VI61" s="308"/>
      <c r="VJ61" s="308"/>
      <c r="VK61" s="308"/>
      <c r="VL61" s="308"/>
      <c r="VM61" s="308"/>
      <c r="VN61" s="308"/>
      <c r="VO61" s="308"/>
      <c r="VP61" s="308"/>
      <c r="VQ61" s="308"/>
      <c r="VR61" s="308"/>
      <c r="VS61" s="308"/>
      <c r="VT61" s="308"/>
      <c r="VU61" s="308"/>
      <c r="VV61" s="308"/>
      <c r="VW61" s="308"/>
      <c r="VX61" s="308"/>
      <c r="VY61" s="308"/>
      <c r="VZ61" s="308"/>
      <c r="WA61" s="308"/>
      <c r="WB61" s="308"/>
      <c r="WC61" s="308"/>
      <c r="WD61" s="308"/>
      <c r="WE61" s="308"/>
      <c r="WF61" s="308"/>
      <c r="WG61" s="308"/>
      <c r="WH61" s="308"/>
      <c r="WI61" s="308"/>
      <c r="WJ61" s="308"/>
      <c r="WK61" s="308"/>
      <c r="WL61" s="308"/>
      <c r="WM61" s="308"/>
      <c r="WN61" s="308"/>
      <c r="WO61" s="308"/>
      <c r="WP61" s="308"/>
      <c r="WQ61" s="308"/>
      <c r="WR61" s="308"/>
      <c r="WS61" s="308"/>
      <c r="WT61" s="308"/>
      <c r="WU61" s="308"/>
      <c r="WV61" s="308"/>
      <c r="WW61" s="308"/>
      <c r="WX61" s="308"/>
      <c r="WY61" s="308"/>
      <c r="WZ61" s="308"/>
      <c r="XA61" s="308"/>
      <c r="XB61" s="308"/>
      <c r="XC61" s="308"/>
      <c r="XD61" s="308"/>
      <c r="XE61" s="308"/>
      <c r="XF61" s="308"/>
      <c r="XG61" s="308"/>
      <c r="XH61" s="308"/>
      <c r="XI61" s="308"/>
      <c r="XJ61" s="308"/>
      <c r="XK61" s="308"/>
      <c r="XL61" s="308"/>
      <c r="XM61" s="308"/>
      <c r="XN61" s="308"/>
      <c r="XO61" s="308"/>
      <c r="XP61" s="308"/>
      <c r="XQ61" s="308"/>
      <c r="XR61" s="308"/>
      <c r="XS61" s="308"/>
      <c r="XT61" s="308"/>
      <c r="XU61" s="308"/>
      <c r="XV61" s="308"/>
      <c r="XW61" s="308"/>
      <c r="XX61" s="308"/>
      <c r="XY61" s="308"/>
      <c r="XZ61" s="308"/>
      <c r="YA61" s="308"/>
      <c r="YB61" s="308"/>
      <c r="YC61" s="308"/>
      <c r="YD61" s="308"/>
      <c r="YE61" s="308"/>
      <c r="YF61" s="308"/>
      <c r="YG61" s="308"/>
      <c r="YH61" s="308"/>
      <c r="YI61" s="308"/>
      <c r="YJ61" s="308"/>
      <c r="YK61" s="308"/>
      <c r="YL61" s="308"/>
      <c r="YM61" s="308"/>
      <c r="YN61" s="308"/>
      <c r="YO61" s="308"/>
      <c r="YP61" s="308"/>
      <c r="YQ61" s="308"/>
      <c r="YR61" s="308"/>
      <c r="YS61" s="308"/>
      <c r="YT61" s="308"/>
      <c r="YU61" s="308"/>
      <c r="YV61" s="308"/>
      <c r="YW61" s="308"/>
      <c r="YX61" s="308"/>
      <c r="YY61" s="308"/>
      <c r="YZ61" s="308"/>
      <c r="ZA61" s="308"/>
      <c r="ZB61" s="308"/>
      <c r="ZC61" s="308"/>
      <c r="ZD61" s="308"/>
      <c r="ZE61" s="308"/>
      <c r="ZF61" s="308"/>
      <c r="ZG61" s="308"/>
      <c r="ZH61" s="308"/>
      <c r="ZI61" s="308"/>
      <c r="ZJ61" s="308"/>
      <c r="ZK61" s="308"/>
      <c r="ZL61" s="308"/>
      <c r="ZM61" s="308"/>
      <c r="ZN61" s="308"/>
      <c r="ZO61" s="308"/>
      <c r="ZP61" s="308"/>
      <c r="ZQ61" s="308"/>
      <c r="ZR61" s="308"/>
      <c r="ZS61" s="308"/>
      <c r="ZT61" s="308"/>
      <c r="ZU61" s="308"/>
      <c r="ZV61" s="308"/>
      <c r="ZW61" s="308"/>
      <c r="ZX61" s="308"/>
      <c r="ZY61" s="308"/>
      <c r="ZZ61" s="308"/>
      <c r="AAA61" s="308"/>
      <c r="AAB61" s="308"/>
      <c r="AAC61" s="308"/>
      <c r="AAD61" s="308"/>
      <c r="AAE61" s="308"/>
      <c r="AAF61" s="308"/>
      <c r="AAG61" s="308"/>
      <c r="AAH61" s="308"/>
      <c r="AAI61" s="308"/>
      <c r="AAJ61" s="308"/>
      <c r="AAK61" s="308"/>
      <c r="AAL61" s="308"/>
      <c r="AAM61" s="308"/>
      <c r="AAN61" s="308"/>
      <c r="AAO61" s="308"/>
      <c r="AAP61" s="308"/>
      <c r="AAQ61" s="308"/>
      <c r="AAR61" s="308"/>
      <c r="AAS61" s="308"/>
      <c r="AAT61" s="308"/>
      <c r="AAU61" s="308"/>
      <c r="AAV61" s="308"/>
      <c r="AAW61" s="308"/>
      <c r="AAX61" s="308"/>
      <c r="AAY61" s="308"/>
      <c r="AAZ61" s="308"/>
      <c r="ABA61" s="308"/>
      <c r="ABB61" s="308"/>
      <c r="ABC61" s="308"/>
      <c r="ABD61" s="308"/>
      <c r="ABE61" s="308"/>
      <c r="ABF61" s="308"/>
      <c r="ABG61" s="308"/>
      <c r="ABH61" s="308"/>
      <c r="ABI61" s="308"/>
      <c r="ABJ61" s="308"/>
      <c r="ABK61" s="308"/>
      <c r="ABL61" s="308"/>
      <c r="ABM61" s="308"/>
      <c r="ABN61" s="308"/>
      <c r="ABO61" s="308"/>
      <c r="ABP61" s="308"/>
      <c r="ABQ61" s="308"/>
      <c r="ABR61" s="308"/>
      <c r="ABS61" s="308"/>
      <c r="ABT61" s="308"/>
      <c r="ABU61" s="308"/>
      <c r="ABV61" s="308"/>
      <c r="ABW61" s="308"/>
      <c r="ABX61" s="308"/>
      <c r="ABY61" s="308"/>
      <c r="ABZ61" s="308"/>
      <c r="ACA61" s="308"/>
      <c r="ACB61" s="308"/>
      <c r="ACC61" s="308"/>
      <c r="ACD61" s="308"/>
      <c r="ACE61" s="308"/>
      <c r="ACF61" s="308"/>
      <c r="ACG61" s="308"/>
      <c r="ACH61" s="308"/>
      <c r="ACI61" s="308"/>
      <c r="ACJ61" s="308"/>
      <c r="ACK61" s="308"/>
      <c r="ACL61" s="308"/>
      <c r="ACM61" s="308"/>
      <c r="ACN61" s="308"/>
      <c r="ACO61" s="308"/>
      <c r="ACP61" s="308"/>
      <c r="ACQ61" s="308"/>
      <c r="ACR61" s="308"/>
      <c r="ACS61" s="308"/>
      <c r="ACT61" s="308"/>
      <c r="ACU61" s="308"/>
      <c r="ACV61" s="308"/>
      <c r="ACW61" s="308"/>
      <c r="ACX61" s="308"/>
      <c r="ACY61" s="308"/>
      <c r="ACZ61" s="308"/>
      <c r="ADA61" s="308"/>
      <c r="ADB61" s="308"/>
      <c r="ADC61" s="308"/>
      <c r="ADD61" s="308"/>
      <c r="ADE61" s="308"/>
      <c r="ADF61" s="308"/>
      <c r="ADG61" s="308"/>
      <c r="ADH61" s="308"/>
      <c r="ADI61" s="308"/>
      <c r="ADJ61" s="308"/>
      <c r="ADK61" s="308"/>
      <c r="ADL61" s="308"/>
      <c r="ADM61" s="308"/>
      <c r="ADN61" s="308"/>
      <c r="ADO61" s="308"/>
      <c r="ADP61" s="308"/>
      <c r="ADQ61" s="308"/>
      <c r="ADR61" s="308"/>
      <c r="ADS61" s="308"/>
      <c r="ADT61" s="308"/>
      <c r="ADU61" s="308"/>
      <c r="ADV61" s="308"/>
      <c r="ADW61" s="308"/>
      <c r="ADX61" s="308"/>
      <c r="ADY61" s="308"/>
      <c r="ADZ61" s="308"/>
      <c r="AEA61" s="308"/>
      <c r="AEB61" s="308"/>
      <c r="AEC61" s="308"/>
      <c r="AED61" s="308"/>
      <c r="AEE61" s="308"/>
      <c r="AEF61" s="308"/>
      <c r="AEG61" s="308"/>
      <c r="AEH61" s="308"/>
      <c r="AEI61" s="308"/>
      <c r="AEJ61" s="308"/>
      <c r="AEK61" s="308"/>
      <c r="AEL61" s="308"/>
      <c r="AEM61" s="308"/>
      <c r="AEN61" s="308"/>
      <c r="AEO61" s="308"/>
      <c r="AEP61" s="308"/>
      <c r="AEQ61" s="308"/>
      <c r="AER61" s="308"/>
      <c r="AES61" s="308"/>
      <c r="AET61" s="308"/>
      <c r="AEU61" s="308"/>
      <c r="AEV61" s="308"/>
      <c r="AEW61" s="308"/>
      <c r="AEX61" s="308"/>
      <c r="AEY61" s="308"/>
      <c r="AEZ61" s="308"/>
      <c r="AFA61" s="308"/>
      <c r="AFB61" s="308"/>
      <c r="AFC61" s="308"/>
      <c r="AFD61" s="308"/>
      <c r="AFE61" s="308"/>
      <c r="AFF61" s="308"/>
      <c r="AFG61" s="308"/>
      <c r="AFH61" s="308"/>
      <c r="AFI61" s="308"/>
      <c r="AFJ61" s="308"/>
      <c r="AFK61" s="308"/>
      <c r="AFL61" s="308"/>
      <c r="AFM61" s="308"/>
      <c r="AFN61" s="308"/>
      <c r="AFO61" s="308"/>
      <c r="AFP61" s="308"/>
      <c r="AFQ61" s="308"/>
      <c r="AFR61" s="308"/>
      <c r="AFS61" s="308"/>
      <c r="AFT61" s="308"/>
      <c r="AFU61" s="308"/>
      <c r="AFV61" s="308"/>
      <c r="AFW61" s="308"/>
      <c r="AFX61" s="308"/>
      <c r="AFY61" s="308"/>
      <c r="AFZ61" s="308"/>
      <c r="AGA61" s="308"/>
      <c r="AGB61" s="308"/>
      <c r="AGC61" s="308"/>
      <c r="AGD61" s="308"/>
      <c r="AGE61" s="308"/>
      <c r="AGF61" s="308"/>
      <c r="AGG61" s="308"/>
      <c r="AGH61" s="308"/>
      <c r="AGI61" s="308"/>
      <c r="AGJ61" s="308"/>
      <c r="AGK61" s="308"/>
      <c r="AGL61" s="308"/>
      <c r="AGM61" s="308"/>
      <c r="AGN61" s="308"/>
      <c r="AGO61" s="308"/>
      <c r="AGP61" s="308"/>
      <c r="AGQ61" s="308"/>
      <c r="AGR61" s="308"/>
      <c r="AGS61" s="308"/>
      <c r="AGT61" s="308"/>
      <c r="AGU61" s="308"/>
      <c r="AGV61" s="308"/>
      <c r="AGW61" s="308"/>
      <c r="AGX61" s="308"/>
      <c r="AGY61" s="308"/>
      <c r="AGZ61" s="308"/>
      <c r="AHA61" s="308"/>
      <c r="AHB61" s="308"/>
      <c r="AHC61" s="308"/>
      <c r="AHD61" s="308"/>
      <c r="AHE61" s="308"/>
      <c r="AHF61" s="308"/>
      <c r="AHG61" s="308"/>
      <c r="AHH61" s="308"/>
      <c r="AHI61" s="308"/>
      <c r="AHJ61" s="308"/>
      <c r="AHK61" s="308"/>
      <c r="AHL61" s="308"/>
      <c r="AHM61" s="308"/>
      <c r="AHN61" s="308"/>
      <c r="AHO61" s="308"/>
      <c r="AHP61" s="308"/>
      <c r="AHQ61" s="308"/>
      <c r="AHR61" s="308"/>
      <c r="AHS61" s="308"/>
      <c r="AHT61" s="308"/>
      <c r="AHU61" s="308"/>
      <c r="AHV61" s="308"/>
      <c r="AHW61" s="308"/>
      <c r="AHX61" s="308"/>
      <c r="AHY61" s="308"/>
      <c r="AHZ61" s="308"/>
      <c r="AIA61" s="308"/>
      <c r="AIB61" s="308"/>
      <c r="AIC61" s="308"/>
      <c r="AID61" s="308"/>
      <c r="AIE61" s="308"/>
      <c r="AIF61" s="308"/>
      <c r="AIG61" s="308"/>
      <c r="AIH61" s="308"/>
      <c r="AII61" s="308"/>
      <c r="AIJ61" s="308"/>
      <c r="AIK61" s="308"/>
      <c r="AIL61" s="308"/>
      <c r="AIM61" s="308"/>
      <c r="AIN61" s="308"/>
      <c r="AIO61" s="308"/>
      <c r="AIP61" s="308"/>
      <c r="AIQ61" s="308"/>
      <c r="AIR61" s="308"/>
      <c r="AIS61" s="308"/>
      <c r="AIT61" s="308"/>
      <c r="AIU61" s="308"/>
      <c r="AIV61" s="308"/>
      <c r="AIW61" s="308"/>
      <c r="AIX61" s="308"/>
      <c r="AIY61" s="308"/>
      <c r="AIZ61" s="308"/>
      <c r="AJA61" s="308"/>
      <c r="AJB61" s="308"/>
      <c r="AJC61" s="308"/>
    </row>
    <row r="62" spans="1:940" s="546" customFormat="1">
      <c r="A62" s="113">
        <f>A60+1</f>
        <v>53</v>
      </c>
      <c r="B62" s="113">
        <v>1100</v>
      </c>
      <c r="C62" s="113" t="s">
        <v>17</v>
      </c>
      <c r="D62" s="117">
        <v>7000000</v>
      </c>
      <c r="E62" s="117">
        <v>7000000</v>
      </c>
      <c r="F62" s="117">
        <f t="shared" ref="F62:F81" si="25">D62-E62</f>
        <v>0</v>
      </c>
      <c r="G62" s="117">
        <v>5100000</v>
      </c>
      <c r="H62" s="117">
        <v>2694319.1</v>
      </c>
      <c r="I62" s="117">
        <v>1717532.41</v>
      </c>
      <c r="J62" s="117">
        <v>78334.31</v>
      </c>
      <c r="K62" s="117">
        <f t="shared" ref="K62:K81" si="26">SUM(I62:J62)</f>
        <v>1795866.72</v>
      </c>
      <c r="L62" s="117">
        <f t="shared" ref="L62:L81" si="27">H62+K62</f>
        <v>4490185.82</v>
      </c>
      <c r="M62" s="117">
        <f t="shared" ref="M62:M69" si="28">P62+S62</f>
        <v>609814.1799999997</v>
      </c>
      <c r="N62" s="117">
        <f>1000000-500000</f>
        <v>500000</v>
      </c>
      <c r="O62" s="117">
        <f t="shared" ref="O62:O81" si="29">D62-L62-M62-N62</f>
        <v>1400000</v>
      </c>
      <c r="P62" s="117">
        <f t="shared" ref="P62:P81" si="30">G62-L62</f>
        <v>609814.1799999997</v>
      </c>
      <c r="Q62" s="117"/>
      <c r="R62" s="117"/>
      <c r="S62" s="117">
        <f t="shared" ref="S62:S81" si="31">SUM(Q62:R62)</f>
        <v>0</v>
      </c>
      <c r="T62" s="117">
        <f t="shared" ref="T62:T81" si="32">P62-M62+S62</f>
        <v>0</v>
      </c>
      <c r="U62" s="117">
        <f t="shared" ref="U62:U79" si="33">N62-T62</f>
        <v>500000</v>
      </c>
      <c r="V62" s="117">
        <f t="shared" ref="V62:V83" si="34">U62-Z62-W62-Y62</f>
        <v>500000</v>
      </c>
      <c r="W62" s="543"/>
      <c r="X62" s="117"/>
      <c r="Y62" s="117"/>
      <c r="Z62" s="113"/>
      <c r="AA62" s="113">
        <v>732000</v>
      </c>
      <c r="AB62" s="117"/>
      <c r="AC62" s="117"/>
      <c r="AD62" s="117"/>
      <c r="AE62" s="117"/>
      <c r="AF62" s="117">
        <f>500000</f>
        <v>500000</v>
      </c>
      <c r="AG62" s="117"/>
      <c r="AH62" s="117"/>
      <c r="AI62" s="117"/>
      <c r="AJ62" s="117"/>
      <c r="AK62" s="117">
        <f t="shared" si="24"/>
        <v>500000</v>
      </c>
      <c r="AL62" s="117"/>
      <c r="AM62" s="566">
        <f t="shared" ref="AM62:AM83" si="35">AK62+AL62</f>
        <v>500000</v>
      </c>
      <c r="AN62" s="117">
        <f t="shared" ref="AN62:AN83" si="36">U62-AM62</f>
        <v>0</v>
      </c>
      <c r="AO62" s="117">
        <f t="shared" ref="AO62:AO83" si="37">AM62-AP62-AQ62-AR62-AS62</f>
        <v>500000</v>
      </c>
      <c r="AP62" s="565"/>
      <c r="AQ62" s="565"/>
      <c r="AR62" s="565"/>
      <c r="AS62" s="565"/>
      <c r="AT62" s="117">
        <f t="shared" ref="AT62:AT83" si="38">AL62-AU62-AV62-AW62-AX62</f>
        <v>0</v>
      </c>
      <c r="AU62" s="565"/>
      <c r="AV62" s="565"/>
      <c r="AW62" s="565"/>
      <c r="AX62" s="565"/>
      <c r="AY62" s="117">
        <f t="shared" ref="AY62:AY83" si="39">AN62-AZ62-BA62-BB62-BC62</f>
        <v>0</v>
      </c>
      <c r="AZ62" s="565"/>
      <c r="BA62" s="565"/>
      <c r="BB62" s="565"/>
      <c r="BC62" s="565"/>
      <c r="BD62" s="544"/>
      <c r="BE62" s="544"/>
      <c r="BF62" s="544"/>
      <c r="BG62" s="544"/>
      <c r="BH62" s="544"/>
      <c r="BI62" s="308"/>
      <c r="BJ62" s="308"/>
      <c r="BK62" s="308"/>
      <c r="BL62" s="308"/>
      <c r="BM62" s="308"/>
      <c r="BN62" s="308"/>
      <c r="BO62" s="308"/>
      <c r="BP62" s="308"/>
      <c r="BQ62" s="308"/>
      <c r="BR62" s="308"/>
      <c r="BS62" s="308"/>
      <c r="BT62" s="308"/>
      <c r="BU62" s="308"/>
      <c r="BV62" s="308"/>
      <c r="BW62" s="308"/>
      <c r="BX62" s="308"/>
      <c r="BY62" s="308"/>
      <c r="BZ62" s="308"/>
      <c r="CA62" s="308"/>
      <c r="CB62" s="308"/>
      <c r="CC62" s="308"/>
      <c r="CD62" s="308"/>
      <c r="CE62" s="308"/>
      <c r="CF62" s="308"/>
      <c r="CG62" s="308"/>
      <c r="CH62" s="308"/>
      <c r="CI62" s="308"/>
      <c r="CJ62" s="308"/>
      <c r="CK62" s="308"/>
      <c r="CL62" s="308"/>
      <c r="CM62" s="308"/>
      <c r="CN62" s="308"/>
      <c r="CO62" s="308"/>
      <c r="CP62" s="308"/>
      <c r="CQ62" s="308"/>
      <c r="CR62" s="308"/>
      <c r="CS62" s="308"/>
      <c r="CT62" s="308"/>
      <c r="CU62" s="308"/>
      <c r="CV62" s="308"/>
      <c r="CW62" s="308"/>
      <c r="CX62" s="308"/>
      <c r="CY62" s="308"/>
      <c r="CZ62" s="308"/>
      <c r="DA62" s="308"/>
      <c r="DB62" s="308"/>
      <c r="DC62" s="308"/>
      <c r="DD62" s="308"/>
      <c r="DE62" s="308"/>
      <c r="DF62" s="308"/>
      <c r="DG62" s="308"/>
      <c r="DH62" s="308"/>
      <c r="DI62" s="308"/>
      <c r="DJ62" s="308"/>
      <c r="DK62" s="308"/>
      <c r="DL62" s="308"/>
      <c r="DM62" s="308"/>
      <c r="DN62" s="308"/>
      <c r="DO62" s="308"/>
      <c r="DP62" s="308"/>
      <c r="DQ62" s="308"/>
      <c r="DR62" s="308"/>
      <c r="DS62" s="308"/>
      <c r="DT62" s="308"/>
      <c r="DU62" s="308"/>
      <c r="DV62" s="308"/>
      <c r="DW62" s="308"/>
      <c r="DX62" s="308"/>
      <c r="DY62" s="308"/>
      <c r="DZ62" s="308"/>
      <c r="EA62" s="308"/>
      <c r="EB62" s="308"/>
      <c r="EC62" s="308"/>
      <c r="ED62" s="308"/>
      <c r="EE62" s="308"/>
      <c r="EF62" s="308"/>
      <c r="EG62" s="308"/>
      <c r="EH62" s="308"/>
      <c r="EI62" s="308"/>
      <c r="EJ62" s="308"/>
      <c r="EK62" s="308"/>
      <c r="EL62" s="308"/>
      <c r="EM62" s="308"/>
      <c r="EN62" s="308"/>
      <c r="EO62" s="308"/>
      <c r="EP62" s="308"/>
      <c r="EQ62" s="308"/>
      <c r="ER62" s="308"/>
      <c r="ES62" s="308"/>
      <c r="ET62" s="308"/>
      <c r="EU62" s="308"/>
      <c r="EV62" s="308"/>
      <c r="EW62" s="308"/>
      <c r="EX62" s="308"/>
      <c r="EY62" s="308"/>
      <c r="EZ62" s="308"/>
      <c r="FA62" s="308"/>
      <c r="FB62" s="308"/>
      <c r="FC62" s="308"/>
      <c r="FD62" s="308"/>
      <c r="FE62" s="308"/>
      <c r="FF62" s="308"/>
      <c r="FG62" s="308"/>
      <c r="FH62" s="308"/>
      <c r="FI62" s="308"/>
      <c r="FJ62" s="308"/>
      <c r="FK62" s="308"/>
      <c r="FL62" s="308"/>
      <c r="FM62" s="308"/>
      <c r="FN62" s="308"/>
      <c r="FO62" s="308"/>
      <c r="FP62" s="308"/>
      <c r="FQ62" s="308"/>
      <c r="FR62" s="308"/>
      <c r="FS62" s="308"/>
      <c r="FT62" s="308"/>
      <c r="FU62" s="308"/>
      <c r="FV62" s="308"/>
      <c r="FW62" s="308"/>
      <c r="FX62" s="308"/>
      <c r="FY62" s="308"/>
      <c r="FZ62" s="308"/>
      <c r="GA62" s="308"/>
      <c r="GB62" s="308"/>
      <c r="GC62" s="308"/>
      <c r="GD62" s="308"/>
      <c r="GE62" s="308"/>
      <c r="GF62" s="308"/>
      <c r="GG62" s="308"/>
      <c r="GH62" s="308"/>
      <c r="GI62" s="308"/>
      <c r="GJ62" s="308"/>
      <c r="GK62" s="308"/>
      <c r="GL62" s="308"/>
      <c r="GM62" s="308"/>
      <c r="GN62" s="308"/>
      <c r="GO62" s="308"/>
      <c r="GP62" s="308"/>
      <c r="GQ62" s="308"/>
      <c r="GR62" s="308"/>
      <c r="GS62" s="308"/>
      <c r="GT62" s="308"/>
      <c r="GU62" s="308"/>
      <c r="GV62" s="308"/>
      <c r="GW62" s="308"/>
      <c r="GX62" s="308"/>
      <c r="GY62" s="308"/>
      <c r="GZ62" s="308"/>
      <c r="HA62" s="308"/>
      <c r="HB62" s="308"/>
      <c r="HC62" s="308"/>
      <c r="HD62" s="308"/>
      <c r="HE62" s="308"/>
      <c r="HF62" s="308"/>
      <c r="HG62" s="308"/>
      <c r="HH62" s="308"/>
      <c r="HI62" s="308"/>
      <c r="HJ62" s="308"/>
      <c r="HK62" s="308"/>
      <c r="HL62" s="308"/>
      <c r="HM62" s="308"/>
      <c r="HN62" s="308"/>
      <c r="HO62" s="308"/>
      <c r="HP62" s="308"/>
      <c r="HQ62" s="308"/>
      <c r="HR62" s="308"/>
      <c r="HS62" s="308"/>
      <c r="HT62" s="308"/>
      <c r="HU62" s="308"/>
      <c r="HV62" s="308"/>
      <c r="HW62" s="308"/>
      <c r="HX62" s="308"/>
      <c r="HY62" s="308"/>
      <c r="HZ62" s="308"/>
      <c r="IA62" s="308"/>
      <c r="IB62" s="308"/>
      <c r="IC62" s="308"/>
      <c r="ID62" s="308"/>
      <c r="IE62" s="308"/>
      <c r="IF62" s="308"/>
      <c r="IG62" s="308"/>
      <c r="IH62" s="308"/>
      <c r="II62" s="308"/>
      <c r="IJ62" s="308"/>
      <c r="IK62" s="308"/>
      <c r="IL62" s="308"/>
      <c r="IM62" s="308"/>
      <c r="IN62" s="308"/>
      <c r="IO62" s="308"/>
      <c r="IP62" s="308"/>
      <c r="IQ62" s="308"/>
      <c r="IR62" s="308"/>
      <c r="IS62" s="308"/>
      <c r="IT62" s="308"/>
      <c r="IU62" s="308"/>
      <c r="IV62" s="308"/>
      <c r="IW62" s="308"/>
      <c r="IX62" s="308"/>
      <c r="IY62" s="308"/>
      <c r="IZ62" s="308"/>
      <c r="JA62" s="308"/>
      <c r="JB62" s="308"/>
      <c r="JC62" s="308"/>
      <c r="JD62" s="308"/>
      <c r="JE62" s="308"/>
      <c r="JF62" s="308"/>
      <c r="JG62" s="308"/>
      <c r="JH62" s="308"/>
      <c r="JI62" s="308"/>
      <c r="JJ62" s="308"/>
      <c r="JK62" s="308"/>
      <c r="JL62" s="308"/>
      <c r="JM62" s="308"/>
      <c r="JN62" s="308"/>
      <c r="JO62" s="308"/>
      <c r="JP62" s="308"/>
      <c r="JQ62" s="308"/>
      <c r="JR62" s="308"/>
      <c r="JS62" s="308"/>
      <c r="JT62" s="308"/>
      <c r="JU62" s="308"/>
      <c r="JV62" s="308"/>
      <c r="JW62" s="308"/>
      <c r="JX62" s="308"/>
      <c r="JY62" s="308"/>
      <c r="JZ62" s="308"/>
      <c r="KA62" s="308"/>
      <c r="KB62" s="308"/>
      <c r="KC62" s="308"/>
      <c r="KD62" s="308"/>
      <c r="KE62" s="308"/>
      <c r="KF62" s="308"/>
      <c r="KG62" s="308"/>
      <c r="KH62" s="308"/>
      <c r="KI62" s="308"/>
      <c r="KJ62" s="308"/>
      <c r="KK62" s="308"/>
      <c r="KL62" s="308"/>
      <c r="KM62" s="308"/>
      <c r="KN62" s="308"/>
      <c r="KO62" s="308"/>
      <c r="KP62" s="308"/>
      <c r="KQ62" s="308"/>
      <c r="KR62" s="308"/>
      <c r="KS62" s="308"/>
      <c r="KT62" s="308"/>
      <c r="KU62" s="308"/>
      <c r="KV62" s="308"/>
      <c r="KW62" s="308"/>
      <c r="KX62" s="308"/>
      <c r="KY62" s="308"/>
      <c r="KZ62" s="308"/>
      <c r="LA62" s="308"/>
      <c r="LB62" s="308"/>
      <c r="LC62" s="308"/>
      <c r="LD62" s="308"/>
      <c r="LE62" s="308"/>
      <c r="LF62" s="308"/>
      <c r="LG62" s="308"/>
      <c r="LH62" s="308"/>
      <c r="LI62" s="308"/>
      <c r="LJ62" s="308"/>
      <c r="LK62" s="308"/>
      <c r="LL62" s="308"/>
      <c r="LM62" s="308"/>
      <c r="LN62" s="308"/>
      <c r="LO62" s="308"/>
      <c r="LP62" s="308"/>
      <c r="LQ62" s="308"/>
      <c r="LR62" s="308"/>
      <c r="LS62" s="308"/>
      <c r="LT62" s="308"/>
      <c r="LU62" s="308"/>
      <c r="LV62" s="308"/>
      <c r="LW62" s="308"/>
      <c r="LX62" s="308"/>
      <c r="LY62" s="308"/>
      <c r="LZ62" s="308"/>
      <c r="MA62" s="308"/>
      <c r="MB62" s="308"/>
      <c r="MC62" s="308"/>
      <c r="MD62" s="308"/>
      <c r="ME62" s="308"/>
      <c r="MF62" s="308"/>
      <c r="MG62" s="308"/>
      <c r="MH62" s="308"/>
      <c r="MI62" s="308"/>
      <c r="MJ62" s="308"/>
      <c r="MK62" s="308"/>
      <c r="ML62" s="308"/>
      <c r="MM62" s="308"/>
      <c r="MN62" s="308"/>
      <c r="MO62" s="308"/>
      <c r="MP62" s="308"/>
      <c r="MQ62" s="308"/>
      <c r="MR62" s="308"/>
      <c r="MS62" s="308"/>
      <c r="MT62" s="308"/>
      <c r="MU62" s="308"/>
      <c r="MV62" s="308"/>
      <c r="MW62" s="308"/>
      <c r="MX62" s="308"/>
      <c r="MY62" s="308"/>
      <c r="MZ62" s="308"/>
      <c r="NA62" s="308"/>
      <c r="NB62" s="308"/>
      <c r="NC62" s="308"/>
      <c r="ND62" s="308"/>
      <c r="NE62" s="308"/>
      <c r="NF62" s="308"/>
      <c r="NG62" s="308"/>
      <c r="NH62" s="308"/>
      <c r="NI62" s="308"/>
      <c r="NJ62" s="308"/>
      <c r="NK62" s="308"/>
      <c r="NL62" s="308"/>
      <c r="NM62" s="308"/>
      <c r="NN62" s="308"/>
      <c r="NO62" s="308"/>
      <c r="NP62" s="308"/>
      <c r="NQ62" s="308"/>
      <c r="NR62" s="308"/>
      <c r="NS62" s="308"/>
      <c r="NT62" s="308"/>
      <c r="NU62" s="308"/>
      <c r="NV62" s="308"/>
      <c r="NW62" s="308"/>
      <c r="NX62" s="308"/>
      <c r="NY62" s="308"/>
      <c r="NZ62" s="308"/>
      <c r="OA62" s="308"/>
      <c r="OB62" s="308"/>
      <c r="OC62" s="308"/>
      <c r="OD62" s="308"/>
      <c r="OE62" s="308"/>
      <c r="OF62" s="308"/>
      <c r="OG62" s="308"/>
      <c r="OH62" s="308"/>
      <c r="OI62" s="308"/>
      <c r="OJ62" s="308"/>
      <c r="OK62" s="308"/>
      <c r="OL62" s="308"/>
      <c r="OM62" s="308"/>
      <c r="ON62" s="308"/>
      <c r="OO62" s="308"/>
      <c r="OP62" s="308"/>
      <c r="OQ62" s="308"/>
      <c r="OR62" s="308"/>
      <c r="OS62" s="308"/>
      <c r="OT62" s="308"/>
      <c r="OU62" s="308"/>
      <c r="OV62" s="308"/>
      <c r="OW62" s="308"/>
      <c r="OX62" s="308"/>
      <c r="OY62" s="308"/>
      <c r="OZ62" s="308"/>
      <c r="PA62" s="308"/>
      <c r="PB62" s="308"/>
      <c r="PC62" s="308"/>
      <c r="PD62" s="308"/>
      <c r="PE62" s="308"/>
      <c r="PF62" s="308"/>
      <c r="PG62" s="308"/>
      <c r="PH62" s="308"/>
      <c r="PI62" s="308"/>
      <c r="PJ62" s="308"/>
      <c r="PK62" s="308"/>
      <c r="PL62" s="308"/>
      <c r="PM62" s="308"/>
      <c r="PN62" s="308"/>
      <c r="PO62" s="308"/>
      <c r="PP62" s="308"/>
      <c r="PQ62" s="308"/>
      <c r="PR62" s="308"/>
      <c r="PS62" s="308"/>
      <c r="PT62" s="308"/>
      <c r="PU62" s="308"/>
      <c r="PV62" s="308"/>
      <c r="PW62" s="308"/>
      <c r="PX62" s="308"/>
      <c r="PY62" s="308"/>
      <c r="PZ62" s="308"/>
      <c r="QA62" s="308"/>
      <c r="QB62" s="308"/>
      <c r="QC62" s="308"/>
      <c r="QD62" s="308"/>
      <c r="QE62" s="308"/>
      <c r="QF62" s="308"/>
      <c r="QG62" s="308"/>
      <c r="QH62" s="308"/>
      <c r="QI62" s="308"/>
      <c r="QJ62" s="308"/>
      <c r="QK62" s="308"/>
      <c r="QL62" s="308"/>
      <c r="QM62" s="308"/>
      <c r="QN62" s="308"/>
      <c r="QO62" s="308"/>
      <c r="QP62" s="308"/>
      <c r="QQ62" s="308"/>
      <c r="QR62" s="308"/>
      <c r="QS62" s="308"/>
      <c r="QT62" s="308"/>
      <c r="QU62" s="308"/>
      <c r="QV62" s="308"/>
      <c r="QW62" s="308"/>
      <c r="QX62" s="308"/>
      <c r="QY62" s="308"/>
      <c r="QZ62" s="308"/>
      <c r="RA62" s="308"/>
      <c r="RB62" s="308"/>
      <c r="RC62" s="308"/>
      <c r="RD62" s="308"/>
      <c r="RE62" s="308"/>
      <c r="RF62" s="308"/>
      <c r="RG62" s="308"/>
      <c r="RH62" s="308"/>
      <c r="RI62" s="308"/>
      <c r="RJ62" s="308"/>
      <c r="RK62" s="308"/>
      <c r="RL62" s="308"/>
      <c r="RM62" s="308"/>
      <c r="RN62" s="308"/>
      <c r="RO62" s="308"/>
      <c r="RP62" s="308"/>
      <c r="RQ62" s="308"/>
      <c r="RR62" s="308"/>
      <c r="RS62" s="308"/>
      <c r="RT62" s="308"/>
      <c r="RU62" s="308"/>
      <c r="RV62" s="308"/>
      <c r="RW62" s="308"/>
      <c r="RX62" s="308"/>
      <c r="RY62" s="308"/>
      <c r="RZ62" s="308"/>
      <c r="SA62" s="308"/>
      <c r="SB62" s="308"/>
      <c r="SC62" s="308"/>
      <c r="SD62" s="308"/>
      <c r="SE62" s="308"/>
      <c r="SF62" s="308"/>
      <c r="SG62" s="308"/>
      <c r="SH62" s="308"/>
      <c r="SI62" s="308"/>
      <c r="SJ62" s="308"/>
      <c r="SK62" s="308"/>
      <c r="SL62" s="308"/>
      <c r="SM62" s="308"/>
      <c r="SN62" s="308"/>
      <c r="SO62" s="308"/>
      <c r="SP62" s="308"/>
      <c r="SQ62" s="308"/>
      <c r="SR62" s="308"/>
      <c r="SS62" s="308"/>
      <c r="ST62" s="308"/>
      <c r="SU62" s="308"/>
      <c r="SV62" s="308"/>
      <c r="SW62" s="308"/>
      <c r="SX62" s="308"/>
      <c r="SY62" s="308"/>
      <c r="SZ62" s="308"/>
      <c r="TA62" s="308"/>
      <c r="TB62" s="308"/>
      <c r="TC62" s="308"/>
      <c r="TD62" s="308"/>
      <c r="TE62" s="308"/>
      <c r="TF62" s="308"/>
      <c r="TG62" s="308"/>
      <c r="TH62" s="308"/>
      <c r="TI62" s="308"/>
      <c r="TJ62" s="308"/>
      <c r="TK62" s="308"/>
      <c r="TL62" s="308"/>
      <c r="TM62" s="308"/>
      <c r="TN62" s="308"/>
      <c r="TO62" s="308"/>
      <c r="TP62" s="308"/>
      <c r="TQ62" s="308"/>
      <c r="TR62" s="308"/>
      <c r="TS62" s="308"/>
      <c r="TT62" s="308"/>
      <c r="TU62" s="308"/>
      <c r="TV62" s="308"/>
      <c r="TW62" s="308"/>
      <c r="TX62" s="308"/>
      <c r="TY62" s="308"/>
      <c r="TZ62" s="308"/>
      <c r="UA62" s="308"/>
      <c r="UB62" s="308"/>
      <c r="UC62" s="308"/>
      <c r="UD62" s="308"/>
      <c r="UE62" s="308"/>
      <c r="UF62" s="308"/>
      <c r="UG62" s="308"/>
      <c r="UH62" s="308"/>
      <c r="UI62" s="308"/>
      <c r="UJ62" s="308"/>
      <c r="UK62" s="308"/>
      <c r="UL62" s="308"/>
      <c r="UM62" s="308"/>
      <c r="UN62" s="308"/>
      <c r="UO62" s="308"/>
      <c r="UP62" s="308"/>
      <c r="UQ62" s="308"/>
      <c r="UR62" s="308"/>
      <c r="US62" s="308"/>
      <c r="UT62" s="308"/>
      <c r="UU62" s="308"/>
      <c r="UV62" s="308"/>
      <c r="UW62" s="308"/>
      <c r="UX62" s="308"/>
      <c r="UY62" s="308"/>
      <c r="UZ62" s="308"/>
      <c r="VA62" s="308"/>
      <c r="VB62" s="308"/>
      <c r="VC62" s="308"/>
      <c r="VD62" s="308"/>
      <c r="VE62" s="308"/>
      <c r="VF62" s="308"/>
      <c r="VG62" s="308"/>
      <c r="VH62" s="308"/>
      <c r="VI62" s="308"/>
      <c r="VJ62" s="308"/>
      <c r="VK62" s="308"/>
      <c r="VL62" s="308"/>
      <c r="VM62" s="308"/>
      <c r="VN62" s="308"/>
      <c r="VO62" s="308"/>
      <c r="VP62" s="308"/>
      <c r="VQ62" s="308"/>
      <c r="VR62" s="308"/>
      <c r="VS62" s="308"/>
      <c r="VT62" s="308"/>
      <c r="VU62" s="308"/>
      <c r="VV62" s="308"/>
      <c r="VW62" s="308"/>
      <c r="VX62" s="308"/>
      <c r="VY62" s="308"/>
      <c r="VZ62" s="308"/>
      <c r="WA62" s="308"/>
      <c r="WB62" s="308"/>
      <c r="WC62" s="308"/>
      <c r="WD62" s="308"/>
      <c r="WE62" s="308"/>
      <c r="WF62" s="308"/>
      <c r="WG62" s="308"/>
      <c r="WH62" s="308"/>
      <c r="WI62" s="308"/>
      <c r="WJ62" s="308"/>
      <c r="WK62" s="308"/>
      <c r="WL62" s="308"/>
      <c r="WM62" s="308"/>
      <c r="WN62" s="308"/>
      <c r="WO62" s="308"/>
      <c r="WP62" s="308"/>
      <c r="WQ62" s="308"/>
      <c r="WR62" s="308"/>
      <c r="WS62" s="308"/>
      <c r="WT62" s="308"/>
      <c r="WU62" s="308"/>
      <c r="WV62" s="308"/>
      <c r="WW62" s="308"/>
      <c r="WX62" s="308"/>
      <c r="WY62" s="308"/>
      <c r="WZ62" s="308"/>
      <c r="XA62" s="308"/>
      <c r="XB62" s="308"/>
      <c r="XC62" s="308"/>
      <c r="XD62" s="308"/>
      <c r="XE62" s="308"/>
      <c r="XF62" s="308"/>
      <c r="XG62" s="308"/>
      <c r="XH62" s="308"/>
      <c r="XI62" s="308"/>
      <c r="XJ62" s="308"/>
      <c r="XK62" s="308"/>
      <c r="XL62" s="308"/>
      <c r="XM62" s="308"/>
      <c r="XN62" s="308"/>
      <c r="XO62" s="308"/>
      <c r="XP62" s="308"/>
      <c r="XQ62" s="308"/>
      <c r="XR62" s="308"/>
      <c r="XS62" s="308"/>
      <c r="XT62" s="308"/>
      <c r="XU62" s="308"/>
      <c r="XV62" s="308"/>
      <c r="XW62" s="308"/>
      <c r="XX62" s="308"/>
      <c r="XY62" s="308"/>
      <c r="XZ62" s="308"/>
      <c r="YA62" s="308"/>
      <c r="YB62" s="308"/>
      <c r="YC62" s="308"/>
      <c r="YD62" s="308"/>
      <c r="YE62" s="308"/>
      <c r="YF62" s="308"/>
      <c r="YG62" s="308"/>
      <c r="YH62" s="308"/>
      <c r="YI62" s="308"/>
      <c r="YJ62" s="308"/>
      <c r="YK62" s="308"/>
      <c r="YL62" s="308"/>
      <c r="YM62" s="308"/>
      <c r="YN62" s="308"/>
      <c r="YO62" s="308"/>
      <c r="YP62" s="308"/>
      <c r="YQ62" s="308"/>
      <c r="YR62" s="308"/>
      <c r="YS62" s="308"/>
      <c r="YT62" s="308"/>
      <c r="YU62" s="308"/>
      <c r="YV62" s="308"/>
      <c r="YW62" s="308"/>
      <c r="YX62" s="308"/>
      <c r="YY62" s="308"/>
      <c r="YZ62" s="308"/>
      <c r="ZA62" s="308"/>
      <c r="ZB62" s="308"/>
      <c r="ZC62" s="308"/>
      <c r="ZD62" s="308"/>
      <c r="ZE62" s="308"/>
      <c r="ZF62" s="308"/>
      <c r="ZG62" s="308"/>
      <c r="ZH62" s="308"/>
      <c r="ZI62" s="308"/>
      <c r="ZJ62" s="308"/>
      <c r="ZK62" s="308"/>
      <c r="ZL62" s="308"/>
      <c r="ZM62" s="308"/>
      <c r="ZN62" s="308"/>
      <c r="ZO62" s="308"/>
      <c r="ZP62" s="308"/>
      <c r="ZQ62" s="308"/>
      <c r="ZR62" s="308"/>
      <c r="ZS62" s="308"/>
      <c r="ZT62" s="308"/>
      <c r="ZU62" s="308"/>
      <c r="ZV62" s="308"/>
      <c r="ZW62" s="308"/>
      <c r="ZX62" s="308"/>
      <c r="ZY62" s="308"/>
      <c r="ZZ62" s="308"/>
      <c r="AAA62" s="308"/>
      <c r="AAB62" s="308"/>
      <c r="AAC62" s="308"/>
      <c r="AAD62" s="308"/>
      <c r="AAE62" s="308"/>
      <c r="AAF62" s="308"/>
      <c r="AAG62" s="308"/>
      <c r="AAH62" s="308"/>
      <c r="AAI62" s="308"/>
      <c r="AAJ62" s="308"/>
      <c r="AAK62" s="308"/>
      <c r="AAL62" s="308"/>
      <c r="AAM62" s="308"/>
      <c r="AAN62" s="308"/>
      <c r="AAO62" s="308"/>
      <c r="AAP62" s="308"/>
      <c r="AAQ62" s="308"/>
      <c r="AAR62" s="308"/>
      <c r="AAS62" s="308"/>
      <c r="AAT62" s="308"/>
      <c r="AAU62" s="308"/>
      <c r="AAV62" s="308"/>
      <c r="AAW62" s="308"/>
      <c r="AAX62" s="308"/>
      <c r="AAY62" s="308"/>
      <c r="AAZ62" s="308"/>
      <c r="ABA62" s="308"/>
      <c r="ABB62" s="308"/>
      <c r="ABC62" s="308"/>
      <c r="ABD62" s="308"/>
      <c r="ABE62" s="308"/>
      <c r="ABF62" s="308"/>
      <c r="ABG62" s="308"/>
      <c r="ABH62" s="308"/>
      <c r="ABI62" s="308"/>
      <c r="ABJ62" s="308"/>
      <c r="ABK62" s="308"/>
      <c r="ABL62" s="308"/>
      <c r="ABM62" s="308"/>
      <c r="ABN62" s="308"/>
      <c r="ABO62" s="308"/>
      <c r="ABP62" s="308"/>
      <c r="ABQ62" s="308"/>
      <c r="ABR62" s="308"/>
      <c r="ABS62" s="308"/>
      <c r="ABT62" s="308"/>
      <c r="ABU62" s="308"/>
      <c r="ABV62" s="308"/>
      <c r="ABW62" s="308"/>
      <c r="ABX62" s="308"/>
      <c r="ABY62" s="308"/>
      <c r="ABZ62" s="308"/>
      <c r="ACA62" s="308"/>
      <c r="ACB62" s="308"/>
      <c r="ACC62" s="308"/>
      <c r="ACD62" s="308"/>
      <c r="ACE62" s="308"/>
      <c r="ACF62" s="308"/>
      <c r="ACG62" s="308"/>
      <c r="ACH62" s="308"/>
      <c r="ACI62" s="308"/>
      <c r="ACJ62" s="308"/>
      <c r="ACK62" s="308"/>
      <c r="ACL62" s="308"/>
      <c r="ACM62" s="308"/>
      <c r="ACN62" s="308"/>
      <c r="ACO62" s="308"/>
      <c r="ACP62" s="308"/>
      <c r="ACQ62" s="308"/>
      <c r="ACR62" s="308"/>
      <c r="ACS62" s="308"/>
      <c r="ACT62" s="308"/>
      <c r="ACU62" s="308"/>
      <c r="ACV62" s="308"/>
      <c r="ACW62" s="308"/>
      <c r="ACX62" s="308"/>
      <c r="ACY62" s="308"/>
      <c r="ACZ62" s="308"/>
      <c r="ADA62" s="308"/>
      <c r="ADB62" s="308"/>
      <c r="ADC62" s="308"/>
      <c r="ADD62" s="308"/>
      <c r="ADE62" s="308"/>
      <c r="ADF62" s="308"/>
      <c r="ADG62" s="308"/>
      <c r="ADH62" s="308"/>
      <c r="ADI62" s="308"/>
      <c r="ADJ62" s="308"/>
      <c r="ADK62" s="308"/>
      <c r="ADL62" s="308"/>
      <c r="ADM62" s="308"/>
      <c r="ADN62" s="308"/>
      <c r="ADO62" s="308"/>
      <c r="ADP62" s="308"/>
      <c r="ADQ62" s="308"/>
      <c r="ADR62" s="308"/>
      <c r="ADS62" s="308"/>
      <c r="ADT62" s="308"/>
      <c r="ADU62" s="308"/>
      <c r="ADV62" s="308"/>
      <c r="ADW62" s="308"/>
      <c r="ADX62" s="308"/>
      <c r="ADY62" s="308"/>
      <c r="ADZ62" s="308"/>
      <c r="AEA62" s="308"/>
      <c r="AEB62" s="308"/>
      <c r="AEC62" s="308"/>
      <c r="AED62" s="308"/>
      <c r="AEE62" s="308"/>
      <c r="AEF62" s="308"/>
      <c r="AEG62" s="308"/>
      <c r="AEH62" s="308"/>
      <c r="AEI62" s="308"/>
      <c r="AEJ62" s="308"/>
      <c r="AEK62" s="308"/>
      <c r="AEL62" s="308"/>
      <c r="AEM62" s="308"/>
      <c r="AEN62" s="308"/>
      <c r="AEO62" s="308"/>
      <c r="AEP62" s="308"/>
      <c r="AEQ62" s="308"/>
      <c r="AER62" s="308"/>
      <c r="AES62" s="308"/>
      <c r="AET62" s="308"/>
      <c r="AEU62" s="308"/>
      <c r="AEV62" s="308"/>
      <c r="AEW62" s="308"/>
      <c r="AEX62" s="308"/>
      <c r="AEY62" s="308"/>
      <c r="AEZ62" s="308"/>
      <c r="AFA62" s="308"/>
      <c r="AFB62" s="308"/>
      <c r="AFC62" s="308"/>
      <c r="AFD62" s="308"/>
      <c r="AFE62" s="308"/>
      <c r="AFF62" s="308"/>
      <c r="AFG62" s="308"/>
      <c r="AFH62" s="308"/>
      <c r="AFI62" s="308"/>
      <c r="AFJ62" s="308"/>
      <c r="AFK62" s="308"/>
      <c r="AFL62" s="308"/>
      <c r="AFM62" s="308"/>
      <c r="AFN62" s="308"/>
      <c r="AFO62" s="308"/>
      <c r="AFP62" s="308"/>
      <c r="AFQ62" s="308"/>
      <c r="AFR62" s="308"/>
      <c r="AFS62" s="308"/>
      <c r="AFT62" s="308"/>
      <c r="AFU62" s="308"/>
      <c r="AFV62" s="308"/>
      <c r="AFW62" s="308"/>
      <c r="AFX62" s="308"/>
      <c r="AFY62" s="308"/>
      <c r="AFZ62" s="308"/>
      <c r="AGA62" s="308"/>
      <c r="AGB62" s="308"/>
      <c r="AGC62" s="308"/>
      <c r="AGD62" s="308"/>
      <c r="AGE62" s="308"/>
      <c r="AGF62" s="308"/>
      <c r="AGG62" s="308"/>
      <c r="AGH62" s="308"/>
      <c r="AGI62" s="308"/>
      <c r="AGJ62" s="308"/>
      <c r="AGK62" s="308"/>
      <c r="AGL62" s="308"/>
      <c r="AGM62" s="308"/>
      <c r="AGN62" s="308"/>
      <c r="AGO62" s="308"/>
      <c r="AGP62" s="308"/>
      <c r="AGQ62" s="308"/>
      <c r="AGR62" s="308"/>
      <c r="AGS62" s="308"/>
      <c r="AGT62" s="308"/>
      <c r="AGU62" s="308"/>
      <c r="AGV62" s="308"/>
      <c r="AGW62" s="308"/>
      <c r="AGX62" s="308"/>
      <c r="AGY62" s="308"/>
      <c r="AGZ62" s="308"/>
      <c r="AHA62" s="308"/>
      <c r="AHB62" s="308"/>
      <c r="AHC62" s="308"/>
      <c r="AHD62" s="308"/>
      <c r="AHE62" s="308"/>
      <c r="AHF62" s="308"/>
      <c r="AHG62" s="308"/>
      <c r="AHH62" s="308"/>
      <c r="AHI62" s="308"/>
      <c r="AHJ62" s="308"/>
      <c r="AHK62" s="308"/>
      <c r="AHL62" s="308"/>
      <c r="AHM62" s="308"/>
      <c r="AHN62" s="308"/>
      <c r="AHO62" s="308"/>
      <c r="AHP62" s="308"/>
      <c r="AHQ62" s="308"/>
      <c r="AHR62" s="308"/>
      <c r="AHS62" s="308"/>
      <c r="AHT62" s="308"/>
      <c r="AHU62" s="308"/>
      <c r="AHV62" s="308"/>
      <c r="AHW62" s="308"/>
      <c r="AHX62" s="308"/>
      <c r="AHY62" s="308"/>
      <c r="AHZ62" s="308"/>
      <c r="AIA62" s="308"/>
      <c r="AIB62" s="308"/>
      <c r="AIC62" s="308"/>
      <c r="AID62" s="308"/>
      <c r="AIE62" s="308"/>
      <c r="AIF62" s="308"/>
      <c r="AIG62" s="308"/>
      <c r="AIH62" s="308"/>
      <c r="AII62" s="308"/>
      <c r="AIJ62" s="308"/>
      <c r="AIK62" s="308"/>
      <c r="AIL62" s="308"/>
      <c r="AIM62" s="308"/>
      <c r="AIN62" s="308"/>
      <c r="AIO62" s="308"/>
      <c r="AIP62" s="308"/>
      <c r="AIQ62" s="308"/>
      <c r="AIR62" s="308"/>
      <c r="AIS62" s="308"/>
      <c r="AIT62" s="308"/>
      <c r="AIU62" s="308"/>
      <c r="AIV62" s="308"/>
      <c r="AIW62" s="308"/>
      <c r="AIX62" s="308"/>
      <c r="AIY62" s="308"/>
      <c r="AIZ62" s="308"/>
      <c r="AJA62" s="308"/>
      <c r="AJB62" s="308"/>
      <c r="AJC62" s="308"/>
    </row>
    <row r="63" spans="1:940" s="545" customFormat="1">
      <c r="A63" s="113">
        <f>A62+1</f>
        <v>54</v>
      </c>
      <c r="B63" s="113">
        <v>1406</v>
      </c>
      <c r="C63" s="113" t="s">
        <v>201</v>
      </c>
      <c r="D63" s="117">
        <f>1100000+100000+100000</f>
        <v>1300000</v>
      </c>
      <c r="E63" s="117">
        <v>1100000</v>
      </c>
      <c r="F63" s="117">
        <f t="shared" si="25"/>
        <v>200000</v>
      </c>
      <c r="G63" s="117">
        <v>700000</v>
      </c>
      <c r="H63" s="117">
        <v>618204.25</v>
      </c>
      <c r="I63" s="117">
        <v>39996.51</v>
      </c>
      <c r="J63" s="117">
        <v>41682.480000000003</v>
      </c>
      <c r="K63" s="117">
        <f t="shared" si="26"/>
        <v>81678.990000000005</v>
      </c>
      <c r="L63" s="117">
        <f t="shared" si="27"/>
        <v>699883.24</v>
      </c>
      <c r="M63" s="117">
        <f t="shared" si="28"/>
        <v>116.76000000000931</v>
      </c>
      <c r="N63" s="117">
        <f>500000+100000</f>
        <v>600000</v>
      </c>
      <c r="O63" s="117">
        <f t="shared" si="29"/>
        <v>0</v>
      </c>
      <c r="P63" s="117">
        <f t="shared" si="30"/>
        <v>116.76000000000931</v>
      </c>
      <c r="Q63" s="117"/>
      <c r="R63" s="117"/>
      <c r="S63" s="117">
        <f t="shared" si="31"/>
        <v>0</v>
      </c>
      <c r="T63" s="117">
        <f t="shared" si="32"/>
        <v>0</v>
      </c>
      <c r="U63" s="117">
        <f t="shared" si="33"/>
        <v>600000</v>
      </c>
      <c r="V63" s="117">
        <f t="shared" si="34"/>
        <v>600000</v>
      </c>
      <c r="W63" s="543"/>
      <c r="X63" s="117"/>
      <c r="Y63" s="117"/>
      <c r="Z63" s="113"/>
      <c r="AA63" s="113">
        <v>732000</v>
      </c>
      <c r="AB63" s="117"/>
      <c r="AC63" s="117"/>
      <c r="AD63" s="117"/>
      <c r="AE63" s="117"/>
      <c r="AF63" s="117"/>
      <c r="AG63" s="117"/>
      <c r="AH63" s="117">
        <v>300000</v>
      </c>
      <c r="AI63" s="117">
        <v>300000</v>
      </c>
      <c r="AJ63" s="117"/>
      <c r="AK63" s="117">
        <f t="shared" si="24"/>
        <v>600000</v>
      </c>
      <c r="AL63" s="117"/>
      <c r="AM63" s="566">
        <f t="shared" si="35"/>
        <v>600000</v>
      </c>
      <c r="AN63" s="117">
        <f t="shared" si="36"/>
        <v>0</v>
      </c>
      <c r="AO63" s="117">
        <f t="shared" si="37"/>
        <v>600000</v>
      </c>
      <c r="AP63" s="565"/>
      <c r="AQ63" s="565"/>
      <c r="AR63" s="565"/>
      <c r="AS63" s="565"/>
      <c r="AT63" s="117">
        <f t="shared" si="38"/>
        <v>0</v>
      </c>
      <c r="AU63" s="565"/>
      <c r="AV63" s="565"/>
      <c r="AW63" s="565"/>
      <c r="AX63" s="565"/>
      <c r="AY63" s="117">
        <f t="shared" si="39"/>
        <v>0</v>
      </c>
      <c r="AZ63" s="565"/>
      <c r="BA63" s="565"/>
      <c r="BB63" s="565"/>
      <c r="BC63" s="565"/>
      <c r="BD63" s="544"/>
      <c r="BE63" s="544"/>
      <c r="BF63" s="544"/>
      <c r="BG63" s="544"/>
      <c r="BH63" s="544"/>
      <c r="AJD63" s="546"/>
    </row>
    <row r="64" spans="1:940" s="567" customFormat="1">
      <c r="A64" s="113">
        <f>A63+1</f>
        <v>55</v>
      </c>
      <c r="B64" s="113">
        <v>1407</v>
      </c>
      <c r="C64" s="113" t="s">
        <v>18</v>
      </c>
      <c r="D64" s="117">
        <f>4430000+465000</f>
        <v>4895000</v>
      </c>
      <c r="E64" s="117">
        <v>4430000</v>
      </c>
      <c r="F64" s="117">
        <f t="shared" si="25"/>
        <v>465000</v>
      </c>
      <c r="G64" s="117">
        <v>3395000</v>
      </c>
      <c r="H64" s="117">
        <v>2040854.84</v>
      </c>
      <c r="I64" s="117">
        <v>78453.42</v>
      </c>
      <c r="J64" s="117">
        <v>804381.62</v>
      </c>
      <c r="K64" s="117">
        <f t="shared" si="26"/>
        <v>882835.04</v>
      </c>
      <c r="L64" s="117">
        <f t="shared" si="27"/>
        <v>2923689.88</v>
      </c>
      <c r="M64" s="117">
        <f t="shared" si="28"/>
        <v>471310.12000000011</v>
      </c>
      <c r="N64" s="117">
        <f>1500000-500000-500000</f>
        <v>500000</v>
      </c>
      <c r="O64" s="117">
        <f t="shared" si="29"/>
        <v>1000000</v>
      </c>
      <c r="P64" s="117">
        <f t="shared" si="30"/>
        <v>471310.12000000011</v>
      </c>
      <c r="Q64" s="117"/>
      <c r="R64" s="117"/>
      <c r="S64" s="117">
        <f t="shared" si="31"/>
        <v>0</v>
      </c>
      <c r="T64" s="117">
        <f t="shared" si="32"/>
        <v>0</v>
      </c>
      <c r="U64" s="117">
        <f t="shared" si="33"/>
        <v>500000</v>
      </c>
      <c r="V64" s="117">
        <f t="shared" si="34"/>
        <v>500000</v>
      </c>
      <c r="W64" s="543"/>
      <c r="X64" s="117"/>
      <c r="Y64" s="117"/>
      <c r="Z64" s="113"/>
      <c r="AA64" s="113">
        <v>732000</v>
      </c>
      <c r="AB64" s="117"/>
      <c r="AC64" s="117"/>
      <c r="AD64" s="117"/>
      <c r="AE64" s="117"/>
      <c r="AF64" s="117"/>
      <c r="AG64" s="117"/>
      <c r="AH64" s="117">
        <v>100000</v>
      </c>
      <c r="AI64" s="117"/>
      <c r="AJ64" s="117">
        <v>200000</v>
      </c>
      <c r="AK64" s="117">
        <f t="shared" si="24"/>
        <v>300000</v>
      </c>
      <c r="AL64" s="117"/>
      <c r="AM64" s="566">
        <f t="shared" si="35"/>
        <v>300000</v>
      </c>
      <c r="AN64" s="117">
        <f t="shared" si="36"/>
        <v>200000</v>
      </c>
      <c r="AO64" s="117">
        <f t="shared" si="37"/>
        <v>300000</v>
      </c>
      <c r="AP64" s="565"/>
      <c r="AQ64" s="565"/>
      <c r="AR64" s="565"/>
      <c r="AS64" s="565"/>
      <c r="AT64" s="117">
        <f t="shared" si="38"/>
        <v>0</v>
      </c>
      <c r="AU64" s="565"/>
      <c r="AV64" s="565"/>
      <c r="AW64" s="565"/>
      <c r="AX64" s="565"/>
      <c r="AY64" s="117">
        <f t="shared" si="39"/>
        <v>200000</v>
      </c>
      <c r="AZ64" s="565"/>
      <c r="BA64" s="565"/>
      <c r="BB64" s="565"/>
      <c r="BC64" s="565"/>
      <c r="BD64" s="544"/>
      <c r="BE64" s="544"/>
      <c r="BF64" s="544"/>
      <c r="BG64" s="544"/>
      <c r="BH64" s="544"/>
      <c r="AJD64" s="546"/>
    </row>
    <row r="65" spans="1:940" s="545" customFormat="1">
      <c r="A65" s="113">
        <f>A64+1</f>
        <v>56</v>
      </c>
      <c r="B65" s="113">
        <v>1408</v>
      </c>
      <c r="C65" s="113" t="s">
        <v>19</v>
      </c>
      <c r="D65" s="117">
        <v>1000000</v>
      </c>
      <c r="E65" s="117">
        <v>1000000</v>
      </c>
      <c r="F65" s="117">
        <f t="shared" si="25"/>
        <v>0</v>
      </c>
      <c r="G65" s="117">
        <v>100000</v>
      </c>
      <c r="H65" s="117"/>
      <c r="I65" s="117"/>
      <c r="J65" s="117"/>
      <c r="K65" s="117">
        <f t="shared" si="26"/>
        <v>0</v>
      </c>
      <c r="L65" s="117">
        <f t="shared" si="27"/>
        <v>0</v>
      </c>
      <c r="M65" s="117">
        <f t="shared" si="28"/>
        <v>100000</v>
      </c>
      <c r="N65" s="117">
        <f>500000-400000</f>
        <v>100000</v>
      </c>
      <c r="O65" s="117">
        <f t="shared" si="29"/>
        <v>800000</v>
      </c>
      <c r="P65" s="117">
        <f t="shared" si="30"/>
        <v>100000</v>
      </c>
      <c r="Q65" s="117"/>
      <c r="R65" s="117"/>
      <c r="S65" s="117">
        <f t="shared" si="31"/>
        <v>0</v>
      </c>
      <c r="T65" s="117">
        <f t="shared" si="32"/>
        <v>0</v>
      </c>
      <c r="U65" s="117">
        <f t="shared" si="33"/>
        <v>100000</v>
      </c>
      <c r="V65" s="117">
        <f t="shared" si="34"/>
        <v>100000</v>
      </c>
      <c r="W65" s="543"/>
      <c r="X65" s="117"/>
      <c r="Y65" s="117"/>
      <c r="Z65" s="113"/>
      <c r="AA65" s="113">
        <v>732000</v>
      </c>
      <c r="AB65" s="117"/>
      <c r="AC65" s="117"/>
      <c r="AD65" s="117"/>
      <c r="AE65" s="117"/>
      <c r="AF65" s="117"/>
      <c r="AG65" s="117"/>
      <c r="AH65" s="117"/>
      <c r="AI65" s="117"/>
      <c r="AJ65" s="117"/>
      <c r="AK65" s="117">
        <f t="shared" si="24"/>
        <v>0</v>
      </c>
      <c r="AL65" s="117"/>
      <c r="AM65" s="566">
        <f t="shared" si="35"/>
        <v>0</v>
      </c>
      <c r="AN65" s="117">
        <f t="shared" si="36"/>
        <v>100000</v>
      </c>
      <c r="AO65" s="117">
        <f t="shared" si="37"/>
        <v>0</v>
      </c>
      <c r="AP65" s="565"/>
      <c r="AQ65" s="565"/>
      <c r="AR65" s="565"/>
      <c r="AS65" s="565"/>
      <c r="AT65" s="117">
        <f t="shared" si="38"/>
        <v>0</v>
      </c>
      <c r="AU65" s="565"/>
      <c r="AV65" s="565"/>
      <c r="AW65" s="565"/>
      <c r="AX65" s="565"/>
      <c r="AY65" s="117">
        <f t="shared" si="39"/>
        <v>100000</v>
      </c>
      <c r="AZ65" s="565"/>
      <c r="BA65" s="565"/>
      <c r="BB65" s="565"/>
      <c r="BC65" s="565"/>
      <c r="BD65" s="544"/>
      <c r="BE65" s="544"/>
      <c r="BF65" s="544"/>
      <c r="BG65" s="544"/>
      <c r="BH65" s="544"/>
      <c r="AJD65" s="546"/>
    </row>
    <row r="66" spans="1:940" s="545" customFormat="1">
      <c r="A66" s="113">
        <f>A65+1</f>
        <v>57</v>
      </c>
      <c r="B66" s="244">
        <v>1464</v>
      </c>
      <c r="C66" s="244" t="s">
        <v>922</v>
      </c>
      <c r="D66" s="117">
        <v>200000</v>
      </c>
      <c r="E66" s="117">
        <v>200000</v>
      </c>
      <c r="F66" s="117">
        <f t="shared" si="25"/>
        <v>0</v>
      </c>
      <c r="G66" s="117">
        <v>20000</v>
      </c>
      <c r="H66" s="117">
        <v>17198.810000000001</v>
      </c>
      <c r="I66" s="117">
        <v>1445.98</v>
      </c>
      <c r="J66" s="117"/>
      <c r="K66" s="117">
        <f t="shared" si="26"/>
        <v>1445.98</v>
      </c>
      <c r="L66" s="117">
        <f t="shared" si="27"/>
        <v>18644.79</v>
      </c>
      <c r="M66" s="117">
        <f t="shared" si="28"/>
        <v>1355.2099999999991</v>
      </c>
      <c r="N66" s="117">
        <v>180000</v>
      </c>
      <c r="O66" s="117">
        <f t="shared" si="29"/>
        <v>0</v>
      </c>
      <c r="P66" s="117">
        <f t="shared" si="30"/>
        <v>1355.2099999999991</v>
      </c>
      <c r="Q66" s="117"/>
      <c r="R66" s="117"/>
      <c r="S66" s="117">
        <f t="shared" si="31"/>
        <v>0</v>
      </c>
      <c r="T66" s="117">
        <f t="shared" si="32"/>
        <v>0</v>
      </c>
      <c r="U66" s="117">
        <f t="shared" si="33"/>
        <v>180000</v>
      </c>
      <c r="V66" s="117">
        <f t="shared" si="34"/>
        <v>180000</v>
      </c>
      <c r="W66" s="543"/>
      <c r="X66" s="117"/>
      <c r="Y66" s="117"/>
      <c r="Z66" s="113"/>
      <c r="AA66" s="113">
        <v>732000</v>
      </c>
      <c r="AB66" s="117"/>
      <c r="AC66" s="117"/>
      <c r="AD66" s="117"/>
      <c r="AE66" s="117"/>
      <c r="AF66" s="117"/>
      <c r="AG66" s="117"/>
      <c r="AH66" s="117"/>
      <c r="AI66" s="117"/>
      <c r="AJ66" s="117"/>
      <c r="AK66" s="117">
        <f t="shared" si="24"/>
        <v>0</v>
      </c>
      <c r="AL66" s="117"/>
      <c r="AM66" s="566">
        <f t="shared" si="35"/>
        <v>0</v>
      </c>
      <c r="AN66" s="117">
        <f t="shared" si="36"/>
        <v>180000</v>
      </c>
      <c r="AO66" s="117">
        <f t="shared" si="37"/>
        <v>0</v>
      </c>
      <c r="AP66" s="565"/>
      <c r="AQ66" s="565"/>
      <c r="AR66" s="565"/>
      <c r="AS66" s="565"/>
      <c r="AT66" s="117">
        <f t="shared" si="38"/>
        <v>0</v>
      </c>
      <c r="AU66" s="565"/>
      <c r="AV66" s="565"/>
      <c r="AW66" s="565"/>
      <c r="AX66" s="565"/>
      <c r="AY66" s="117">
        <f t="shared" si="39"/>
        <v>180000</v>
      </c>
      <c r="AZ66" s="565"/>
      <c r="BA66" s="565"/>
      <c r="BB66" s="565"/>
      <c r="BC66" s="565"/>
      <c r="BD66" s="544"/>
      <c r="BE66" s="544"/>
      <c r="BF66" s="544"/>
      <c r="BG66" s="544"/>
      <c r="BH66" s="544"/>
      <c r="AJD66" s="546"/>
    </row>
    <row r="67" spans="1:940" s="545" customFormat="1">
      <c r="A67" s="113">
        <f>A66+1</f>
        <v>58</v>
      </c>
      <c r="B67" s="113">
        <v>1551</v>
      </c>
      <c r="C67" s="113" t="s">
        <v>166</v>
      </c>
      <c r="D67" s="117">
        <f>6000000-4000000-1774760</f>
        <v>225240</v>
      </c>
      <c r="E67" s="117">
        <v>6000000</v>
      </c>
      <c r="F67" s="117">
        <f t="shared" si="25"/>
        <v>-5774760</v>
      </c>
      <c r="G67" s="117">
        <v>489240</v>
      </c>
      <c r="H67" s="117">
        <v>204671</v>
      </c>
      <c r="I67" s="117"/>
      <c r="J67" s="117">
        <v>19855</v>
      </c>
      <c r="K67" s="117">
        <f t="shared" si="26"/>
        <v>19855</v>
      </c>
      <c r="L67" s="117">
        <f t="shared" si="27"/>
        <v>224526</v>
      </c>
      <c r="M67" s="117">
        <f>P67+S67-264000</f>
        <v>714</v>
      </c>
      <c r="N67" s="117">
        <f>500000-500000</f>
        <v>0</v>
      </c>
      <c r="O67" s="117">
        <f t="shared" si="29"/>
        <v>0</v>
      </c>
      <c r="P67" s="117">
        <f t="shared" si="30"/>
        <v>264714</v>
      </c>
      <c r="Q67" s="117"/>
      <c r="R67" s="117"/>
      <c r="S67" s="117">
        <f t="shared" si="31"/>
        <v>0</v>
      </c>
      <c r="T67" s="117">
        <f t="shared" si="32"/>
        <v>264000</v>
      </c>
      <c r="U67" s="117">
        <f t="shared" si="33"/>
        <v>-264000</v>
      </c>
      <c r="V67" s="117">
        <f t="shared" si="34"/>
        <v>-264000</v>
      </c>
      <c r="W67" s="543"/>
      <c r="X67" s="117"/>
      <c r="Y67" s="117"/>
      <c r="Z67" s="113"/>
      <c r="AA67" s="113">
        <v>732000</v>
      </c>
      <c r="AB67" s="117"/>
      <c r="AC67" s="117"/>
      <c r="AD67" s="117">
        <v>-264000</v>
      </c>
      <c r="AE67" s="117"/>
      <c r="AF67" s="117"/>
      <c r="AG67" s="117"/>
      <c r="AH67" s="117"/>
      <c r="AI67" s="117"/>
      <c r="AJ67" s="117"/>
      <c r="AK67" s="117">
        <f t="shared" si="24"/>
        <v>-264000</v>
      </c>
      <c r="AL67" s="117"/>
      <c r="AM67" s="566">
        <f t="shared" si="35"/>
        <v>-264000</v>
      </c>
      <c r="AN67" s="117">
        <f t="shared" si="36"/>
        <v>0</v>
      </c>
      <c r="AO67" s="117">
        <f t="shared" si="37"/>
        <v>-264000</v>
      </c>
      <c r="AP67" s="565"/>
      <c r="AQ67" s="565"/>
      <c r="AR67" s="565"/>
      <c r="AS67" s="565"/>
      <c r="AT67" s="117">
        <f t="shared" si="38"/>
        <v>0</v>
      </c>
      <c r="AU67" s="565"/>
      <c r="AV67" s="565"/>
      <c r="AW67" s="565"/>
      <c r="AX67" s="565"/>
      <c r="AY67" s="117">
        <f t="shared" si="39"/>
        <v>0</v>
      </c>
      <c r="AZ67" s="565"/>
      <c r="BA67" s="565"/>
      <c r="BB67" s="565"/>
      <c r="BC67" s="565"/>
      <c r="BD67" s="544"/>
      <c r="BE67" s="544"/>
      <c r="BF67" s="544"/>
      <c r="BG67" s="544"/>
      <c r="BH67" s="544"/>
      <c r="AJD67" s="546"/>
    </row>
    <row r="68" spans="1:940" s="545" customFormat="1">
      <c r="A68" s="113">
        <f t="shared" ref="A68:A83" si="40">A67+1</f>
        <v>59</v>
      </c>
      <c r="B68" s="113">
        <v>1619</v>
      </c>
      <c r="C68" s="113" t="s">
        <v>167</v>
      </c>
      <c r="D68" s="117">
        <v>200000</v>
      </c>
      <c r="E68" s="117">
        <v>200000</v>
      </c>
      <c r="F68" s="117">
        <f t="shared" si="25"/>
        <v>0</v>
      </c>
      <c r="G68" s="117">
        <v>200000</v>
      </c>
      <c r="H68" s="117">
        <v>56838</v>
      </c>
      <c r="I68" s="117"/>
      <c r="J68" s="117">
        <v>43949.9</v>
      </c>
      <c r="K68" s="117">
        <f t="shared" si="26"/>
        <v>43949.9</v>
      </c>
      <c r="L68" s="117">
        <f t="shared" si="27"/>
        <v>100787.9</v>
      </c>
      <c r="M68" s="117">
        <f t="shared" si="28"/>
        <v>99212.1</v>
      </c>
      <c r="N68" s="117"/>
      <c r="O68" s="117">
        <f t="shared" si="29"/>
        <v>0</v>
      </c>
      <c r="P68" s="117">
        <f t="shared" si="30"/>
        <v>99212.1</v>
      </c>
      <c r="Q68" s="117"/>
      <c r="R68" s="117"/>
      <c r="S68" s="117">
        <f t="shared" si="31"/>
        <v>0</v>
      </c>
      <c r="T68" s="117">
        <f t="shared" si="32"/>
        <v>0</v>
      </c>
      <c r="U68" s="117">
        <f t="shared" si="33"/>
        <v>0</v>
      </c>
      <c r="V68" s="117">
        <f t="shared" si="34"/>
        <v>0</v>
      </c>
      <c r="W68" s="543"/>
      <c r="X68" s="117"/>
      <c r="Y68" s="117"/>
      <c r="Z68" s="113"/>
      <c r="AA68" s="113">
        <v>732000</v>
      </c>
      <c r="AB68" s="117"/>
      <c r="AC68" s="117"/>
      <c r="AD68" s="117"/>
      <c r="AE68" s="117"/>
      <c r="AF68" s="117"/>
      <c r="AG68" s="117"/>
      <c r="AH68" s="117"/>
      <c r="AI68" s="117"/>
      <c r="AJ68" s="117"/>
      <c r="AK68" s="117">
        <f t="shared" si="24"/>
        <v>0</v>
      </c>
      <c r="AL68" s="117"/>
      <c r="AM68" s="566">
        <f t="shared" si="35"/>
        <v>0</v>
      </c>
      <c r="AN68" s="117">
        <f t="shared" si="36"/>
        <v>0</v>
      </c>
      <c r="AO68" s="117">
        <f t="shared" si="37"/>
        <v>0</v>
      </c>
      <c r="AP68" s="565"/>
      <c r="AQ68" s="565"/>
      <c r="AR68" s="565"/>
      <c r="AS68" s="565"/>
      <c r="AT68" s="117">
        <f t="shared" si="38"/>
        <v>0</v>
      </c>
      <c r="AU68" s="565"/>
      <c r="AV68" s="565"/>
      <c r="AW68" s="565"/>
      <c r="AX68" s="565"/>
      <c r="AY68" s="117">
        <f t="shared" si="39"/>
        <v>0</v>
      </c>
      <c r="AZ68" s="565"/>
      <c r="BA68" s="565"/>
      <c r="BB68" s="565"/>
      <c r="BC68" s="565"/>
      <c r="BD68" s="544"/>
      <c r="BE68" s="544"/>
      <c r="BF68" s="544"/>
      <c r="BG68" s="544"/>
      <c r="BH68" s="544"/>
      <c r="AJD68" s="546"/>
    </row>
    <row r="69" spans="1:940" s="545" customFormat="1">
      <c r="A69" s="113">
        <f t="shared" si="40"/>
        <v>60</v>
      </c>
      <c r="B69" s="113">
        <v>1620</v>
      </c>
      <c r="C69" s="113" t="s">
        <v>21</v>
      </c>
      <c r="D69" s="117">
        <v>1000000</v>
      </c>
      <c r="E69" s="117">
        <v>1000000</v>
      </c>
      <c r="F69" s="117">
        <f t="shared" si="25"/>
        <v>0</v>
      </c>
      <c r="G69" s="117">
        <v>100000</v>
      </c>
      <c r="H69" s="117"/>
      <c r="I69" s="117"/>
      <c r="J69" s="117"/>
      <c r="K69" s="117">
        <f t="shared" si="26"/>
        <v>0</v>
      </c>
      <c r="L69" s="117">
        <f t="shared" si="27"/>
        <v>0</v>
      </c>
      <c r="M69" s="117">
        <f t="shared" si="28"/>
        <v>100000</v>
      </c>
      <c r="N69" s="117">
        <f>500000-500000</f>
        <v>0</v>
      </c>
      <c r="O69" s="117">
        <f t="shared" si="29"/>
        <v>900000</v>
      </c>
      <c r="P69" s="117">
        <f t="shared" si="30"/>
        <v>100000</v>
      </c>
      <c r="Q69" s="117"/>
      <c r="R69" s="117"/>
      <c r="S69" s="117">
        <f t="shared" si="31"/>
        <v>0</v>
      </c>
      <c r="T69" s="117">
        <f t="shared" si="32"/>
        <v>0</v>
      </c>
      <c r="U69" s="117">
        <f t="shared" si="33"/>
        <v>0</v>
      </c>
      <c r="V69" s="117">
        <f t="shared" si="34"/>
        <v>0</v>
      </c>
      <c r="W69" s="543"/>
      <c r="X69" s="117"/>
      <c r="Y69" s="117"/>
      <c r="Z69" s="113"/>
      <c r="AA69" s="113">
        <v>732000</v>
      </c>
      <c r="AB69" s="117"/>
      <c r="AC69" s="117"/>
      <c r="AD69" s="117"/>
      <c r="AE69" s="117"/>
      <c r="AF69" s="117"/>
      <c r="AG69" s="117"/>
      <c r="AH69" s="117"/>
      <c r="AI69" s="117"/>
      <c r="AJ69" s="117"/>
      <c r="AK69" s="117">
        <f t="shared" si="24"/>
        <v>0</v>
      </c>
      <c r="AL69" s="117"/>
      <c r="AM69" s="566">
        <f t="shared" si="35"/>
        <v>0</v>
      </c>
      <c r="AN69" s="117">
        <f t="shared" si="36"/>
        <v>0</v>
      </c>
      <c r="AO69" s="117">
        <f t="shared" si="37"/>
        <v>0</v>
      </c>
      <c r="AP69" s="565"/>
      <c r="AQ69" s="565"/>
      <c r="AR69" s="565"/>
      <c r="AS69" s="565"/>
      <c r="AT69" s="117">
        <f t="shared" si="38"/>
        <v>0</v>
      </c>
      <c r="AU69" s="565"/>
      <c r="AV69" s="565"/>
      <c r="AW69" s="565"/>
      <c r="AX69" s="565"/>
      <c r="AY69" s="117">
        <f t="shared" si="39"/>
        <v>0</v>
      </c>
      <c r="AZ69" s="565"/>
      <c r="BA69" s="565"/>
      <c r="BB69" s="565"/>
      <c r="BC69" s="565"/>
      <c r="BD69" s="544"/>
      <c r="BE69" s="544"/>
      <c r="BF69" s="544"/>
      <c r="BG69" s="544"/>
      <c r="BH69" s="544"/>
      <c r="AJD69" s="546"/>
    </row>
    <row r="70" spans="1:940" s="545" customFormat="1">
      <c r="A70" s="113">
        <f t="shared" si="40"/>
        <v>61</v>
      </c>
      <c r="B70" s="113">
        <v>1701</v>
      </c>
      <c r="C70" s="113" t="s">
        <v>533</v>
      </c>
      <c r="D70" s="117">
        <f>750000+200000+300000</f>
        <v>1250000</v>
      </c>
      <c r="E70" s="117">
        <v>750000</v>
      </c>
      <c r="F70" s="117">
        <f t="shared" si="25"/>
        <v>500000</v>
      </c>
      <c r="G70" s="117">
        <v>750000</v>
      </c>
      <c r="H70" s="117">
        <v>90636</v>
      </c>
      <c r="I70" s="117"/>
      <c r="J70" s="117">
        <v>170125.44</v>
      </c>
      <c r="K70" s="117">
        <f t="shared" si="26"/>
        <v>170125.44</v>
      </c>
      <c r="L70" s="117">
        <f t="shared" si="27"/>
        <v>260761.44</v>
      </c>
      <c r="M70" s="117">
        <f>P70+S70-250000</f>
        <v>239238.56</v>
      </c>
      <c r="N70" s="117">
        <v>500000</v>
      </c>
      <c r="O70" s="117">
        <f t="shared" si="29"/>
        <v>250000</v>
      </c>
      <c r="P70" s="117">
        <f t="shared" si="30"/>
        <v>489238.56</v>
      </c>
      <c r="Q70" s="117"/>
      <c r="R70" s="117"/>
      <c r="S70" s="117">
        <f t="shared" si="31"/>
        <v>0</v>
      </c>
      <c r="T70" s="117">
        <f t="shared" si="32"/>
        <v>250000</v>
      </c>
      <c r="U70" s="117">
        <f t="shared" si="33"/>
        <v>250000</v>
      </c>
      <c r="V70" s="117">
        <f t="shared" si="34"/>
        <v>250000</v>
      </c>
      <c r="W70" s="543"/>
      <c r="X70" s="117"/>
      <c r="Y70" s="117"/>
      <c r="Z70" s="113"/>
      <c r="AA70" s="113">
        <v>732000</v>
      </c>
      <c r="AB70" s="117"/>
      <c r="AC70" s="117"/>
      <c r="AD70" s="117"/>
      <c r="AE70" s="117"/>
      <c r="AF70" s="117">
        <f>250000-150000</f>
        <v>100000</v>
      </c>
      <c r="AG70" s="117"/>
      <c r="AH70" s="117"/>
      <c r="AI70" s="117">
        <f>150000-150000</f>
        <v>0</v>
      </c>
      <c r="AJ70" s="117"/>
      <c r="AK70" s="117">
        <f t="shared" si="24"/>
        <v>100000</v>
      </c>
      <c r="AL70" s="117"/>
      <c r="AM70" s="566">
        <f t="shared" si="35"/>
        <v>100000</v>
      </c>
      <c r="AN70" s="117">
        <f t="shared" si="36"/>
        <v>150000</v>
      </c>
      <c r="AO70" s="117">
        <f t="shared" si="37"/>
        <v>100000</v>
      </c>
      <c r="AP70" s="565"/>
      <c r="AQ70" s="565"/>
      <c r="AR70" s="565"/>
      <c r="AS70" s="565"/>
      <c r="AT70" s="117">
        <f t="shared" si="38"/>
        <v>0</v>
      </c>
      <c r="AU70" s="565"/>
      <c r="AV70" s="565"/>
      <c r="AW70" s="565"/>
      <c r="AX70" s="565"/>
      <c r="AY70" s="117">
        <f t="shared" si="39"/>
        <v>150000</v>
      </c>
      <c r="AZ70" s="565"/>
      <c r="BA70" s="565"/>
      <c r="BB70" s="565"/>
      <c r="BC70" s="565"/>
      <c r="BD70" s="544"/>
      <c r="BE70" s="544"/>
      <c r="BF70" s="544"/>
      <c r="BG70" s="544"/>
      <c r="BH70" s="544"/>
      <c r="AJD70" s="546"/>
    </row>
    <row r="71" spans="1:940" s="545" customFormat="1">
      <c r="A71" s="113">
        <f t="shared" si="40"/>
        <v>62</v>
      </c>
      <c r="B71" s="113">
        <v>1755</v>
      </c>
      <c r="C71" s="113" t="s">
        <v>27</v>
      </c>
      <c r="D71" s="117">
        <f>500000-300000</f>
        <v>200000</v>
      </c>
      <c r="E71" s="117">
        <v>500000</v>
      </c>
      <c r="F71" s="117">
        <f t="shared" si="25"/>
        <v>-300000</v>
      </c>
      <c r="G71" s="117">
        <v>500000</v>
      </c>
      <c r="H71" s="117">
        <v>69371.839999999997</v>
      </c>
      <c r="I71" s="117"/>
      <c r="J71" s="117">
        <v>21992.97</v>
      </c>
      <c r="K71" s="117">
        <f t="shared" si="26"/>
        <v>21992.97</v>
      </c>
      <c r="L71" s="117">
        <f t="shared" si="27"/>
        <v>91364.81</v>
      </c>
      <c r="M71" s="117">
        <f>P71+S71-300000</f>
        <v>108635.19</v>
      </c>
      <c r="N71" s="117"/>
      <c r="O71" s="117">
        <f t="shared" si="29"/>
        <v>0</v>
      </c>
      <c r="P71" s="117">
        <f t="shared" si="30"/>
        <v>408635.19</v>
      </c>
      <c r="Q71" s="117"/>
      <c r="R71" s="117"/>
      <c r="S71" s="117">
        <f t="shared" si="31"/>
        <v>0</v>
      </c>
      <c r="T71" s="117">
        <f t="shared" si="32"/>
        <v>300000</v>
      </c>
      <c r="U71" s="117">
        <f t="shared" si="33"/>
        <v>-300000</v>
      </c>
      <c r="V71" s="117">
        <f t="shared" si="34"/>
        <v>-300000</v>
      </c>
      <c r="W71" s="543"/>
      <c r="X71" s="117"/>
      <c r="Y71" s="117"/>
      <c r="Z71" s="113"/>
      <c r="AA71" s="113">
        <v>732000</v>
      </c>
      <c r="AB71" s="117"/>
      <c r="AC71" s="117"/>
      <c r="AD71" s="117">
        <v>-300000</v>
      </c>
      <c r="AE71" s="117"/>
      <c r="AF71" s="117"/>
      <c r="AG71" s="117"/>
      <c r="AH71" s="117"/>
      <c r="AI71" s="117"/>
      <c r="AJ71" s="117"/>
      <c r="AK71" s="117">
        <f t="shared" si="24"/>
        <v>-300000</v>
      </c>
      <c r="AL71" s="117"/>
      <c r="AM71" s="566">
        <f t="shared" si="35"/>
        <v>-300000</v>
      </c>
      <c r="AN71" s="117">
        <f t="shared" si="36"/>
        <v>0</v>
      </c>
      <c r="AO71" s="117">
        <f t="shared" si="37"/>
        <v>-300000</v>
      </c>
      <c r="AP71" s="565"/>
      <c r="AQ71" s="565"/>
      <c r="AR71" s="565"/>
      <c r="AS71" s="565"/>
      <c r="AT71" s="117">
        <f t="shared" si="38"/>
        <v>0</v>
      </c>
      <c r="AU71" s="565"/>
      <c r="AV71" s="565"/>
      <c r="AW71" s="565"/>
      <c r="AX71" s="565"/>
      <c r="AY71" s="117">
        <f t="shared" si="39"/>
        <v>0</v>
      </c>
      <c r="AZ71" s="565"/>
      <c r="BA71" s="565"/>
      <c r="BB71" s="565"/>
      <c r="BC71" s="565"/>
      <c r="BD71" s="544"/>
      <c r="BE71" s="544"/>
      <c r="BF71" s="544"/>
      <c r="BG71" s="544"/>
      <c r="BH71" s="544"/>
      <c r="AJD71" s="546"/>
    </row>
    <row r="72" spans="1:940" s="545" customFormat="1" ht="28">
      <c r="A72" s="113">
        <f t="shared" si="40"/>
        <v>63</v>
      </c>
      <c r="B72" s="113">
        <v>1760</v>
      </c>
      <c r="C72" s="113" t="s">
        <v>562</v>
      </c>
      <c r="D72" s="117">
        <f>500000+400000</f>
        <v>900000</v>
      </c>
      <c r="E72" s="117">
        <v>500000</v>
      </c>
      <c r="F72" s="117">
        <f t="shared" si="25"/>
        <v>400000</v>
      </c>
      <c r="G72" s="117">
        <v>300000</v>
      </c>
      <c r="H72" s="117">
        <v>38898</v>
      </c>
      <c r="I72" s="117"/>
      <c r="J72" s="117">
        <v>1228</v>
      </c>
      <c r="K72" s="117">
        <f t="shared" si="26"/>
        <v>1228</v>
      </c>
      <c r="L72" s="117">
        <f t="shared" si="27"/>
        <v>40126</v>
      </c>
      <c r="M72" s="117">
        <f>P72+S72</f>
        <v>259874</v>
      </c>
      <c r="N72" s="117">
        <f>200000-100000</f>
        <v>100000</v>
      </c>
      <c r="O72" s="117">
        <f t="shared" si="29"/>
        <v>500000</v>
      </c>
      <c r="P72" s="117">
        <f t="shared" si="30"/>
        <v>259874</v>
      </c>
      <c r="Q72" s="117"/>
      <c r="R72" s="117"/>
      <c r="S72" s="117">
        <f t="shared" si="31"/>
        <v>0</v>
      </c>
      <c r="T72" s="117">
        <f t="shared" si="32"/>
        <v>0</v>
      </c>
      <c r="U72" s="117">
        <f t="shared" si="33"/>
        <v>100000</v>
      </c>
      <c r="V72" s="117">
        <f t="shared" si="34"/>
        <v>100000</v>
      </c>
      <c r="W72" s="543"/>
      <c r="X72" s="117"/>
      <c r="Y72" s="117"/>
      <c r="Z72" s="113"/>
      <c r="AA72" s="113">
        <v>732000</v>
      </c>
      <c r="AB72" s="117"/>
      <c r="AC72" s="117"/>
      <c r="AD72" s="117"/>
      <c r="AE72" s="117"/>
      <c r="AF72" s="117"/>
      <c r="AG72" s="117"/>
      <c r="AH72" s="117"/>
      <c r="AI72" s="117"/>
      <c r="AJ72" s="117">
        <v>100000</v>
      </c>
      <c r="AK72" s="117">
        <f t="shared" si="24"/>
        <v>100000</v>
      </c>
      <c r="AL72" s="117"/>
      <c r="AM72" s="566">
        <f t="shared" si="35"/>
        <v>100000</v>
      </c>
      <c r="AN72" s="117">
        <f t="shared" si="36"/>
        <v>0</v>
      </c>
      <c r="AO72" s="117">
        <f t="shared" si="37"/>
        <v>100000</v>
      </c>
      <c r="AP72" s="565"/>
      <c r="AQ72" s="565"/>
      <c r="AR72" s="565"/>
      <c r="AS72" s="565"/>
      <c r="AT72" s="117">
        <f t="shared" si="38"/>
        <v>0</v>
      </c>
      <c r="AU72" s="565"/>
      <c r="AV72" s="565"/>
      <c r="AW72" s="565"/>
      <c r="AX72" s="565"/>
      <c r="AY72" s="117">
        <f t="shared" si="39"/>
        <v>0</v>
      </c>
      <c r="AZ72" s="565"/>
      <c r="BA72" s="565"/>
      <c r="BB72" s="565"/>
      <c r="BC72" s="565"/>
      <c r="BD72" s="544"/>
      <c r="BE72" s="544"/>
      <c r="BF72" s="544"/>
      <c r="BG72" s="544"/>
      <c r="BH72" s="544"/>
      <c r="AJD72" s="546"/>
    </row>
    <row r="73" spans="1:940" s="545" customFormat="1">
      <c r="A73" s="113">
        <f t="shared" si="40"/>
        <v>64</v>
      </c>
      <c r="B73" s="113">
        <v>1762</v>
      </c>
      <c r="C73" s="113" t="s">
        <v>28</v>
      </c>
      <c r="D73" s="117">
        <v>500000</v>
      </c>
      <c r="E73" s="117">
        <v>500000</v>
      </c>
      <c r="F73" s="117">
        <f t="shared" si="25"/>
        <v>0</v>
      </c>
      <c r="G73" s="117">
        <v>100000</v>
      </c>
      <c r="H73" s="117">
        <v>0</v>
      </c>
      <c r="I73" s="117"/>
      <c r="J73" s="117">
        <v>11442.6</v>
      </c>
      <c r="K73" s="117">
        <f t="shared" si="26"/>
        <v>11442.6</v>
      </c>
      <c r="L73" s="117">
        <f t="shared" si="27"/>
        <v>11442.6</v>
      </c>
      <c r="M73" s="117">
        <f>P73+S73-80000</f>
        <v>8557.3999999999942</v>
      </c>
      <c r="N73" s="117">
        <v>80000</v>
      </c>
      <c r="O73" s="117">
        <f t="shared" si="29"/>
        <v>400000</v>
      </c>
      <c r="P73" s="117">
        <f t="shared" si="30"/>
        <v>88557.4</v>
      </c>
      <c r="Q73" s="117"/>
      <c r="R73" s="117"/>
      <c r="S73" s="117">
        <f t="shared" si="31"/>
        <v>0</v>
      </c>
      <c r="T73" s="117">
        <f t="shared" si="32"/>
        <v>80000</v>
      </c>
      <c r="U73" s="117">
        <f t="shared" si="33"/>
        <v>0</v>
      </c>
      <c r="V73" s="117">
        <f t="shared" si="34"/>
        <v>0</v>
      </c>
      <c r="W73" s="543"/>
      <c r="X73" s="117"/>
      <c r="Y73" s="117"/>
      <c r="Z73" s="113"/>
      <c r="AA73" s="113">
        <v>732000</v>
      </c>
      <c r="AB73" s="117"/>
      <c r="AC73" s="117"/>
      <c r="AD73" s="117"/>
      <c r="AE73" s="117"/>
      <c r="AF73" s="117"/>
      <c r="AG73" s="117"/>
      <c r="AH73" s="117"/>
      <c r="AI73" s="117"/>
      <c r="AJ73" s="117"/>
      <c r="AK73" s="117">
        <f t="shared" si="24"/>
        <v>0</v>
      </c>
      <c r="AL73" s="117"/>
      <c r="AM73" s="566">
        <f t="shared" si="35"/>
        <v>0</v>
      </c>
      <c r="AN73" s="117">
        <f t="shared" si="36"/>
        <v>0</v>
      </c>
      <c r="AO73" s="117">
        <f t="shared" si="37"/>
        <v>0</v>
      </c>
      <c r="AP73" s="565"/>
      <c r="AQ73" s="565"/>
      <c r="AR73" s="565"/>
      <c r="AS73" s="565"/>
      <c r="AT73" s="117">
        <f t="shared" si="38"/>
        <v>0</v>
      </c>
      <c r="AU73" s="565"/>
      <c r="AV73" s="565"/>
      <c r="AW73" s="565"/>
      <c r="AX73" s="565"/>
      <c r="AY73" s="117">
        <f t="shared" si="39"/>
        <v>0</v>
      </c>
      <c r="AZ73" s="565"/>
      <c r="BA73" s="565"/>
      <c r="BB73" s="565"/>
      <c r="BC73" s="565"/>
      <c r="BD73" s="544"/>
      <c r="BE73" s="544"/>
      <c r="BF73" s="544"/>
      <c r="BG73" s="544"/>
      <c r="BH73" s="544"/>
      <c r="AJD73" s="546"/>
    </row>
    <row r="74" spans="1:940" s="545" customFormat="1">
      <c r="A74" s="113">
        <f t="shared" si="40"/>
        <v>65</v>
      </c>
      <c r="B74" s="113">
        <v>1799</v>
      </c>
      <c r="C74" s="113" t="s">
        <v>181</v>
      </c>
      <c r="D74" s="117">
        <v>1000000</v>
      </c>
      <c r="E74" s="117">
        <v>1000000</v>
      </c>
      <c r="F74" s="117">
        <f t="shared" si="25"/>
        <v>0</v>
      </c>
      <c r="G74" s="117">
        <v>500000</v>
      </c>
      <c r="H74" s="117">
        <v>24106</v>
      </c>
      <c r="I74" s="117"/>
      <c r="J74" s="117">
        <v>20567.86</v>
      </c>
      <c r="K74" s="117">
        <f t="shared" si="26"/>
        <v>20567.86</v>
      </c>
      <c r="L74" s="117">
        <f t="shared" si="27"/>
        <v>44673.86</v>
      </c>
      <c r="M74" s="117">
        <f>P74+S74-400000</f>
        <v>55326.140000000014</v>
      </c>
      <c r="N74" s="117">
        <f>400000-150000</f>
        <v>250000</v>
      </c>
      <c r="O74" s="117">
        <f t="shared" si="29"/>
        <v>650000</v>
      </c>
      <c r="P74" s="117">
        <f t="shared" si="30"/>
        <v>455326.14</v>
      </c>
      <c r="Q74" s="117"/>
      <c r="R74" s="117"/>
      <c r="S74" s="117">
        <f t="shared" si="31"/>
        <v>0</v>
      </c>
      <c r="T74" s="117">
        <f t="shared" si="32"/>
        <v>400000</v>
      </c>
      <c r="U74" s="117">
        <f t="shared" si="33"/>
        <v>-150000</v>
      </c>
      <c r="V74" s="117">
        <f t="shared" si="34"/>
        <v>-150000</v>
      </c>
      <c r="W74" s="543"/>
      <c r="X74" s="117"/>
      <c r="Y74" s="117"/>
      <c r="Z74" s="113"/>
      <c r="AA74" s="113">
        <v>732000</v>
      </c>
      <c r="AB74" s="117"/>
      <c r="AC74" s="117"/>
      <c r="AD74" s="117">
        <v>-150000</v>
      </c>
      <c r="AE74" s="117"/>
      <c r="AF74" s="117"/>
      <c r="AG74" s="117"/>
      <c r="AH74" s="117"/>
      <c r="AI74" s="117"/>
      <c r="AJ74" s="117"/>
      <c r="AK74" s="117">
        <f t="shared" si="24"/>
        <v>-150000</v>
      </c>
      <c r="AL74" s="117"/>
      <c r="AM74" s="566">
        <f t="shared" si="35"/>
        <v>-150000</v>
      </c>
      <c r="AN74" s="117">
        <f t="shared" si="36"/>
        <v>0</v>
      </c>
      <c r="AO74" s="117">
        <f t="shared" si="37"/>
        <v>-150000</v>
      </c>
      <c r="AP74" s="565"/>
      <c r="AQ74" s="565"/>
      <c r="AR74" s="565"/>
      <c r="AS74" s="565"/>
      <c r="AT74" s="117">
        <f t="shared" si="38"/>
        <v>0</v>
      </c>
      <c r="AU74" s="565"/>
      <c r="AV74" s="565"/>
      <c r="AW74" s="565"/>
      <c r="AX74" s="565"/>
      <c r="AY74" s="117">
        <f t="shared" si="39"/>
        <v>0</v>
      </c>
      <c r="AZ74" s="565"/>
      <c r="BA74" s="565"/>
      <c r="BB74" s="565"/>
      <c r="BC74" s="565"/>
      <c r="BD74" s="544"/>
      <c r="BE74" s="544"/>
      <c r="BF74" s="544"/>
      <c r="BG74" s="544"/>
      <c r="BH74" s="544"/>
      <c r="AJD74" s="546"/>
    </row>
    <row r="75" spans="1:940" s="545" customFormat="1">
      <c r="A75" s="113">
        <f t="shared" si="40"/>
        <v>66</v>
      </c>
      <c r="B75" s="244">
        <v>1838</v>
      </c>
      <c r="C75" s="244" t="s">
        <v>923</v>
      </c>
      <c r="D75" s="117">
        <v>400000</v>
      </c>
      <c r="E75" s="117">
        <v>400000</v>
      </c>
      <c r="F75" s="117">
        <f t="shared" si="25"/>
        <v>0</v>
      </c>
      <c r="G75" s="117">
        <v>400000</v>
      </c>
      <c r="H75" s="117"/>
      <c r="I75" s="117"/>
      <c r="J75" s="117">
        <v>1168.83</v>
      </c>
      <c r="K75" s="117">
        <f t="shared" si="26"/>
        <v>1168.83</v>
      </c>
      <c r="L75" s="117">
        <f t="shared" si="27"/>
        <v>1168.83</v>
      </c>
      <c r="M75" s="117">
        <f>P75+S75-300000</f>
        <v>98831.169999999984</v>
      </c>
      <c r="N75" s="117">
        <f>300000-150000</f>
        <v>150000</v>
      </c>
      <c r="O75" s="117">
        <f t="shared" si="29"/>
        <v>150000</v>
      </c>
      <c r="P75" s="117">
        <f t="shared" si="30"/>
        <v>398831.17</v>
      </c>
      <c r="Q75" s="117"/>
      <c r="R75" s="117"/>
      <c r="S75" s="117">
        <f t="shared" si="31"/>
        <v>0</v>
      </c>
      <c r="T75" s="117">
        <f t="shared" si="32"/>
        <v>300000</v>
      </c>
      <c r="U75" s="117">
        <f t="shared" si="33"/>
        <v>-150000</v>
      </c>
      <c r="V75" s="117">
        <f t="shared" si="34"/>
        <v>-150000</v>
      </c>
      <c r="W75" s="543"/>
      <c r="X75" s="117"/>
      <c r="Y75" s="117"/>
      <c r="Z75" s="113"/>
      <c r="AA75" s="113">
        <v>732000</v>
      </c>
      <c r="AB75" s="117"/>
      <c r="AC75" s="117"/>
      <c r="AD75" s="117">
        <v>-150000</v>
      </c>
      <c r="AE75" s="117"/>
      <c r="AF75" s="117"/>
      <c r="AG75" s="117"/>
      <c r="AH75" s="117"/>
      <c r="AI75" s="117"/>
      <c r="AJ75" s="117"/>
      <c r="AK75" s="117">
        <f t="shared" si="24"/>
        <v>-150000</v>
      </c>
      <c r="AL75" s="117"/>
      <c r="AM75" s="566">
        <f t="shared" si="35"/>
        <v>-150000</v>
      </c>
      <c r="AN75" s="117">
        <f t="shared" si="36"/>
        <v>0</v>
      </c>
      <c r="AO75" s="117">
        <f t="shared" si="37"/>
        <v>-150000</v>
      </c>
      <c r="AP75" s="565"/>
      <c r="AQ75" s="565"/>
      <c r="AR75" s="565"/>
      <c r="AS75" s="565"/>
      <c r="AT75" s="117">
        <f t="shared" si="38"/>
        <v>0</v>
      </c>
      <c r="AU75" s="565"/>
      <c r="AV75" s="565"/>
      <c r="AW75" s="565"/>
      <c r="AX75" s="565"/>
      <c r="AY75" s="117">
        <f t="shared" si="39"/>
        <v>0</v>
      </c>
      <c r="AZ75" s="565"/>
      <c r="BA75" s="565"/>
      <c r="BB75" s="565"/>
      <c r="BC75" s="565"/>
      <c r="BD75" s="544"/>
      <c r="BE75" s="544"/>
      <c r="BF75" s="544"/>
      <c r="BG75" s="544"/>
      <c r="BH75" s="544"/>
      <c r="AJD75" s="546"/>
    </row>
    <row r="76" spans="1:940" s="546" customFormat="1" ht="28">
      <c r="A76" s="113">
        <f t="shared" si="40"/>
        <v>67</v>
      </c>
      <c r="B76" s="244">
        <v>1839</v>
      </c>
      <c r="C76" s="244" t="s">
        <v>924</v>
      </c>
      <c r="D76" s="117">
        <v>150000</v>
      </c>
      <c r="E76" s="117">
        <v>150000</v>
      </c>
      <c r="F76" s="117">
        <f t="shared" si="25"/>
        <v>0</v>
      </c>
      <c r="G76" s="117">
        <v>150000</v>
      </c>
      <c r="H76" s="117"/>
      <c r="I76" s="117"/>
      <c r="J76" s="117"/>
      <c r="K76" s="117">
        <f t="shared" si="26"/>
        <v>0</v>
      </c>
      <c r="L76" s="117">
        <f t="shared" si="27"/>
        <v>0</v>
      </c>
      <c r="M76" s="117">
        <f>P76+S76-150000</f>
        <v>0</v>
      </c>
      <c r="N76" s="117">
        <v>150000</v>
      </c>
      <c r="O76" s="117">
        <f t="shared" si="29"/>
        <v>0</v>
      </c>
      <c r="P76" s="117">
        <f t="shared" si="30"/>
        <v>150000</v>
      </c>
      <c r="Q76" s="117"/>
      <c r="R76" s="117"/>
      <c r="S76" s="117">
        <f t="shared" si="31"/>
        <v>0</v>
      </c>
      <c r="T76" s="117">
        <f t="shared" si="32"/>
        <v>150000</v>
      </c>
      <c r="U76" s="117">
        <f t="shared" si="33"/>
        <v>0</v>
      </c>
      <c r="V76" s="117">
        <f t="shared" si="34"/>
        <v>0</v>
      </c>
      <c r="W76" s="543"/>
      <c r="X76" s="117"/>
      <c r="Y76" s="117"/>
      <c r="Z76" s="113"/>
      <c r="AA76" s="113">
        <v>732000</v>
      </c>
      <c r="AB76" s="117"/>
      <c r="AC76" s="117"/>
      <c r="AD76" s="117"/>
      <c r="AE76" s="117"/>
      <c r="AF76" s="117"/>
      <c r="AG76" s="117"/>
      <c r="AH76" s="117"/>
      <c r="AI76" s="117"/>
      <c r="AJ76" s="117"/>
      <c r="AK76" s="117">
        <f t="shared" si="24"/>
        <v>0</v>
      </c>
      <c r="AL76" s="117"/>
      <c r="AM76" s="566">
        <f t="shared" si="35"/>
        <v>0</v>
      </c>
      <c r="AN76" s="117">
        <f t="shared" si="36"/>
        <v>0</v>
      </c>
      <c r="AO76" s="117">
        <f t="shared" si="37"/>
        <v>0</v>
      </c>
      <c r="AP76" s="565"/>
      <c r="AQ76" s="565"/>
      <c r="AR76" s="565"/>
      <c r="AS76" s="565"/>
      <c r="AT76" s="117">
        <f t="shared" si="38"/>
        <v>0</v>
      </c>
      <c r="AU76" s="565"/>
      <c r="AV76" s="565"/>
      <c r="AW76" s="565"/>
      <c r="AX76" s="565"/>
      <c r="AY76" s="117">
        <f t="shared" si="39"/>
        <v>0</v>
      </c>
      <c r="AZ76" s="565"/>
      <c r="BA76" s="565"/>
      <c r="BB76" s="565"/>
      <c r="BC76" s="565"/>
      <c r="BD76" s="544"/>
      <c r="BE76" s="544"/>
      <c r="BF76" s="544"/>
      <c r="BG76" s="544"/>
      <c r="BH76" s="544"/>
      <c r="BI76" s="308"/>
      <c r="BJ76" s="308"/>
      <c r="BK76" s="308"/>
      <c r="BL76" s="308"/>
      <c r="BM76" s="308"/>
      <c r="BN76" s="308"/>
      <c r="BO76" s="308"/>
      <c r="BP76" s="308"/>
      <c r="BQ76" s="308"/>
      <c r="BR76" s="308"/>
      <c r="BS76" s="308"/>
      <c r="BT76" s="308"/>
      <c r="BU76" s="308"/>
      <c r="BV76" s="308"/>
      <c r="BW76" s="308"/>
      <c r="BX76" s="308"/>
      <c r="BY76" s="308"/>
      <c r="BZ76" s="308"/>
      <c r="CA76" s="308"/>
      <c r="CB76" s="308"/>
      <c r="CC76" s="308"/>
      <c r="CD76" s="308"/>
      <c r="CE76" s="308"/>
      <c r="CF76" s="308"/>
      <c r="CG76" s="308"/>
      <c r="CH76" s="308"/>
      <c r="CI76" s="308"/>
      <c r="CJ76" s="308"/>
      <c r="CK76" s="308"/>
      <c r="CL76" s="308"/>
      <c r="CM76" s="308"/>
      <c r="CN76" s="308"/>
      <c r="CO76" s="308"/>
      <c r="CP76" s="308"/>
      <c r="CQ76" s="308"/>
      <c r="CR76" s="308"/>
      <c r="CS76" s="308"/>
      <c r="CT76" s="308"/>
      <c r="CU76" s="308"/>
      <c r="CV76" s="308"/>
      <c r="CW76" s="308"/>
      <c r="CX76" s="308"/>
      <c r="CY76" s="308"/>
      <c r="CZ76" s="308"/>
      <c r="DA76" s="308"/>
      <c r="DB76" s="308"/>
      <c r="DC76" s="308"/>
      <c r="DD76" s="308"/>
      <c r="DE76" s="308"/>
      <c r="DF76" s="308"/>
      <c r="DG76" s="308"/>
      <c r="DH76" s="308"/>
      <c r="DI76" s="308"/>
      <c r="DJ76" s="308"/>
      <c r="DK76" s="308"/>
      <c r="DL76" s="308"/>
      <c r="DM76" s="308"/>
      <c r="DN76" s="308"/>
      <c r="DO76" s="308"/>
      <c r="DP76" s="308"/>
      <c r="DQ76" s="308"/>
      <c r="DR76" s="308"/>
      <c r="DS76" s="308"/>
      <c r="DT76" s="308"/>
      <c r="DU76" s="308"/>
      <c r="DV76" s="308"/>
      <c r="DW76" s="308"/>
      <c r="DX76" s="308"/>
      <c r="DY76" s="308"/>
      <c r="DZ76" s="308"/>
      <c r="EA76" s="308"/>
      <c r="EB76" s="308"/>
      <c r="EC76" s="308"/>
      <c r="ED76" s="308"/>
      <c r="EE76" s="308"/>
      <c r="EF76" s="308"/>
      <c r="EG76" s="308"/>
      <c r="EH76" s="308"/>
      <c r="EI76" s="308"/>
      <c r="EJ76" s="308"/>
      <c r="EK76" s="308"/>
      <c r="EL76" s="308"/>
      <c r="EM76" s="308"/>
      <c r="EN76" s="308"/>
      <c r="EO76" s="308"/>
      <c r="EP76" s="308"/>
      <c r="EQ76" s="308"/>
      <c r="ER76" s="308"/>
      <c r="ES76" s="308"/>
      <c r="ET76" s="308"/>
      <c r="EU76" s="308"/>
      <c r="EV76" s="308"/>
      <c r="EW76" s="308"/>
      <c r="EX76" s="308"/>
      <c r="EY76" s="308"/>
      <c r="EZ76" s="308"/>
      <c r="FA76" s="308"/>
      <c r="FB76" s="308"/>
      <c r="FC76" s="308"/>
      <c r="FD76" s="308"/>
      <c r="FE76" s="308"/>
      <c r="FF76" s="308"/>
      <c r="FG76" s="308"/>
      <c r="FH76" s="308"/>
      <c r="FI76" s="308"/>
      <c r="FJ76" s="308"/>
      <c r="FK76" s="308"/>
      <c r="FL76" s="308"/>
      <c r="FM76" s="308"/>
      <c r="FN76" s="308"/>
      <c r="FO76" s="308"/>
      <c r="FP76" s="308"/>
      <c r="FQ76" s="308"/>
      <c r="FR76" s="308"/>
      <c r="FS76" s="308"/>
      <c r="FT76" s="308"/>
      <c r="FU76" s="308"/>
      <c r="FV76" s="308"/>
      <c r="FW76" s="308"/>
      <c r="FX76" s="308"/>
      <c r="FY76" s="308"/>
      <c r="FZ76" s="308"/>
      <c r="GA76" s="308"/>
      <c r="GB76" s="308"/>
      <c r="GC76" s="308"/>
      <c r="GD76" s="308"/>
      <c r="GE76" s="308"/>
      <c r="GF76" s="308"/>
      <c r="GG76" s="308"/>
      <c r="GH76" s="308"/>
      <c r="GI76" s="308"/>
      <c r="GJ76" s="308"/>
      <c r="GK76" s="308"/>
      <c r="GL76" s="308"/>
      <c r="GM76" s="308"/>
      <c r="GN76" s="308"/>
      <c r="GO76" s="308"/>
      <c r="GP76" s="308"/>
      <c r="GQ76" s="308"/>
      <c r="GR76" s="308"/>
      <c r="GS76" s="308"/>
      <c r="GT76" s="308"/>
      <c r="GU76" s="308"/>
      <c r="GV76" s="308"/>
      <c r="GW76" s="308"/>
      <c r="GX76" s="308"/>
      <c r="GY76" s="308"/>
      <c r="GZ76" s="308"/>
      <c r="HA76" s="308"/>
      <c r="HB76" s="308"/>
      <c r="HC76" s="308"/>
      <c r="HD76" s="308"/>
      <c r="HE76" s="308"/>
      <c r="HF76" s="308"/>
      <c r="HG76" s="308"/>
      <c r="HH76" s="308"/>
      <c r="HI76" s="308"/>
      <c r="HJ76" s="308"/>
      <c r="HK76" s="308"/>
      <c r="HL76" s="308"/>
      <c r="HM76" s="308"/>
      <c r="HN76" s="308"/>
      <c r="HO76" s="308"/>
      <c r="HP76" s="308"/>
      <c r="HQ76" s="308"/>
      <c r="HR76" s="308"/>
      <c r="HS76" s="308"/>
      <c r="HT76" s="308"/>
      <c r="HU76" s="308"/>
      <c r="HV76" s="308"/>
      <c r="HW76" s="308"/>
      <c r="HX76" s="308"/>
      <c r="HY76" s="308"/>
      <c r="HZ76" s="308"/>
      <c r="IA76" s="308"/>
      <c r="IB76" s="308"/>
      <c r="IC76" s="308"/>
      <c r="ID76" s="308"/>
      <c r="IE76" s="308"/>
      <c r="IF76" s="308"/>
      <c r="IG76" s="308"/>
      <c r="IH76" s="308"/>
      <c r="II76" s="308"/>
      <c r="IJ76" s="308"/>
      <c r="IK76" s="308"/>
      <c r="IL76" s="308"/>
      <c r="IM76" s="308"/>
      <c r="IN76" s="308"/>
      <c r="IO76" s="308"/>
      <c r="IP76" s="308"/>
      <c r="IQ76" s="308"/>
      <c r="IR76" s="308"/>
      <c r="IS76" s="308"/>
      <c r="IT76" s="308"/>
      <c r="IU76" s="308"/>
      <c r="IV76" s="308"/>
      <c r="IW76" s="308"/>
      <c r="IX76" s="308"/>
      <c r="IY76" s="308"/>
      <c r="IZ76" s="308"/>
      <c r="JA76" s="308"/>
      <c r="JB76" s="308"/>
      <c r="JC76" s="308"/>
      <c r="JD76" s="308"/>
      <c r="JE76" s="308"/>
      <c r="JF76" s="308"/>
      <c r="JG76" s="308"/>
      <c r="JH76" s="308"/>
      <c r="JI76" s="308"/>
      <c r="JJ76" s="308"/>
      <c r="JK76" s="308"/>
      <c r="JL76" s="308"/>
      <c r="JM76" s="308"/>
      <c r="JN76" s="308"/>
      <c r="JO76" s="308"/>
      <c r="JP76" s="308"/>
      <c r="JQ76" s="308"/>
      <c r="JR76" s="308"/>
      <c r="JS76" s="308"/>
      <c r="JT76" s="308"/>
      <c r="JU76" s="308"/>
      <c r="JV76" s="308"/>
      <c r="JW76" s="308"/>
      <c r="JX76" s="308"/>
      <c r="JY76" s="308"/>
      <c r="JZ76" s="308"/>
      <c r="KA76" s="308"/>
      <c r="KB76" s="308"/>
      <c r="KC76" s="308"/>
      <c r="KD76" s="308"/>
      <c r="KE76" s="308"/>
      <c r="KF76" s="308"/>
      <c r="KG76" s="308"/>
      <c r="KH76" s="308"/>
      <c r="KI76" s="308"/>
      <c r="KJ76" s="308"/>
      <c r="KK76" s="308"/>
      <c r="KL76" s="308"/>
      <c r="KM76" s="308"/>
      <c r="KN76" s="308"/>
      <c r="KO76" s="308"/>
      <c r="KP76" s="308"/>
      <c r="KQ76" s="308"/>
      <c r="KR76" s="308"/>
      <c r="KS76" s="308"/>
      <c r="KT76" s="308"/>
      <c r="KU76" s="308"/>
      <c r="KV76" s="308"/>
      <c r="KW76" s="308"/>
      <c r="KX76" s="308"/>
      <c r="KY76" s="308"/>
      <c r="KZ76" s="308"/>
      <c r="LA76" s="308"/>
      <c r="LB76" s="308"/>
      <c r="LC76" s="308"/>
      <c r="LD76" s="308"/>
      <c r="LE76" s="308"/>
      <c r="LF76" s="308"/>
      <c r="LG76" s="308"/>
      <c r="LH76" s="308"/>
      <c r="LI76" s="308"/>
      <c r="LJ76" s="308"/>
      <c r="LK76" s="308"/>
      <c r="LL76" s="308"/>
      <c r="LM76" s="308"/>
      <c r="LN76" s="308"/>
      <c r="LO76" s="308"/>
      <c r="LP76" s="308"/>
      <c r="LQ76" s="308"/>
      <c r="LR76" s="308"/>
      <c r="LS76" s="308"/>
      <c r="LT76" s="308"/>
      <c r="LU76" s="308"/>
      <c r="LV76" s="308"/>
      <c r="LW76" s="308"/>
      <c r="LX76" s="308"/>
      <c r="LY76" s="308"/>
      <c r="LZ76" s="308"/>
      <c r="MA76" s="308"/>
      <c r="MB76" s="308"/>
      <c r="MC76" s="308"/>
      <c r="MD76" s="308"/>
      <c r="ME76" s="308"/>
      <c r="MF76" s="308"/>
      <c r="MG76" s="308"/>
      <c r="MH76" s="308"/>
      <c r="MI76" s="308"/>
      <c r="MJ76" s="308"/>
      <c r="MK76" s="308"/>
      <c r="ML76" s="308"/>
      <c r="MM76" s="308"/>
      <c r="MN76" s="308"/>
      <c r="MO76" s="308"/>
      <c r="MP76" s="308"/>
      <c r="MQ76" s="308"/>
      <c r="MR76" s="308"/>
      <c r="MS76" s="308"/>
      <c r="MT76" s="308"/>
      <c r="MU76" s="308"/>
      <c r="MV76" s="308"/>
      <c r="MW76" s="308"/>
      <c r="MX76" s="308"/>
      <c r="MY76" s="308"/>
      <c r="MZ76" s="308"/>
      <c r="NA76" s="308"/>
      <c r="NB76" s="308"/>
      <c r="NC76" s="308"/>
      <c r="ND76" s="308"/>
      <c r="NE76" s="308"/>
      <c r="NF76" s="308"/>
      <c r="NG76" s="308"/>
      <c r="NH76" s="308"/>
      <c r="NI76" s="308"/>
      <c r="NJ76" s="308"/>
      <c r="NK76" s="308"/>
      <c r="NL76" s="308"/>
      <c r="NM76" s="308"/>
      <c r="NN76" s="308"/>
      <c r="NO76" s="308"/>
      <c r="NP76" s="308"/>
      <c r="NQ76" s="308"/>
      <c r="NR76" s="308"/>
      <c r="NS76" s="308"/>
      <c r="NT76" s="308"/>
      <c r="NU76" s="308"/>
      <c r="NV76" s="308"/>
      <c r="NW76" s="308"/>
      <c r="NX76" s="308"/>
      <c r="NY76" s="308"/>
      <c r="NZ76" s="308"/>
      <c r="OA76" s="308"/>
      <c r="OB76" s="308"/>
      <c r="OC76" s="308"/>
      <c r="OD76" s="308"/>
      <c r="OE76" s="308"/>
      <c r="OF76" s="308"/>
      <c r="OG76" s="308"/>
      <c r="OH76" s="308"/>
      <c r="OI76" s="308"/>
      <c r="OJ76" s="308"/>
      <c r="OK76" s="308"/>
      <c r="OL76" s="308"/>
      <c r="OM76" s="308"/>
      <c r="ON76" s="308"/>
      <c r="OO76" s="308"/>
      <c r="OP76" s="308"/>
      <c r="OQ76" s="308"/>
      <c r="OR76" s="308"/>
      <c r="OS76" s="308"/>
      <c r="OT76" s="308"/>
      <c r="OU76" s="308"/>
      <c r="OV76" s="308"/>
      <c r="OW76" s="308"/>
      <c r="OX76" s="308"/>
      <c r="OY76" s="308"/>
      <c r="OZ76" s="308"/>
      <c r="PA76" s="308"/>
      <c r="PB76" s="308"/>
      <c r="PC76" s="308"/>
      <c r="PD76" s="308"/>
      <c r="PE76" s="308"/>
      <c r="PF76" s="308"/>
      <c r="PG76" s="308"/>
      <c r="PH76" s="308"/>
      <c r="PI76" s="308"/>
      <c r="PJ76" s="308"/>
      <c r="PK76" s="308"/>
      <c r="PL76" s="308"/>
      <c r="PM76" s="308"/>
      <c r="PN76" s="308"/>
      <c r="PO76" s="308"/>
      <c r="PP76" s="308"/>
      <c r="PQ76" s="308"/>
      <c r="PR76" s="308"/>
      <c r="PS76" s="308"/>
      <c r="PT76" s="308"/>
      <c r="PU76" s="308"/>
      <c r="PV76" s="308"/>
      <c r="PW76" s="308"/>
      <c r="PX76" s="308"/>
      <c r="PY76" s="308"/>
      <c r="PZ76" s="308"/>
      <c r="QA76" s="308"/>
      <c r="QB76" s="308"/>
      <c r="QC76" s="308"/>
      <c r="QD76" s="308"/>
      <c r="QE76" s="308"/>
      <c r="QF76" s="308"/>
      <c r="QG76" s="308"/>
      <c r="QH76" s="308"/>
      <c r="QI76" s="308"/>
      <c r="QJ76" s="308"/>
      <c r="QK76" s="308"/>
      <c r="QL76" s="308"/>
      <c r="QM76" s="308"/>
      <c r="QN76" s="308"/>
      <c r="QO76" s="308"/>
      <c r="QP76" s="308"/>
      <c r="QQ76" s="308"/>
      <c r="QR76" s="308"/>
      <c r="QS76" s="308"/>
      <c r="QT76" s="308"/>
      <c r="QU76" s="308"/>
      <c r="QV76" s="308"/>
      <c r="QW76" s="308"/>
      <c r="QX76" s="308"/>
      <c r="QY76" s="308"/>
      <c r="QZ76" s="308"/>
      <c r="RA76" s="308"/>
      <c r="RB76" s="308"/>
      <c r="RC76" s="308"/>
      <c r="RD76" s="308"/>
      <c r="RE76" s="308"/>
      <c r="RF76" s="308"/>
      <c r="RG76" s="308"/>
      <c r="RH76" s="308"/>
      <c r="RI76" s="308"/>
      <c r="RJ76" s="308"/>
      <c r="RK76" s="308"/>
      <c r="RL76" s="308"/>
      <c r="RM76" s="308"/>
      <c r="RN76" s="308"/>
      <c r="RO76" s="308"/>
      <c r="RP76" s="308"/>
      <c r="RQ76" s="308"/>
      <c r="RR76" s="308"/>
      <c r="RS76" s="308"/>
      <c r="RT76" s="308"/>
      <c r="RU76" s="308"/>
      <c r="RV76" s="308"/>
      <c r="RW76" s="308"/>
      <c r="RX76" s="308"/>
      <c r="RY76" s="308"/>
      <c r="RZ76" s="308"/>
      <c r="SA76" s="308"/>
      <c r="SB76" s="308"/>
      <c r="SC76" s="308"/>
      <c r="SD76" s="308"/>
      <c r="SE76" s="308"/>
      <c r="SF76" s="308"/>
      <c r="SG76" s="308"/>
      <c r="SH76" s="308"/>
      <c r="SI76" s="308"/>
      <c r="SJ76" s="308"/>
      <c r="SK76" s="308"/>
      <c r="SL76" s="308"/>
      <c r="SM76" s="308"/>
      <c r="SN76" s="308"/>
      <c r="SO76" s="308"/>
      <c r="SP76" s="308"/>
      <c r="SQ76" s="308"/>
      <c r="SR76" s="308"/>
      <c r="SS76" s="308"/>
      <c r="ST76" s="308"/>
      <c r="SU76" s="308"/>
      <c r="SV76" s="308"/>
      <c r="SW76" s="308"/>
      <c r="SX76" s="308"/>
      <c r="SY76" s="308"/>
      <c r="SZ76" s="308"/>
      <c r="TA76" s="308"/>
      <c r="TB76" s="308"/>
      <c r="TC76" s="308"/>
      <c r="TD76" s="308"/>
      <c r="TE76" s="308"/>
      <c r="TF76" s="308"/>
      <c r="TG76" s="308"/>
      <c r="TH76" s="308"/>
      <c r="TI76" s="308"/>
      <c r="TJ76" s="308"/>
      <c r="TK76" s="308"/>
      <c r="TL76" s="308"/>
      <c r="TM76" s="308"/>
      <c r="TN76" s="308"/>
      <c r="TO76" s="308"/>
      <c r="TP76" s="308"/>
      <c r="TQ76" s="308"/>
      <c r="TR76" s="308"/>
      <c r="TS76" s="308"/>
      <c r="TT76" s="308"/>
      <c r="TU76" s="308"/>
      <c r="TV76" s="308"/>
      <c r="TW76" s="308"/>
      <c r="TX76" s="308"/>
      <c r="TY76" s="308"/>
      <c r="TZ76" s="308"/>
      <c r="UA76" s="308"/>
      <c r="UB76" s="308"/>
      <c r="UC76" s="308"/>
      <c r="UD76" s="308"/>
      <c r="UE76" s="308"/>
      <c r="UF76" s="308"/>
      <c r="UG76" s="308"/>
      <c r="UH76" s="308"/>
      <c r="UI76" s="308"/>
      <c r="UJ76" s="308"/>
      <c r="UK76" s="308"/>
      <c r="UL76" s="308"/>
      <c r="UM76" s="308"/>
      <c r="UN76" s="308"/>
      <c r="UO76" s="308"/>
      <c r="UP76" s="308"/>
      <c r="UQ76" s="308"/>
      <c r="UR76" s="308"/>
      <c r="US76" s="308"/>
      <c r="UT76" s="308"/>
      <c r="UU76" s="308"/>
      <c r="UV76" s="308"/>
      <c r="UW76" s="308"/>
      <c r="UX76" s="308"/>
      <c r="UY76" s="308"/>
      <c r="UZ76" s="308"/>
      <c r="VA76" s="308"/>
      <c r="VB76" s="308"/>
      <c r="VC76" s="308"/>
      <c r="VD76" s="308"/>
      <c r="VE76" s="308"/>
      <c r="VF76" s="308"/>
      <c r="VG76" s="308"/>
      <c r="VH76" s="308"/>
      <c r="VI76" s="308"/>
      <c r="VJ76" s="308"/>
      <c r="VK76" s="308"/>
      <c r="VL76" s="308"/>
      <c r="VM76" s="308"/>
      <c r="VN76" s="308"/>
      <c r="VO76" s="308"/>
      <c r="VP76" s="308"/>
      <c r="VQ76" s="308"/>
      <c r="VR76" s="308"/>
      <c r="VS76" s="308"/>
      <c r="VT76" s="308"/>
      <c r="VU76" s="308"/>
      <c r="VV76" s="308"/>
      <c r="VW76" s="308"/>
      <c r="VX76" s="308"/>
      <c r="VY76" s="308"/>
      <c r="VZ76" s="308"/>
      <c r="WA76" s="308"/>
      <c r="WB76" s="308"/>
      <c r="WC76" s="308"/>
      <c r="WD76" s="308"/>
      <c r="WE76" s="308"/>
      <c r="WF76" s="308"/>
      <c r="WG76" s="308"/>
      <c r="WH76" s="308"/>
      <c r="WI76" s="308"/>
      <c r="WJ76" s="308"/>
      <c r="WK76" s="308"/>
      <c r="WL76" s="308"/>
      <c r="WM76" s="308"/>
      <c r="WN76" s="308"/>
      <c r="WO76" s="308"/>
      <c r="WP76" s="308"/>
      <c r="WQ76" s="308"/>
      <c r="WR76" s="308"/>
      <c r="WS76" s="308"/>
      <c r="WT76" s="308"/>
      <c r="WU76" s="308"/>
      <c r="WV76" s="308"/>
      <c r="WW76" s="308"/>
      <c r="WX76" s="308"/>
      <c r="WY76" s="308"/>
      <c r="WZ76" s="308"/>
      <c r="XA76" s="308"/>
      <c r="XB76" s="308"/>
      <c r="XC76" s="308"/>
      <c r="XD76" s="308"/>
      <c r="XE76" s="308"/>
      <c r="XF76" s="308"/>
      <c r="XG76" s="308"/>
      <c r="XH76" s="308"/>
      <c r="XI76" s="308"/>
      <c r="XJ76" s="308"/>
      <c r="XK76" s="308"/>
      <c r="XL76" s="308"/>
      <c r="XM76" s="308"/>
      <c r="XN76" s="308"/>
      <c r="XO76" s="308"/>
      <c r="XP76" s="308"/>
      <c r="XQ76" s="308"/>
      <c r="XR76" s="308"/>
      <c r="XS76" s="308"/>
      <c r="XT76" s="308"/>
      <c r="XU76" s="308"/>
      <c r="XV76" s="308"/>
      <c r="XW76" s="308"/>
      <c r="XX76" s="308"/>
      <c r="XY76" s="308"/>
      <c r="XZ76" s="308"/>
      <c r="YA76" s="308"/>
      <c r="YB76" s="308"/>
      <c r="YC76" s="308"/>
      <c r="YD76" s="308"/>
      <c r="YE76" s="308"/>
      <c r="YF76" s="308"/>
      <c r="YG76" s="308"/>
      <c r="YH76" s="308"/>
      <c r="YI76" s="308"/>
      <c r="YJ76" s="308"/>
      <c r="YK76" s="308"/>
      <c r="YL76" s="308"/>
      <c r="YM76" s="308"/>
      <c r="YN76" s="308"/>
      <c r="YO76" s="308"/>
      <c r="YP76" s="308"/>
      <c r="YQ76" s="308"/>
      <c r="YR76" s="308"/>
      <c r="YS76" s="308"/>
      <c r="YT76" s="308"/>
      <c r="YU76" s="308"/>
      <c r="YV76" s="308"/>
      <c r="YW76" s="308"/>
      <c r="YX76" s="308"/>
      <c r="YY76" s="308"/>
      <c r="YZ76" s="308"/>
      <c r="ZA76" s="308"/>
      <c r="ZB76" s="308"/>
      <c r="ZC76" s="308"/>
      <c r="ZD76" s="308"/>
      <c r="ZE76" s="308"/>
      <c r="ZF76" s="308"/>
      <c r="ZG76" s="308"/>
      <c r="ZH76" s="308"/>
      <c r="ZI76" s="308"/>
      <c r="ZJ76" s="308"/>
      <c r="ZK76" s="308"/>
      <c r="ZL76" s="308"/>
      <c r="ZM76" s="308"/>
      <c r="ZN76" s="308"/>
      <c r="ZO76" s="308"/>
      <c r="ZP76" s="308"/>
      <c r="ZQ76" s="308"/>
      <c r="ZR76" s="308"/>
      <c r="ZS76" s="308"/>
      <c r="ZT76" s="308"/>
      <c r="ZU76" s="308"/>
      <c r="ZV76" s="308"/>
      <c r="ZW76" s="308"/>
      <c r="ZX76" s="308"/>
      <c r="ZY76" s="308"/>
      <c r="ZZ76" s="308"/>
      <c r="AAA76" s="308"/>
      <c r="AAB76" s="308"/>
      <c r="AAC76" s="308"/>
      <c r="AAD76" s="308"/>
      <c r="AAE76" s="308"/>
      <c r="AAF76" s="308"/>
      <c r="AAG76" s="308"/>
      <c r="AAH76" s="308"/>
      <c r="AAI76" s="308"/>
      <c r="AAJ76" s="308"/>
      <c r="AAK76" s="308"/>
      <c r="AAL76" s="308"/>
      <c r="AAM76" s="308"/>
      <c r="AAN76" s="308"/>
      <c r="AAO76" s="308"/>
      <c r="AAP76" s="308"/>
      <c r="AAQ76" s="308"/>
      <c r="AAR76" s="308"/>
      <c r="AAS76" s="308"/>
      <c r="AAT76" s="308"/>
      <c r="AAU76" s="308"/>
      <c r="AAV76" s="308"/>
      <c r="AAW76" s="308"/>
      <c r="AAX76" s="308"/>
      <c r="AAY76" s="308"/>
      <c r="AAZ76" s="308"/>
      <c r="ABA76" s="308"/>
      <c r="ABB76" s="308"/>
      <c r="ABC76" s="308"/>
      <c r="ABD76" s="308"/>
      <c r="ABE76" s="308"/>
      <c r="ABF76" s="308"/>
      <c r="ABG76" s="308"/>
      <c r="ABH76" s="308"/>
      <c r="ABI76" s="308"/>
      <c r="ABJ76" s="308"/>
      <c r="ABK76" s="308"/>
      <c r="ABL76" s="308"/>
      <c r="ABM76" s="308"/>
      <c r="ABN76" s="308"/>
      <c r="ABO76" s="308"/>
      <c r="ABP76" s="308"/>
      <c r="ABQ76" s="308"/>
      <c r="ABR76" s="308"/>
      <c r="ABS76" s="308"/>
      <c r="ABT76" s="308"/>
      <c r="ABU76" s="308"/>
      <c r="ABV76" s="308"/>
      <c r="ABW76" s="308"/>
      <c r="ABX76" s="308"/>
      <c r="ABY76" s="308"/>
      <c r="ABZ76" s="308"/>
      <c r="ACA76" s="308"/>
      <c r="ACB76" s="308"/>
      <c r="ACC76" s="308"/>
      <c r="ACD76" s="308"/>
      <c r="ACE76" s="308"/>
      <c r="ACF76" s="308"/>
      <c r="ACG76" s="308"/>
      <c r="ACH76" s="308"/>
      <c r="ACI76" s="308"/>
      <c r="ACJ76" s="308"/>
      <c r="ACK76" s="308"/>
      <c r="ACL76" s="308"/>
      <c r="ACM76" s="308"/>
      <c r="ACN76" s="308"/>
      <c r="ACO76" s="308"/>
      <c r="ACP76" s="308"/>
      <c r="ACQ76" s="308"/>
      <c r="ACR76" s="308"/>
      <c r="ACS76" s="308"/>
      <c r="ACT76" s="308"/>
      <c r="ACU76" s="308"/>
      <c r="ACV76" s="308"/>
      <c r="ACW76" s="308"/>
      <c r="ACX76" s="308"/>
      <c r="ACY76" s="308"/>
      <c r="ACZ76" s="308"/>
      <c r="ADA76" s="308"/>
      <c r="ADB76" s="308"/>
      <c r="ADC76" s="308"/>
      <c r="ADD76" s="308"/>
      <c r="ADE76" s="308"/>
      <c r="ADF76" s="308"/>
      <c r="ADG76" s="308"/>
      <c r="ADH76" s="308"/>
      <c r="ADI76" s="308"/>
      <c r="ADJ76" s="308"/>
      <c r="ADK76" s="308"/>
      <c r="ADL76" s="308"/>
      <c r="ADM76" s="308"/>
      <c r="ADN76" s="308"/>
      <c r="ADO76" s="308"/>
      <c r="ADP76" s="308"/>
      <c r="ADQ76" s="308"/>
      <c r="ADR76" s="308"/>
      <c r="ADS76" s="308"/>
      <c r="ADT76" s="308"/>
      <c r="ADU76" s="308"/>
      <c r="ADV76" s="308"/>
      <c r="ADW76" s="308"/>
      <c r="ADX76" s="308"/>
      <c r="ADY76" s="308"/>
      <c r="ADZ76" s="308"/>
      <c r="AEA76" s="308"/>
      <c r="AEB76" s="308"/>
      <c r="AEC76" s="308"/>
      <c r="AED76" s="308"/>
      <c r="AEE76" s="308"/>
      <c r="AEF76" s="308"/>
      <c r="AEG76" s="308"/>
      <c r="AEH76" s="308"/>
      <c r="AEI76" s="308"/>
      <c r="AEJ76" s="308"/>
      <c r="AEK76" s="308"/>
      <c r="AEL76" s="308"/>
      <c r="AEM76" s="308"/>
      <c r="AEN76" s="308"/>
      <c r="AEO76" s="308"/>
      <c r="AEP76" s="308"/>
      <c r="AEQ76" s="308"/>
      <c r="AER76" s="308"/>
      <c r="AES76" s="308"/>
      <c r="AET76" s="308"/>
      <c r="AEU76" s="308"/>
      <c r="AEV76" s="308"/>
      <c r="AEW76" s="308"/>
      <c r="AEX76" s="308"/>
      <c r="AEY76" s="308"/>
      <c r="AEZ76" s="308"/>
      <c r="AFA76" s="308"/>
      <c r="AFB76" s="308"/>
      <c r="AFC76" s="308"/>
      <c r="AFD76" s="308"/>
      <c r="AFE76" s="308"/>
      <c r="AFF76" s="308"/>
      <c r="AFG76" s="308"/>
      <c r="AFH76" s="308"/>
      <c r="AFI76" s="308"/>
      <c r="AFJ76" s="308"/>
      <c r="AFK76" s="308"/>
      <c r="AFL76" s="308"/>
      <c r="AFM76" s="308"/>
      <c r="AFN76" s="308"/>
      <c r="AFO76" s="308"/>
      <c r="AFP76" s="308"/>
      <c r="AFQ76" s="308"/>
      <c r="AFR76" s="308"/>
      <c r="AFS76" s="308"/>
      <c r="AFT76" s="308"/>
      <c r="AFU76" s="308"/>
      <c r="AFV76" s="308"/>
      <c r="AFW76" s="308"/>
      <c r="AFX76" s="308"/>
      <c r="AFY76" s="308"/>
      <c r="AFZ76" s="308"/>
      <c r="AGA76" s="308"/>
      <c r="AGB76" s="308"/>
      <c r="AGC76" s="308"/>
      <c r="AGD76" s="308"/>
      <c r="AGE76" s="308"/>
      <c r="AGF76" s="308"/>
      <c r="AGG76" s="308"/>
      <c r="AGH76" s="308"/>
      <c r="AGI76" s="308"/>
      <c r="AGJ76" s="308"/>
      <c r="AGK76" s="308"/>
      <c r="AGL76" s="308"/>
      <c r="AGM76" s="308"/>
      <c r="AGN76" s="308"/>
      <c r="AGO76" s="308"/>
      <c r="AGP76" s="308"/>
      <c r="AGQ76" s="308"/>
      <c r="AGR76" s="308"/>
      <c r="AGS76" s="308"/>
      <c r="AGT76" s="308"/>
      <c r="AGU76" s="308"/>
      <c r="AGV76" s="308"/>
      <c r="AGW76" s="308"/>
      <c r="AGX76" s="308"/>
      <c r="AGY76" s="308"/>
      <c r="AGZ76" s="308"/>
      <c r="AHA76" s="308"/>
      <c r="AHB76" s="308"/>
      <c r="AHC76" s="308"/>
      <c r="AHD76" s="308"/>
      <c r="AHE76" s="308"/>
      <c r="AHF76" s="308"/>
      <c r="AHG76" s="308"/>
      <c r="AHH76" s="308"/>
      <c r="AHI76" s="308"/>
      <c r="AHJ76" s="308"/>
      <c r="AHK76" s="308"/>
      <c r="AHL76" s="308"/>
      <c r="AHM76" s="308"/>
      <c r="AHN76" s="308"/>
      <c r="AHO76" s="308"/>
      <c r="AHP76" s="308"/>
      <c r="AHQ76" s="308"/>
      <c r="AHR76" s="308"/>
      <c r="AHS76" s="308"/>
      <c r="AHT76" s="308"/>
      <c r="AHU76" s="308"/>
      <c r="AHV76" s="308"/>
      <c r="AHW76" s="308"/>
      <c r="AHX76" s="308"/>
      <c r="AHY76" s="308"/>
      <c r="AHZ76" s="308"/>
      <c r="AIA76" s="308"/>
      <c r="AIB76" s="308"/>
      <c r="AIC76" s="308"/>
      <c r="AID76" s="308"/>
      <c r="AIE76" s="308"/>
      <c r="AIF76" s="308"/>
      <c r="AIG76" s="308"/>
      <c r="AIH76" s="308"/>
      <c r="AII76" s="308"/>
      <c r="AIJ76" s="308"/>
      <c r="AIK76" s="308"/>
      <c r="AIL76" s="308"/>
      <c r="AIM76" s="308"/>
      <c r="AIN76" s="308"/>
      <c r="AIO76" s="308"/>
      <c r="AIP76" s="308"/>
      <c r="AIQ76" s="308"/>
      <c r="AIR76" s="308"/>
      <c r="AIS76" s="308"/>
      <c r="AIT76" s="308"/>
      <c r="AIU76" s="308"/>
      <c r="AIV76" s="308"/>
      <c r="AIW76" s="308"/>
      <c r="AIX76" s="308"/>
      <c r="AIY76" s="308"/>
      <c r="AIZ76" s="308"/>
      <c r="AJA76" s="308"/>
      <c r="AJB76" s="308"/>
      <c r="AJC76" s="308"/>
    </row>
    <row r="77" spans="1:940" s="567" customFormat="1" ht="28">
      <c r="A77" s="113">
        <f t="shared" si="40"/>
        <v>68</v>
      </c>
      <c r="B77" s="113">
        <v>1842</v>
      </c>
      <c r="C77" s="113" t="s">
        <v>600</v>
      </c>
      <c r="D77" s="117">
        <v>800000</v>
      </c>
      <c r="E77" s="117">
        <v>800000</v>
      </c>
      <c r="F77" s="117">
        <f t="shared" si="25"/>
        <v>0</v>
      </c>
      <c r="G77" s="117">
        <v>300000</v>
      </c>
      <c r="H77" s="117"/>
      <c r="I77" s="117"/>
      <c r="J77" s="117"/>
      <c r="K77" s="117">
        <f t="shared" si="26"/>
        <v>0</v>
      </c>
      <c r="L77" s="117">
        <f t="shared" si="27"/>
        <v>0</v>
      </c>
      <c r="M77" s="117">
        <f>P77+S77-200000</f>
        <v>100000</v>
      </c>
      <c r="N77" s="117">
        <f>200000-100000</f>
        <v>100000</v>
      </c>
      <c r="O77" s="117">
        <f t="shared" si="29"/>
        <v>600000</v>
      </c>
      <c r="P77" s="117">
        <f t="shared" si="30"/>
        <v>300000</v>
      </c>
      <c r="Q77" s="117"/>
      <c r="R77" s="117"/>
      <c r="S77" s="117">
        <f t="shared" si="31"/>
        <v>0</v>
      </c>
      <c r="T77" s="117">
        <f t="shared" si="32"/>
        <v>200000</v>
      </c>
      <c r="U77" s="117">
        <f t="shared" si="33"/>
        <v>-100000</v>
      </c>
      <c r="V77" s="117">
        <f t="shared" si="34"/>
        <v>-100000</v>
      </c>
      <c r="W77" s="543"/>
      <c r="X77" s="117"/>
      <c r="Y77" s="117"/>
      <c r="Z77" s="113"/>
      <c r="AA77" s="113">
        <v>732000</v>
      </c>
      <c r="AB77" s="117"/>
      <c r="AC77" s="117"/>
      <c r="AD77" s="117">
        <v>-100000</v>
      </c>
      <c r="AE77" s="117"/>
      <c r="AF77" s="117"/>
      <c r="AG77" s="117"/>
      <c r="AH77" s="117"/>
      <c r="AI77" s="117"/>
      <c r="AJ77" s="117"/>
      <c r="AK77" s="117">
        <f t="shared" si="24"/>
        <v>-100000</v>
      </c>
      <c r="AL77" s="117"/>
      <c r="AM77" s="566">
        <f t="shared" si="35"/>
        <v>-100000</v>
      </c>
      <c r="AN77" s="117">
        <f t="shared" si="36"/>
        <v>0</v>
      </c>
      <c r="AO77" s="117">
        <f t="shared" si="37"/>
        <v>-100000</v>
      </c>
      <c r="AP77" s="565"/>
      <c r="AQ77" s="565"/>
      <c r="AR77" s="565"/>
      <c r="AS77" s="565"/>
      <c r="AT77" s="117">
        <f t="shared" si="38"/>
        <v>0</v>
      </c>
      <c r="AU77" s="565"/>
      <c r="AV77" s="565"/>
      <c r="AW77" s="565"/>
      <c r="AX77" s="565"/>
      <c r="AY77" s="117">
        <f t="shared" si="39"/>
        <v>0</v>
      </c>
      <c r="AZ77" s="565"/>
      <c r="BA77" s="565"/>
      <c r="BB77" s="565"/>
      <c r="BC77" s="565"/>
      <c r="BD77" s="544"/>
      <c r="BE77" s="544"/>
      <c r="BF77" s="544"/>
      <c r="BG77" s="544"/>
      <c r="BH77" s="544"/>
      <c r="AJD77" s="546"/>
    </row>
    <row r="78" spans="1:940" s="545" customFormat="1">
      <c r="A78" s="113">
        <f t="shared" si="40"/>
        <v>69</v>
      </c>
      <c r="B78" s="113">
        <v>1937</v>
      </c>
      <c r="C78" s="113" t="s">
        <v>255</v>
      </c>
      <c r="D78" s="117">
        <f>450000+250000</f>
        <v>700000</v>
      </c>
      <c r="E78" s="117">
        <v>450000</v>
      </c>
      <c r="F78" s="117">
        <f t="shared" si="25"/>
        <v>250000</v>
      </c>
      <c r="G78" s="117">
        <v>450000</v>
      </c>
      <c r="H78" s="117"/>
      <c r="I78" s="117"/>
      <c r="J78" s="117">
        <v>87002.37</v>
      </c>
      <c r="K78" s="117">
        <f t="shared" si="26"/>
        <v>87002.37</v>
      </c>
      <c r="L78" s="117">
        <f t="shared" si="27"/>
        <v>87002.37</v>
      </c>
      <c r="M78" s="117">
        <f>P78+S78-250000</f>
        <v>112997.63</v>
      </c>
      <c r="N78" s="117">
        <v>250000</v>
      </c>
      <c r="O78" s="117">
        <f t="shared" si="29"/>
        <v>250000</v>
      </c>
      <c r="P78" s="117">
        <f t="shared" si="30"/>
        <v>362997.63</v>
      </c>
      <c r="Q78" s="117"/>
      <c r="R78" s="117"/>
      <c r="S78" s="117">
        <f t="shared" si="31"/>
        <v>0</v>
      </c>
      <c r="T78" s="117">
        <f t="shared" si="32"/>
        <v>250000</v>
      </c>
      <c r="U78" s="117">
        <f t="shared" si="33"/>
        <v>0</v>
      </c>
      <c r="V78" s="117">
        <f t="shared" si="34"/>
        <v>0</v>
      </c>
      <c r="W78" s="543"/>
      <c r="X78" s="117"/>
      <c r="Y78" s="117"/>
      <c r="Z78" s="113"/>
      <c r="AA78" s="113">
        <v>732000</v>
      </c>
      <c r="AB78" s="117"/>
      <c r="AC78" s="117"/>
      <c r="AD78" s="117"/>
      <c r="AE78" s="117"/>
      <c r="AF78" s="117"/>
      <c r="AG78" s="117"/>
      <c r="AH78" s="117"/>
      <c r="AI78" s="117"/>
      <c r="AJ78" s="117"/>
      <c r="AK78" s="117">
        <f t="shared" si="24"/>
        <v>0</v>
      </c>
      <c r="AL78" s="117"/>
      <c r="AM78" s="566">
        <f t="shared" si="35"/>
        <v>0</v>
      </c>
      <c r="AN78" s="117">
        <f t="shared" si="36"/>
        <v>0</v>
      </c>
      <c r="AO78" s="117">
        <f t="shared" si="37"/>
        <v>0</v>
      </c>
      <c r="AP78" s="565"/>
      <c r="AQ78" s="565"/>
      <c r="AR78" s="565"/>
      <c r="AS78" s="565"/>
      <c r="AT78" s="117">
        <f t="shared" si="38"/>
        <v>0</v>
      </c>
      <c r="AU78" s="565"/>
      <c r="AV78" s="565"/>
      <c r="AW78" s="565"/>
      <c r="AX78" s="565"/>
      <c r="AY78" s="117">
        <f t="shared" si="39"/>
        <v>0</v>
      </c>
      <c r="AZ78" s="565"/>
      <c r="BA78" s="565"/>
      <c r="BB78" s="565"/>
      <c r="BC78" s="565"/>
      <c r="BD78" s="544"/>
      <c r="BE78" s="544"/>
      <c r="BF78" s="544"/>
      <c r="BG78" s="544"/>
      <c r="BH78" s="544"/>
      <c r="AJD78" s="546"/>
    </row>
    <row r="79" spans="1:940" s="545" customFormat="1">
      <c r="A79" s="113">
        <f t="shared" si="40"/>
        <v>70</v>
      </c>
      <c r="B79" s="113">
        <v>1950</v>
      </c>
      <c r="C79" s="116" t="s">
        <v>354</v>
      </c>
      <c r="D79" s="117">
        <v>500000</v>
      </c>
      <c r="E79" s="117">
        <v>500000</v>
      </c>
      <c r="F79" s="117">
        <f t="shared" si="25"/>
        <v>0</v>
      </c>
      <c r="G79" s="117"/>
      <c r="H79" s="117"/>
      <c r="I79" s="117"/>
      <c r="J79" s="117"/>
      <c r="K79" s="117">
        <f t="shared" si="26"/>
        <v>0</v>
      </c>
      <c r="L79" s="117">
        <f t="shared" si="27"/>
        <v>0</v>
      </c>
      <c r="M79" s="117">
        <f>P79+S79</f>
        <v>0</v>
      </c>
      <c r="N79" s="117">
        <f>200000-100000</f>
        <v>100000</v>
      </c>
      <c r="O79" s="117">
        <f t="shared" si="29"/>
        <v>400000</v>
      </c>
      <c r="P79" s="117">
        <f t="shared" si="30"/>
        <v>0</v>
      </c>
      <c r="Q79" s="117"/>
      <c r="R79" s="117"/>
      <c r="S79" s="117">
        <f t="shared" si="31"/>
        <v>0</v>
      </c>
      <c r="T79" s="117">
        <f t="shared" si="32"/>
        <v>0</v>
      </c>
      <c r="U79" s="117">
        <f t="shared" si="33"/>
        <v>100000</v>
      </c>
      <c r="V79" s="117">
        <f t="shared" si="34"/>
        <v>100000</v>
      </c>
      <c r="W79" s="543"/>
      <c r="X79" s="117"/>
      <c r="Y79" s="117"/>
      <c r="Z79" s="113"/>
      <c r="AA79" s="113">
        <v>732000</v>
      </c>
      <c r="AB79" s="117"/>
      <c r="AC79" s="117"/>
      <c r="AD79" s="117"/>
      <c r="AE79" s="117"/>
      <c r="AF79" s="117">
        <v>100000</v>
      </c>
      <c r="AG79" s="117"/>
      <c r="AH79" s="117"/>
      <c r="AI79" s="117"/>
      <c r="AJ79" s="117"/>
      <c r="AK79" s="117">
        <f t="shared" si="24"/>
        <v>100000</v>
      </c>
      <c r="AL79" s="117"/>
      <c r="AM79" s="566">
        <f t="shared" si="35"/>
        <v>100000</v>
      </c>
      <c r="AN79" s="117">
        <f t="shared" si="36"/>
        <v>0</v>
      </c>
      <c r="AO79" s="117">
        <f t="shared" si="37"/>
        <v>100000</v>
      </c>
      <c r="AP79" s="565"/>
      <c r="AQ79" s="565"/>
      <c r="AR79" s="565"/>
      <c r="AS79" s="565"/>
      <c r="AT79" s="117">
        <f t="shared" si="38"/>
        <v>0</v>
      </c>
      <c r="AU79" s="565"/>
      <c r="AV79" s="565"/>
      <c r="AW79" s="565"/>
      <c r="AX79" s="565"/>
      <c r="AY79" s="117">
        <f t="shared" si="39"/>
        <v>0</v>
      </c>
      <c r="AZ79" s="565"/>
      <c r="BA79" s="565"/>
      <c r="BB79" s="565"/>
      <c r="BC79" s="565"/>
      <c r="BD79" s="544"/>
      <c r="BE79" s="544"/>
      <c r="BF79" s="544"/>
      <c r="BG79" s="544"/>
      <c r="BH79" s="544"/>
      <c r="AJD79" s="546"/>
    </row>
    <row r="80" spans="1:940" s="567" customFormat="1">
      <c r="A80" s="113">
        <f t="shared" si="40"/>
        <v>71</v>
      </c>
      <c r="B80" s="113">
        <v>1951</v>
      </c>
      <c r="C80" s="113" t="s">
        <v>256</v>
      </c>
      <c r="D80" s="117">
        <v>300000</v>
      </c>
      <c r="E80" s="117">
        <v>300000</v>
      </c>
      <c r="F80" s="117">
        <f t="shared" si="25"/>
        <v>0</v>
      </c>
      <c r="G80" s="117">
        <v>160000</v>
      </c>
      <c r="H80" s="117">
        <v>123575</v>
      </c>
      <c r="I80" s="117">
        <v>35100</v>
      </c>
      <c r="J80" s="117"/>
      <c r="K80" s="117">
        <f t="shared" si="26"/>
        <v>35100</v>
      </c>
      <c r="L80" s="117">
        <f t="shared" si="27"/>
        <v>158675</v>
      </c>
      <c r="M80" s="117">
        <f>P80+S80</f>
        <v>1325</v>
      </c>
      <c r="N80" s="117"/>
      <c r="O80" s="117">
        <f t="shared" si="29"/>
        <v>140000</v>
      </c>
      <c r="P80" s="117">
        <f t="shared" si="30"/>
        <v>1325</v>
      </c>
      <c r="Q80" s="117"/>
      <c r="R80" s="117"/>
      <c r="S80" s="117">
        <f t="shared" si="31"/>
        <v>0</v>
      </c>
      <c r="T80" s="117">
        <f t="shared" si="32"/>
        <v>0</v>
      </c>
      <c r="U80" s="117"/>
      <c r="V80" s="117">
        <f t="shared" si="34"/>
        <v>0</v>
      </c>
      <c r="W80" s="543"/>
      <c r="X80" s="117"/>
      <c r="Y80" s="117"/>
      <c r="Z80" s="113"/>
      <c r="AA80" s="113">
        <v>732000</v>
      </c>
      <c r="AB80" s="117"/>
      <c r="AC80" s="117"/>
      <c r="AD80" s="117"/>
      <c r="AE80" s="117"/>
      <c r="AF80" s="117"/>
      <c r="AG80" s="117"/>
      <c r="AH80" s="117"/>
      <c r="AI80" s="117"/>
      <c r="AJ80" s="117"/>
      <c r="AK80" s="117">
        <f t="shared" si="24"/>
        <v>0</v>
      </c>
      <c r="AL80" s="117"/>
      <c r="AM80" s="566">
        <f t="shared" si="35"/>
        <v>0</v>
      </c>
      <c r="AN80" s="117">
        <f t="shared" si="36"/>
        <v>0</v>
      </c>
      <c r="AO80" s="117">
        <f t="shared" si="37"/>
        <v>0</v>
      </c>
      <c r="AP80" s="565"/>
      <c r="AQ80" s="565"/>
      <c r="AR80" s="565"/>
      <c r="AS80" s="565"/>
      <c r="AT80" s="117">
        <f t="shared" si="38"/>
        <v>0</v>
      </c>
      <c r="AU80" s="565"/>
      <c r="AV80" s="565"/>
      <c r="AW80" s="565"/>
      <c r="AX80" s="565"/>
      <c r="AY80" s="117">
        <f t="shared" si="39"/>
        <v>0</v>
      </c>
      <c r="AZ80" s="565"/>
      <c r="BA80" s="565"/>
      <c r="BB80" s="565"/>
      <c r="BC80" s="565"/>
      <c r="BD80" s="544"/>
      <c r="BE80" s="544"/>
      <c r="BF80" s="544"/>
      <c r="BG80" s="544"/>
      <c r="BH80" s="544"/>
      <c r="AJD80" s="546"/>
    </row>
    <row r="81" spans="1:940" s="545" customFormat="1">
      <c r="A81" s="113">
        <f t="shared" si="40"/>
        <v>72</v>
      </c>
      <c r="B81" s="113">
        <v>1952</v>
      </c>
      <c r="C81" s="113" t="s">
        <v>301</v>
      </c>
      <c r="D81" s="117">
        <f>120000+80000</f>
        <v>200000</v>
      </c>
      <c r="E81" s="117">
        <v>120000</v>
      </c>
      <c r="F81" s="117">
        <f t="shared" si="25"/>
        <v>80000</v>
      </c>
      <c r="G81" s="117"/>
      <c r="H81" s="117"/>
      <c r="I81" s="117"/>
      <c r="J81" s="117"/>
      <c r="K81" s="117">
        <f t="shared" si="26"/>
        <v>0</v>
      </c>
      <c r="L81" s="117">
        <f t="shared" si="27"/>
        <v>0</v>
      </c>
      <c r="M81" s="117">
        <f>P81+S81</f>
        <v>0</v>
      </c>
      <c r="N81" s="117">
        <v>200000</v>
      </c>
      <c r="O81" s="117">
        <f t="shared" si="29"/>
        <v>0</v>
      </c>
      <c r="P81" s="117">
        <f t="shared" si="30"/>
        <v>0</v>
      </c>
      <c r="Q81" s="117"/>
      <c r="R81" s="117"/>
      <c r="S81" s="117">
        <f t="shared" si="31"/>
        <v>0</v>
      </c>
      <c r="T81" s="117">
        <f t="shared" si="32"/>
        <v>0</v>
      </c>
      <c r="U81" s="117">
        <f>N81-T81</f>
        <v>200000</v>
      </c>
      <c r="V81" s="117">
        <f t="shared" si="34"/>
        <v>200000</v>
      </c>
      <c r="W81" s="543"/>
      <c r="X81" s="117"/>
      <c r="Y81" s="117"/>
      <c r="Z81" s="113"/>
      <c r="AA81" s="113">
        <v>829000</v>
      </c>
      <c r="AB81" s="117"/>
      <c r="AC81" s="117"/>
      <c r="AD81" s="117"/>
      <c r="AE81" s="117"/>
      <c r="AF81" s="117">
        <v>100000</v>
      </c>
      <c r="AG81" s="117"/>
      <c r="AH81" s="117"/>
      <c r="AI81" s="117"/>
      <c r="AJ81" s="117"/>
      <c r="AK81" s="117">
        <f t="shared" si="24"/>
        <v>100000</v>
      </c>
      <c r="AL81" s="117"/>
      <c r="AM81" s="566">
        <f t="shared" si="35"/>
        <v>100000</v>
      </c>
      <c r="AN81" s="117">
        <f t="shared" si="36"/>
        <v>100000</v>
      </c>
      <c r="AO81" s="117">
        <f t="shared" si="37"/>
        <v>100000</v>
      </c>
      <c r="AP81" s="565"/>
      <c r="AQ81" s="565"/>
      <c r="AR81" s="565"/>
      <c r="AS81" s="565"/>
      <c r="AT81" s="117">
        <f t="shared" si="38"/>
        <v>0</v>
      </c>
      <c r="AU81" s="565"/>
      <c r="AV81" s="565"/>
      <c r="AW81" s="565"/>
      <c r="AX81" s="565"/>
      <c r="AY81" s="117">
        <f t="shared" si="39"/>
        <v>100000</v>
      </c>
      <c r="AZ81" s="565"/>
      <c r="BA81" s="565"/>
      <c r="BB81" s="565"/>
      <c r="BC81" s="565"/>
      <c r="BD81" s="544"/>
      <c r="BE81" s="544"/>
      <c r="BF81" s="544"/>
      <c r="BG81" s="544"/>
      <c r="BH81" s="544"/>
      <c r="AJD81" s="546"/>
    </row>
    <row r="82" spans="1:940" s="545" customFormat="1">
      <c r="A82" s="113">
        <f t="shared" si="40"/>
        <v>73</v>
      </c>
      <c r="B82" s="116">
        <v>2013</v>
      </c>
      <c r="C82" s="113" t="s">
        <v>581</v>
      </c>
      <c r="D82" s="117">
        <v>1250000</v>
      </c>
      <c r="E82" s="117"/>
      <c r="F82" s="117">
        <f>D82-E82</f>
        <v>1250000</v>
      </c>
      <c r="G82" s="117"/>
      <c r="H82" s="117"/>
      <c r="I82" s="117"/>
      <c r="J82" s="117"/>
      <c r="K82" s="117">
        <f>SUM(I82:J82)</f>
        <v>0</v>
      </c>
      <c r="L82" s="117">
        <f>H82+K82</f>
        <v>0</v>
      </c>
      <c r="M82" s="117">
        <f>P82+S82</f>
        <v>0</v>
      </c>
      <c r="N82" s="117">
        <f>250000-150000</f>
        <v>100000</v>
      </c>
      <c r="O82" s="117">
        <f>D82-L82-M82-N82</f>
        <v>1150000</v>
      </c>
      <c r="P82" s="117">
        <f>G82-L82</f>
        <v>0</v>
      </c>
      <c r="Q82" s="117"/>
      <c r="R82" s="117"/>
      <c r="S82" s="117">
        <f>SUM(Q82:R82)</f>
        <v>0</v>
      </c>
      <c r="T82" s="117">
        <f>P82-M82+S82</f>
        <v>0</v>
      </c>
      <c r="U82" s="117">
        <f>N82-T82</f>
        <v>100000</v>
      </c>
      <c r="V82" s="117">
        <f t="shared" si="34"/>
        <v>100000</v>
      </c>
      <c r="W82" s="543"/>
      <c r="X82" s="117"/>
      <c r="Y82" s="117"/>
      <c r="Z82" s="113"/>
      <c r="AA82" s="113">
        <v>732000</v>
      </c>
      <c r="AB82" s="117"/>
      <c r="AC82" s="117"/>
      <c r="AD82" s="117"/>
      <c r="AE82" s="117"/>
      <c r="AF82" s="117">
        <v>100000</v>
      </c>
      <c r="AG82" s="117"/>
      <c r="AH82" s="117"/>
      <c r="AI82" s="117"/>
      <c r="AJ82" s="117"/>
      <c r="AK82" s="117">
        <f t="shared" si="24"/>
        <v>100000</v>
      </c>
      <c r="AL82" s="113"/>
      <c r="AM82" s="566">
        <f t="shared" si="35"/>
        <v>100000</v>
      </c>
      <c r="AN82" s="117">
        <f t="shared" si="36"/>
        <v>0</v>
      </c>
      <c r="AO82" s="117">
        <f t="shared" si="37"/>
        <v>100000</v>
      </c>
      <c r="AP82" s="565"/>
      <c r="AQ82" s="565"/>
      <c r="AR82" s="565"/>
      <c r="AS82" s="565"/>
      <c r="AT82" s="117">
        <f t="shared" si="38"/>
        <v>0</v>
      </c>
      <c r="AU82" s="565"/>
      <c r="AV82" s="565"/>
      <c r="AW82" s="565"/>
      <c r="AX82" s="565"/>
      <c r="AY82" s="117">
        <f t="shared" si="39"/>
        <v>0</v>
      </c>
      <c r="AZ82" s="565"/>
      <c r="BA82" s="565"/>
      <c r="BB82" s="565"/>
      <c r="BC82" s="565"/>
      <c r="BD82" s="544"/>
      <c r="BE82" s="544"/>
      <c r="BF82" s="544"/>
      <c r="BG82" s="544"/>
      <c r="BH82" s="544"/>
      <c r="AJD82" s="546"/>
    </row>
    <row r="83" spans="1:940" s="545" customFormat="1">
      <c r="A83" s="113">
        <f t="shared" si="40"/>
        <v>74</v>
      </c>
      <c r="B83" s="116">
        <v>2014</v>
      </c>
      <c r="C83" s="113" t="s">
        <v>538</v>
      </c>
      <c r="D83" s="117">
        <v>100000</v>
      </c>
      <c r="E83" s="117"/>
      <c r="F83" s="117">
        <f>D83-E83</f>
        <v>100000</v>
      </c>
      <c r="G83" s="117"/>
      <c r="H83" s="117"/>
      <c r="I83" s="117"/>
      <c r="J83" s="117"/>
      <c r="K83" s="117">
        <f>SUM(I83:J83)</f>
        <v>0</v>
      </c>
      <c r="L83" s="117">
        <f>H83+K83</f>
        <v>0</v>
      </c>
      <c r="M83" s="117">
        <f>P83+S83</f>
        <v>0</v>
      </c>
      <c r="N83" s="117">
        <v>100000</v>
      </c>
      <c r="O83" s="117">
        <f>D83-L83-M83-N83</f>
        <v>0</v>
      </c>
      <c r="P83" s="117">
        <f>G83-L83</f>
        <v>0</v>
      </c>
      <c r="Q83" s="117"/>
      <c r="R83" s="117"/>
      <c r="S83" s="117">
        <f>SUM(Q83:R83)</f>
        <v>0</v>
      </c>
      <c r="T83" s="117">
        <f>P83-M83+S83</f>
        <v>0</v>
      </c>
      <c r="U83" s="117">
        <f>N83-T83</f>
        <v>100000</v>
      </c>
      <c r="V83" s="117">
        <f t="shared" si="34"/>
        <v>100000</v>
      </c>
      <c r="W83" s="543"/>
      <c r="X83" s="117"/>
      <c r="Y83" s="117"/>
      <c r="Z83" s="113"/>
      <c r="AA83" s="113">
        <v>732000</v>
      </c>
      <c r="AB83" s="117"/>
      <c r="AC83" s="117"/>
      <c r="AD83" s="117"/>
      <c r="AE83" s="117"/>
      <c r="AF83" s="117">
        <v>100000</v>
      </c>
      <c r="AG83" s="117"/>
      <c r="AH83" s="117"/>
      <c r="AI83" s="117"/>
      <c r="AJ83" s="117"/>
      <c r="AK83" s="117">
        <f t="shared" si="24"/>
        <v>100000</v>
      </c>
      <c r="AL83" s="113"/>
      <c r="AM83" s="566">
        <f t="shared" si="35"/>
        <v>100000</v>
      </c>
      <c r="AN83" s="117">
        <f t="shared" si="36"/>
        <v>0</v>
      </c>
      <c r="AO83" s="117">
        <f t="shared" si="37"/>
        <v>100000</v>
      </c>
      <c r="AP83" s="565"/>
      <c r="AQ83" s="565"/>
      <c r="AR83" s="565"/>
      <c r="AS83" s="565"/>
      <c r="AT83" s="117">
        <f t="shared" si="38"/>
        <v>0</v>
      </c>
      <c r="AU83" s="565"/>
      <c r="AV83" s="565"/>
      <c r="AW83" s="565"/>
      <c r="AX83" s="565"/>
      <c r="AY83" s="117">
        <f t="shared" si="39"/>
        <v>0</v>
      </c>
      <c r="AZ83" s="565"/>
      <c r="BA83" s="565"/>
      <c r="BB83" s="565"/>
      <c r="BC83" s="565"/>
      <c r="BD83" s="544"/>
      <c r="BE83" s="544"/>
      <c r="BF83" s="544"/>
      <c r="BG83" s="544"/>
      <c r="BH83" s="544"/>
      <c r="AJD83" s="546"/>
    </row>
    <row r="84" spans="1:940" s="567" customFormat="1">
      <c r="A84" s="115"/>
      <c r="B84" s="115"/>
      <c r="C84" s="115" t="s">
        <v>433</v>
      </c>
      <c r="D84" s="311">
        <f t="shared" ref="D84:AX84" si="41">SUM(D62:D83)</f>
        <v>24070240</v>
      </c>
      <c r="E84" s="311">
        <f t="shared" si="41"/>
        <v>26900000</v>
      </c>
      <c r="F84" s="311">
        <f t="shared" si="41"/>
        <v>-2829760</v>
      </c>
      <c r="G84" s="311">
        <f t="shared" si="41"/>
        <v>13714240</v>
      </c>
      <c r="H84" s="311">
        <f t="shared" si="41"/>
        <v>5978672.8399999999</v>
      </c>
      <c r="I84" s="311">
        <f t="shared" si="41"/>
        <v>1872528.3199999998</v>
      </c>
      <c r="J84" s="311">
        <f t="shared" si="41"/>
        <v>1301731.3800000004</v>
      </c>
      <c r="K84" s="311">
        <f t="shared" si="41"/>
        <v>3174259.7</v>
      </c>
      <c r="L84" s="311">
        <f t="shared" si="41"/>
        <v>9152932.5399999991</v>
      </c>
      <c r="M84" s="311">
        <f t="shared" si="41"/>
        <v>2367307.4599999995</v>
      </c>
      <c r="N84" s="311">
        <f t="shared" si="41"/>
        <v>3960000</v>
      </c>
      <c r="O84" s="311">
        <f t="shared" si="41"/>
        <v>8590000</v>
      </c>
      <c r="P84" s="311">
        <f t="shared" si="41"/>
        <v>4561307.46</v>
      </c>
      <c r="Q84" s="311">
        <f t="shared" si="41"/>
        <v>0</v>
      </c>
      <c r="R84" s="311">
        <f t="shared" si="41"/>
        <v>0</v>
      </c>
      <c r="S84" s="311">
        <f t="shared" si="41"/>
        <v>0</v>
      </c>
      <c r="T84" s="311">
        <f t="shared" si="41"/>
        <v>2194000</v>
      </c>
      <c r="U84" s="311">
        <f t="shared" si="41"/>
        <v>1766000</v>
      </c>
      <c r="V84" s="311">
        <f t="shared" si="41"/>
        <v>1766000</v>
      </c>
      <c r="W84" s="311">
        <f t="shared" si="41"/>
        <v>0</v>
      </c>
      <c r="X84" s="311">
        <f t="shared" si="41"/>
        <v>0</v>
      </c>
      <c r="Y84" s="311">
        <f t="shared" si="41"/>
        <v>0</v>
      </c>
      <c r="Z84" s="311">
        <f t="shared" si="41"/>
        <v>0</v>
      </c>
      <c r="AA84" s="311">
        <f t="shared" si="41"/>
        <v>16201000</v>
      </c>
      <c r="AB84" s="311">
        <f t="shared" si="41"/>
        <v>0</v>
      </c>
      <c r="AC84" s="311">
        <f t="shared" si="41"/>
        <v>0</v>
      </c>
      <c r="AD84" s="311">
        <f t="shared" ref="AD84:AJ84" si="42">SUM(AD62:AD83)</f>
        <v>-964000</v>
      </c>
      <c r="AE84" s="311">
        <f t="shared" si="42"/>
        <v>0</v>
      </c>
      <c r="AF84" s="311">
        <f t="shared" si="42"/>
        <v>1000000</v>
      </c>
      <c r="AG84" s="311">
        <f t="shared" si="42"/>
        <v>0</v>
      </c>
      <c r="AH84" s="311">
        <f t="shared" si="42"/>
        <v>400000</v>
      </c>
      <c r="AI84" s="311">
        <f t="shared" si="42"/>
        <v>300000</v>
      </c>
      <c r="AJ84" s="311">
        <f t="shared" si="42"/>
        <v>300000</v>
      </c>
      <c r="AK84" s="311">
        <f t="shared" si="41"/>
        <v>1036000</v>
      </c>
      <c r="AL84" s="311">
        <f t="shared" si="41"/>
        <v>0</v>
      </c>
      <c r="AM84" s="311">
        <f t="shared" si="41"/>
        <v>1036000</v>
      </c>
      <c r="AN84" s="311">
        <f t="shared" si="41"/>
        <v>730000</v>
      </c>
      <c r="AO84" s="311">
        <f t="shared" si="41"/>
        <v>1036000</v>
      </c>
      <c r="AP84" s="311">
        <f t="shared" si="41"/>
        <v>0</v>
      </c>
      <c r="AQ84" s="311">
        <f t="shared" si="41"/>
        <v>0</v>
      </c>
      <c r="AR84" s="311">
        <f t="shared" si="41"/>
        <v>0</v>
      </c>
      <c r="AS84" s="311">
        <f t="shared" si="41"/>
        <v>0</v>
      </c>
      <c r="AT84" s="311">
        <f t="shared" si="41"/>
        <v>0</v>
      </c>
      <c r="AU84" s="311">
        <f t="shared" si="41"/>
        <v>0</v>
      </c>
      <c r="AV84" s="311">
        <f t="shared" si="41"/>
        <v>0</v>
      </c>
      <c r="AW84" s="311">
        <f t="shared" si="41"/>
        <v>0</v>
      </c>
      <c r="AX84" s="311">
        <f t="shared" si="41"/>
        <v>0</v>
      </c>
      <c r="AY84" s="311">
        <f>SUM(AY62:AY83)</f>
        <v>730000</v>
      </c>
      <c r="AZ84" s="311">
        <f>SUM(AZ62:AZ83)</f>
        <v>0</v>
      </c>
      <c r="BA84" s="311">
        <f>SUM(BA62:BA83)</f>
        <v>0</v>
      </c>
      <c r="BB84" s="311">
        <f>SUM(BB62:BB83)</f>
        <v>0</v>
      </c>
      <c r="BC84" s="311">
        <f>SUM(BC62:BC83)</f>
        <v>0</v>
      </c>
      <c r="BD84" s="569"/>
      <c r="BE84" s="569"/>
      <c r="BF84" s="569"/>
      <c r="BG84" s="569"/>
      <c r="BH84" s="569"/>
      <c r="AJD84" s="570"/>
    </row>
    <row r="85" spans="1:940" s="546" customFormat="1">
      <c r="A85" s="113"/>
      <c r="B85" s="113"/>
      <c r="C85" s="115" t="s">
        <v>23</v>
      </c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R85" s="117"/>
      <c r="S85" s="117"/>
      <c r="T85" s="117"/>
      <c r="U85" s="117"/>
      <c r="V85" s="117"/>
      <c r="W85" s="543"/>
      <c r="X85" s="117"/>
      <c r="Y85" s="117"/>
      <c r="Z85" s="113"/>
      <c r="AA85" s="113"/>
      <c r="AB85" s="117"/>
      <c r="AC85" s="117"/>
      <c r="AD85" s="117"/>
      <c r="AE85" s="117"/>
      <c r="AF85" s="117"/>
      <c r="AG85" s="117"/>
      <c r="AH85" s="117"/>
      <c r="AI85" s="117"/>
      <c r="AJ85" s="117"/>
      <c r="AK85" s="117">
        <f t="shared" si="24"/>
        <v>0</v>
      </c>
      <c r="AL85" s="565"/>
      <c r="AM85" s="565"/>
      <c r="AN85" s="117">
        <f>U85-AK85</f>
        <v>0</v>
      </c>
      <c r="AO85" s="117">
        <f>AB85</f>
        <v>0</v>
      </c>
      <c r="AP85" s="113"/>
      <c r="AQ85" s="113"/>
      <c r="AR85" s="113"/>
      <c r="AS85" s="113"/>
      <c r="AT85" s="117">
        <f>AG85</f>
        <v>0</v>
      </c>
      <c r="AU85" s="113"/>
      <c r="AV85" s="113"/>
      <c r="AW85" s="113"/>
      <c r="AX85" s="113"/>
      <c r="AY85" s="117">
        <f>AL85</f>
        <v>0</v>
      </c>
      <c r="AZ85" s="113"/>
      <c r="BA85" s="113"/>
      <c r="BB85" s="113"/>
      <c r="BC85" s="113"/>
      <c r="BD85" s="544"/>
      <c r="BE85" s="544"/>
      <c r="BF85" s="544"/>
      <c r="BG85" s="544"/>
      <c r="BH85" s="544"/>
      <c r="BI85" s="308"/>
      <c r="BJ85" s="308"/>
      <c r="BK85" s="308"/>
      <c r="BL85" s="308"/>
      <c r="BM85" s="308"/>
      <c r="BN85" s="308"/>
      <c r="BO85" s="308"/>
      <c r="BP85" s="308"/>
      <c r="BQ85" s="308"/>
      <c r="BR85" s="308"/>
      <c r="BS85" s="308"/>
      <c r="BT85" s="308"/>
      <c r="BU85" s="308"/>
      <c r="BV85" s="308"/>
      <c r="BW85" s="308"/>
      <c r="BX85" s="308"/>
      <c r="BY85" s="308"/>
      <c r="BZ85" s="308"/>
      <c r="CA85" s="308"/>
      <c r="CB85" s="308"/>
      <c r="CC85" s="308"/>
      <c r="CD85" s="308"/>
      <c r="CE85" s="308"/>
      <c r="CF85" s="308"/>
      <c r="CG85" s="308"/>
      <c r="CH85" s="308"/>
      <c r="CI85" s="308"/>
      <c r="CJ85" s="308"/>
      <c r="CK85" s="308"/>
      <c r="CL85" s="308"/>
      <c r="CM85" s="308"/>
      <c r="CN85" s="308"/>
      <c r="CO85" s="308"/>
      <c r="CP85" s="308"/>
      <c r="CQ85" s="308"/>
      <c r="CR85" s="308"/>
      <c r="CS85" s="308"/>
      <c r="CT85" s="308"/>
      <c r="CU85" s="308"/>
      <c r="CV85" s="308"/>
      <c r="CW85" s="308"/>
      <c r="CX85" s="308"/>
      <c r="CY85" s="308"/>
      <c r="CZ85" s="308"/>
      <c r="DA85" s="308"/>
      <c r="DB85" s="308"/>
      <c r="DC85" s="308"/>
      <c r="DD85" s="308"/>
      <c r="DE85" s="308"/>
      <c r="DF85" s="308"/>
      <c r="DG85" s="308"/>
      <c r="DH85" s="308"/>
      <c r="DI85" s="308"/>
      <c r="DJ85" s="308"/>
      <c r="DK85" s="308"/>
      <c r="DL85" s="308"/>
      <c r="DM85" s="308"/>
      <c r="DN85" s="308"/>
      <c r="DO85" s="308"/>
      <c r="DP85" s="308"/>
      <c r="DQ85" s="308"/>
      <c r="DR85" s="308"/>
      <c r="DS85" s="308"/>
      <c r="DT85" s="308"/>
      <c r="DU85" s="308"/>
      <c r="DV85" s="308"/>
      <c r="DW85" s="308"/>
      <c r="DX85" s="308"/>
      <c r="DY85" s="308"/>
      <c r="DZ85" s="308"/>
      <c r="EA85" s="308"/>
      <c r="EB85" s="308"/>
      <c r="EC85" s="308"/>
      <c r="ED85" s="308"/>
      <c r="EE85" s="308"/>
      <c r="EF85" s="308"/>
      <c r="EG85" s="308"/>
      <c r="EH85" s="308"/>
      <c r="EI85" s="308"/>
      <c r="EJ85" s="308"/>
      <c r="EK85" s="308"/>
      <c r="EL85" s="308"/>
      <c r="EM85" s="308"/>
      <c r="EN85" s="308"/>
      <c r="EO85" s="308"/>
      <c r="EP85" s="308"/>
      <c r="EQ85" s="308"/>
      <c r="ER85" s="308"/>
      <c r="ES85" s="308"/>
      <c r="ET85" s="308"/>
      <c r="EU85" s="308"/>
      <c r="EV85" s="308"/>
      <c r="EW85" s="308"/>
      <c r="EX85" s="308"/>
      <c r="EY85" s="308"/>
      <c r="EZ85" s="308"/>
      <c r="FA85" s="308"/>
      <c r="FB85" s="308"/>
      <c r="FC85" s="308"/>
      <c r="FD85" s="308"/>
      <c r="FE85" s="308"/>
      <c r="FF85" s="308"/>
      <c r="FG85" s="308"/>
      <c r="FH85" s="308"/>
      <c r="FI85" s="308"/>
      <c r="FJ85" s="308"/>
      <c r="FK85" s="308"/>
      <c r="FL85" s="308"/>
      <c r="FM85" s="308"/>
      <c r="FN85" s="308"/>
      <c r="FO85" s="308"/>
      <c r="FP85" s="308"/>
      <c r="FQ85" s="308"/>
      <c r="FR85" s="308"/>
      <c r="FS85" s="308"/>
      <c r="FT85" s="308"/>
      <c r="FU85" s="308"/>
      <c r="FV85" s="308"/>
      <c r="FW85" s="308"/>
      <c r="FX85" s="308"/>
      <c r="FY85" s="308"/>
      <c r="FZ85" s="308"/>
      <c r="GA85" s="308"/>
      <c r="GB85" s="308"/>
      <c r="GC85" s="308"/>
      <c r="GD85" s="308"/>
      <c r="GE85" s="308"/>
      <c r="GF85" s="308"/>
      <c r="GG85" s="308"/>
      <c r="GH85" s="308"/>
      <c r="GI85" s="308"/>
      <c r="GJ85" s="308"/>
      <c r="GK85" s="308"/>
      <c r="GL85" s="308"/>
      <c r="GM85" s="308"/>
      <c r="GN85" s="308"/>
      <c r="GO85" s="308"/>
      <c r="GP85" s="308"/>
      <c r="GQ85" s="308"/>
      <c r="GR85" s="308"/>
      <c r="GS85" s="308"/>
      <c r="GT85" s="308"/>
      <c r="GU85" s="308"/>
      <c r="GV85" s="308"/>
      <c r="GW85" s="308"/>
      <c r="GX85" s="308"/>
      <c r="GY85" s="308"/>
      <c r="GZ85" s="308"/>
      <c r="HA85" s="308"/>
      <c r="HB85" s="308"/>
      <c r="HC85" s="308"/>
      <c r="HD85" s="308"/>
      <c r="HE85" s="308"/>
      <c r="HF85" s="308"/>
      <c r="HG85" s="308"/>
      <c r="HH85" s="308"/>
      <c r="HI85" s="308"/>
      <c r="HJ85" s="308"/>
      <c r="HK85" s="308"/>
      <c r="HL85" s="308"/>
      <c r="HM85" s="308"/>
      <c r="HN85" s="308"/>
      <c r="HO85" s="308"/>
      <c r="HP85" s="308"/>
      <c r="HQ85" s="308"/>
      <c r="HR85" s="308"/>
      <c r="HS85" s="308"/>
      <c r="HT85" s="308"/>
      <c r="HU85" s="308"/>
      <c r="HV85" s="308"/>
      <c r="HW85" s="308"/>
      <c r="HX85" s="308"/>
      <c r="HY85" s="308"/>
      <c r="HZ85" s="308"/>
      <c r="IA85" s="308"/>
      <c r="IB85" s="308"/>
      <c r="IC85" s="308"/>
      <c r="ID85" s="308"/>
      <c r="IE85" s="308"/>
      <c r="IF85" s="308"/>
      <c r="IG85" s="308"/>
      <c r="IH85" s="308"/>
      <c r="II85" s="308"/>
      <c r="IJ85" s="308"/>
      <c r="IK85" s="308"/>
      <c r="IL85" s="308"/>
      <c r="IM85" s="308"/>
      <c r="IN85" s="308"/>
      <c r="IO85" s="308"/>
      <c r="IP85" s="308"/>
      <c r="IQ85" s="308"/>
      <c r="IR85" s="308"/>
      <c r="IS85" s="308"/>
      <c r="IT85" s="308"/>
      <c r="IU85" s="308"/>
      <c r="IV85" s="308"/>
      <c r="IW85" s="308"/>
      <c r="IX85" s="308"/>
      <c r="IY85" s="308"/>
      <c r="IZ85" s="308"/>
      <c r="JA85" s="308"/>
      <c r="JB85" s="308"/>
      <c r="JC85" s="308"/>
      <c r="JD85" s="308"/>
      <c r="JE85" s="308"/>
      <c r="JF85" s="308"/>
      <c r="JG85" s="308"/>
      <c r="JH85" s="308"/>
      <c r="JI85" s="308"/>
      <c r="JJ85" s="308"/>
      <c r="JK85" s="308"/>
      <c r="JL85" s="308"/>
      <c r="JM85" s="308"/>
      <c r="JN85" s="308"/>
      <c r="JO85" s="308"/>
      <c r="JP85" s="308"/>
      <c r="JQ85" s="308"/>
      <c r="JR85" s="308"/>
      <c r="JS85" s="308"/>
      <c r="JT85" s="308"/>
      <c r="JU85" s="308"/>
      <c r="JV85" s="308"/>
      <c r="JW85" s="308"/>
      <c r="JX85" s="308"/>
      <c r="JY85" s="308"/>
      <c r="JZ85" s="308"/>
      <c r="KA85" s="308"/>
      <c r="KB85" s="308"/>
      <c r="KC85" s="308"/>
      <c r="KD85" s="308"/>
      <c r="KE85" s="308"/>
      <c r="KF85" s="308"/>
      <c r="KG85" s="308"/>
      <c r="KH85" s="308"/>
      <c r="KI85" s="308"/>
      <c r="KJ85" s="308"/>
      <c r="KK85" s="308"/>
      <c r="KL85" s="308"/>
      <c r="KM85" s="308"/>
      <c r="KN85" s="308"/>
      <c r="KO85" s="308"/>
      <c r="KP85" s="308"/>
      <c r="KQ85" s="308"/>
      <c r="KR85" s="308"/>
      <c r="KS85" s="308"/>
      <c r="KT85" s="308"/>
      <c r="KU85" s="308"/>
      <c r="KV85" s="308"/>
      <c r="KW85" s="308"/>
      <c r="KX85" s="308"/>
      <c r="KY85" s="308"/>
      <c r="KZ85" s="308"/>
      <c r="LA85" s="308"/>
      <c r="LB85" s="308"/>
      <c r="LC85" s="308"/>
      <c r="LD85" s="308"/>
      <c r="LE85" s="308"/>
      <c r="LF85" s="308"/>
      <c r="LG85" s="308"/>
      <c r="LH85" s="308"/>
      <c r="LI85" s="308"/>
      <c r="LJ85" s="308"/>
      <c r="LK85" s="308"/>
      <c r="LL85" s="308"/>
      <c r="LM85" s="308"/>
      <c r="LN85" s="308"/>
      <c r="LO85" s="308"/>
      <c r="LP85" s="308"/>
      <c r="LQ85" s="308"/>
      <c r="LR85" s="308"/>
      <c r="LS85" s="308"/>
      <c r="LT85" s="308"/>
      <c r="LU85" s="308"/>
      <c r="LV85" s="308"/>
      <c r="LW85" s="308"/>
      <c r="LX85" s="308"/>
      <c r="LY85" s="308"/>
      <c r="LZ85" s="308"/>
      <c r="MA85" s="308"/>
      <c r="MB85" s="308"/>
      <c r="MC85" s="308"/>
      <c r="MD85" s="308"/>
      <c r="ME85" s="308"/>
      <c r="MF85" s="308"/>
      <c r="MG85" s="308"/>
      <c r="MH85" s="308"/>
      <c r="MI85" s="308"/>
      <c r="MJ85" s="308"/>
      <c r="MK85" s="308"/>
      <c r="ML85" s="308"/>
      <c r="MM85" s="308"/>
      <c r="MN85" s="308"/>
      <c r="MO85" s="308"/>
      <c r="MP85" s="308"/>
      <c r="MQ85" s="308"/>
      <c r="MR85" s="308"/>
      <c r="MS85" s="308"/>
      <c r="MT85" s="308"/>
      <c r="MU85" s="308"/>
      <c r="MV85" s="308"/>
      <c r="MW85" s="308"/>
      <c r="MX85" s="308"/>
      <c r="MY85" s="308"/>
      <c r="MZ85" s="308"/>
      <c r="NA85" s="308"/>
      <c r="NB85" s="308"/>
      <c r="NC85" s="308"/>
      <c r="ND85" s="308"/>
      <c r="NE85" s="308"/>
      <c r="NF85" s="308"/>
      <c r="NG85" s="308"/>
      <c r="NH85" s="308"/>
      <c r="NI85" s="308"/>
      <c r="NJ85" s="308"/>
      <c r="NK85" s="308"/>
      <c r="NL85" s="308"/>
      <c r="NM85" s="308"/>
      <c r="NN85" s="308"/>
      <c r="NO85" s="308"/>
      <c r="NP85" s="308"/>
      <c r="NQ85" s="308"/>
      <c r="NR85" s="308"/>
      <c r="NS85" s="308"/>
      <c r="NT85" s="308"/>
      <c r="NU85" s="308"/>
      <c r="NV85" s="308"/>
      <c r="NW85" s="308"/>
      <c r="NX85" s="308"/>
      <c r="NY85" s="308"/>
      <c r="NZ85" s="308"/>
      <c r="OA85" s="308"/>
      <c r="OB85" s="308"/>
      <c r="OC85" s="308"/>
      <c r="OD85" s="308"/>
      <c r="OE85" s="308"/>
      <c r="OF85" s="308"/>
      <c r="OG85" s="308"/>
      <c r="OH85" s="308"/>
      <c r="OI85" s="308"/>
      <c r="OJ85" s="308"/>
      <c r="OK85" s="308"/>
      <c r="OL85" s="308"/>
      <c r="OM85" s="308"/>
      <c r="ON85" s="308"/>
      <c r="OO85" s="308"/>
      <c r="OP85" s="308"/>
      <c r="OQ85" s="308"/>
      <c r="OR85" s="308"/>
      <c r="OS85" s="308"/>
      <c r="OT85" s="308"/>
      <c r="OU85" s="308"/>
      <c r="OV85" s="308"/>
      <c r="OW85" s="308"/>
      <c r="OX85" s="308"/>
      <c r="OY85" s="308"/>
      <c r="OZ85" s="308"/>
      <c r="PA85" s="308"/>
      <c r="PB85" s="308"/>
      <c r="PC85" s="308"/>
      <c r="PD85" s="308"/>
      <c r="PE85" s="308"/>
      <c r="PF85" s="308"/>
      <c r="PG85" s="308"/>
      <c r="PH85" s="308"/>
      <c r="PI85" s="308"/>
      <c r="PJ85" s="308"/>
      <c r="PK85" s="308"/>
      <c r="PL85" s="308"/>
      <c r="PM85" s="308"/>
      <c r="PN85" s="308"/>
      <c r="PO85" s="308"/>
      <c r="PP85" s="308"/>
      <c r="PQ85" s="308"/>
      <c r="PR85" s="308"/>
      <c r="PS85" s="308"/>
      <c r="PT85" s="308"/>
      <c r="PU85" s="308"/>
      <c r="PV85" s="308"/>
      <c r="PW85" s="308"/>
      <c r="PX85" s="308"/>
      <c r="PY85" s="308"/>
      <c r="PZ85" s="308"/>
      <c r="QA85" s="308"/>
      <c r="QB85" s="308"/>
      <c r="QC85" s="308"/>
      <c r="QD85" s="308"/>
      <c r="QE85" s="308"/>
      <c r="QF85" s="308"/>
      <c r="QG85" s="308"/>
      <c r="QH85" s="308"/>
      <c r="QI85" s="308"/>
      <c r="QJ85" s="308"/>
      <c r="QK85" s="308"/>
      <c r="QL85" s="308"/>
      <c r="QM85" s="308"/>
      <c r="QN85" s="308"/>
      <c r="QO85" s="308"/>
      <c r="QP85" s="308"/>
      <c r="QQ85" s="308"/>
      <c r="QR85" s="308"/>
      <c r="QS85" s="308"/>
      <c r="QT85" s="308"/>
      <c r="QU85" s="308"/>
      <c r="QV85" s="308"/>
      <c r="QW85" s="308"/>
      <c r="QX85" s="308"/>
      <c r="QY85" s="308"/>
      <c r="QZ85" s="308"/>
      <c r="RA85" s="308"/>
      <c r="RB85" s="308"/>
      <c r="RC85" s="308"/>
      <c r="RD85" s="308"/>
      <c r="RE85" s="308"/>
      <c r="RF85" s="308"/>
      <c r="RG85" s="308"/>
      <c r="RH85" s="308"/>
      <c r="RI85" s="308"/>
      <c r="RJ85" s="308"/>
      <c r="RK85" s="308"/>
      <c r="RL85" s="308"/>
      <c r="RM85" s="308"/>
      <c r="RN85" s="308"/>
      <c r="RO85" s="308"/>
      <c r="RP85" s="308"/>
      <c r="RQ85" s="308"/>
      <c r="RR85" s="308"/>
      <c r="RS85" s="308"/>
      <c r="RT85" s="308"/>
      <c r="RU85" s="308"/>
      <c r="RV85" s="308"/>
      <c r="RW85" s="308"/>
      <c r="RX85" s="308"/>
      <c r="RY85" s="308"/>
      <c r="RZ85" s="308"/>
      <c r="SA85" s="308"/>
      <c r="SB85" s="308"/>
      <c r="SC85" s="308"/>
      <c r="SD85" s="308"/>
      <c r="SE85" s="308"/>
      <c r="SF85" s="308"/>
      <c r="SG85" s="308"/>
      <c r="SH85" s="308"/>
      <c r="SI85" s="308"/>
      <c r="SJ85" s="308"/>
      <c r="SK85" s="308"/>
      <c r="SL85" s="308"/>
      <c r="SM85" s="308"/>
      <c r="SN85" s="308"/>
      <c r="SO85" s="308"/>
      <c r="SP85" s="308"/>
      <c r="SQ85" s="308"/>
      <c r="SR85" s="308"/>
      <c r="SS85" s="308"/>
      <c r="ST85" s="308"/>
      <c r="SU85" s="308"/>
      <c r="SV85" s="308"/>
      <c r="SW85" s="308"/>
      <c r="SX85" s="308"/>
      <c r="SY85" s="308"/>
      <c r="SZ85" s="308"/>
      <c r="TA85" s="308"/>
      <c r="TB85" s="308"/>
      <c r="TC85" s="308"/>
      <c r="TD85" s="308"/>
      <c r="TE85" s="308"/>
      <c r="TF85" s="308"/>
      <c r="TG85" s="308"/>
      <c r="TH85" s="308"/>
      <c r="TI85" s="308"/>
      <c r="TJ85" s="308"/>
      <c r="TK85" s="308"/>
      <c r="TL85" s="308"/>
      <c r="TM85" s="308"/>
      <c r="TN85" s="308"/>
      <c r="TO85" s="308"/>
      <c r="TP85" s="308"/>
      <c r="TQ85" s="308"/>
      <c r="TR85" s="308"/>
      <c r="TS85" s="308"/>
      <c r="TT85" s="308"/>
      <c r="TU85" s="308"/>
      <c r="TV85" s="308"/>
      <c r="TW85" s="308"/>
      <c r="TX85" s="308"/>
      <c r="TY85" s="308"/>
      <c r="TZ85" s="308"/>
      <c r="UA85" s="308"/>
      <c r="UB85" s="308"/>
      <c r="UC85" s="308"/>
      <c r="UD85" s="308"/>
      <c r="UE85" s="308"/>
      <c r="UF85" s="308"/>
      <c r="UG85" s="308"/>
      <c r="UH85" s="308"/>
      <c r="UI85" s="308"/>
      <c r="UJ85" s="308"/>
      <c r="UK85" s="308"/>
      <c r="UL85" s="308"/>
      <c r="UM85" s="308"/>
      <c r="UN85" s="308"/>
      <c r="UO85" s="308"/>
      <c r="UP85" s="308"/>
      <c r="UQ85" s="308"/>
      <c r="UR85" s="308"/>
      <c r="US85" s="308"/>
      <c r="UT85" s="308"/>
      <c r="UU85" s="308"/>
      <c r="UV85" s="308"/>
      <c r="UW85" s="308"/>
      <c r="UX85" s="308"/>
      <c r="UY85" s="308"/>
      <c r="UZ85" s="308"/>
      <c r="VA85" s="308"/>
      <c r="VB85" s="308"/>
      <c r="VC85" s="308"/>
      <c r="VD85" s="308"/>
      <c r="VE85" s="308"/>
      <c r="VF85" s="308"/>
      <c r="VG85" s="308"/>
      <c r="VH85" s="308"/>
      <c r="VI85" s="308"/>
      <c r="VJ85" s="308"/>
      <c r="VK85" s="308"/>
      <c r="VL85" s="308"/>
      <c r="VM85" s="308"/>
      <c r="VN85" s="308"/>
      <c r="VO85" s="308"/>
      <c r="VP85" s="308"/>
      <c r="VQ85" s="308"/>
      <c r="VR85" s="308"/>
      <c r="VS85" s="308"/>
      <c r="VT85" s="308"/>
      <c r="VU85" s="308"/>
      <c r="VV85" s="308"/>
      <c r="VW85" s="308"/>
      <c r="VX85" s="308"/>
      <c r="VY85" s="308"/>
      <c r="VZ85" s="308"/>
      <c r="WA85" s="308"/>
      <c r="WB85" s="308"/>
      <c r="WC85" s="308"/>
      <c r="WD85" s="308"/>
      <c r="WE85" s="308"/>
      <c r="WF85" s="308"/>
      <c r="WG85" s="308"/>
      <c r="WH85" s="308"/>
      <c r="WI85" s="308"/>
      <c r="WJ85" s="308"/>
      <c r="WK85" s="308"/>
      <c r="WL85" s="308"/>
      <c r="WM85" s="308"/>
      <c r="WN85" s="308"/>
      <c r="WO85" s="308"/>
      <c r="WP85" s="308"/>
      <c r="WQ85" s="308"/>
      <c r="WR85" s="308"/>
      <c r="WS85" s="308"/>
      <c r="WT85" s="308"/>
      <c r="WU85" s="308"/>
      <c r="WV85" s="308"/>
      <c r="WW85" s="308"/>
      <c r="WX85" s="308"/>
      <c r="WY85" s="308"/>
      <c r="WZ85" s="308"/>
      <c r="XA85" s="308"/>
      <c r="XB85" s="308"/>
      <c r="XC85" s="308"/>
      <c r="XD85" s="308"/>
      <c r="XE85" s="308"/>
      <c r="XF85" s="308"/>
      <c r="XG85" s="308"/>
      <c r="XH85" s="308"/>
      <c r="XI85" s="308"/>
      <c r="XJ85" s="308"/>
      <c r="XK85" s="308"/>
      <c r="XL85" s="308"/>
      <c r="XM85" s="308"/>
      <c r="XN85" s="308"/>
      <c r="XO85" s="308"/>
      <c r="XP85" s="308"/>
      <c r="XQ85" s="308"/>
      <c r="XR85" s="308"/>
      <c r="XS85" s="308"/>
      <c r="XT85" s="308"/>
      <c r="XU85" s="308"/>
      <c r="XV85" s="308"/>
      <c r="XW85" s="308"/>
      <c r="XX85" s="308"/>
      <c r="XY85" s="308"/>
      <c r="XZ85" s="308"/>
      <c r="YA85" s="308"/>
      <c r="YB85" s="308"/>
      <c r="YC85" s="308"/>
      <c r="YD85" s="308"/>
      <c r="YE85" s="308"/>
      <c r="YF85" s="308"/>
      <c r="YG85" s="308"/>
      <c r="YH85" s="308"/>
      <c r="YI85" s="308"/>
      <c r="YJ85" s="308"/>
      <c r="YK85" s="308"/>
      <c r="YL85" s="308"/>
      <c r="YM85" s="308"/>
      <c r="YN85" s="308"/>
      <c r="YO85" s="308"/>
      <c r="YP85" s="308"/>
      <c r="YQ85" s="308"/>
      <c r="YR85" s="308"/>
      <c r="YS85" s="308"/>
      <c r="YT85" s="308"/>
      <c r="YU85" s="308"/>
      <c r="YV85" s="308"/>
      <c r="YW85" s="308"/>
      <c r="YX85" s="308"/>
      <c r="YY85" s="308"/>
      <c r="YZ85" s="308"/>
      <c r="ZA85" s="308"/>
      <c r="ZB85" s="308"/>
      <c r="ZC85" s="308"/>
      <c r="ZD85" s="308"/>
      <c r="ZE85" s="308"/>
      <c r="ZF85" s="308"/>
      <c r="ZG85" s="308"/>
      <c r="ZH85" s="308"/>
      <c r="ZI85" s="308"/>
      <c r="ZJ85" s="308"/>
      <c r="ZK85" s="308"/>
      <c r="ZL85" s="308"/>
      <c r="ZM85" s="308"/>
      <c r="ZN85" s="308"/>
      <c r="ZO85" s="308"/>
      <c r="ZP85" s="308"/>
      <c r="ZQ85" s="308"/>
      <c r="ZR85" s="308"/>
      <c r="ZS85" s="308"/>
      <c r="ZT85" s="308"/>
      <c r="ZU85" s="308"/>
      <c r="ZV85" s="308"/>
      <c r="ZW85" s="308"/>
      <c r="ZX85" s="308"/>
      <c r="ZY85" s="308"/>
      <c r="ZZ85" s="308"/>
      <c r="AAA85" s="308"/>
      <c r="AAB85" s="308"/>
      <c r="AAC85" s="308"/>
      <c r="AAD85" s="308"/>
      <c r="AAE85" s="308"/>
      <c r="AAF85" s="308"/>
      <c r="AAG85" s="308"/>
      <c r="AAH85" s="308"/>
      <c r="AAI85" s="308"/>
      <c r="AAJ85" s="308"/>
      <c r="AAK85" s="308"/>
      <c r="AAL85" s="308"/>
      <c r="AAM85" s="308"/>
      <c r="AAN85" s="308"/>
      <c r="AAO85" s="308"/>
      <c r="AAP85" s="308"/>
      <c r="AAQ85" s="308"/>
      <c r="AAR85" s="308"/>
      <c r="AAS85" s="308"/>
      <c r="AAT85" s="308"/>
      <c r="AAU85" s="308"/>
      <c r="AAV85" s="308"/>
      <c r="AAW85" s="308"/>
      <c r="AAX85" s="308"/>
      <c r="AAY85" s="308"/>
      <c r="AAZ85" s="308"/>
      <c r="ABA85" s="308"/>
      <c r="ABB85" s="308"/>
      <c r="ABC85" s="308"/>
      <c r="ABD85" s="308"/>
      <c r="ABE85" s="308"/>
      <c r="ABF85" s="308"/>
      <c r="ABG85" s="308"/>
      <c r="ABH85" s="308"/>
      <c r="ABI85" s="308"/>
      <c r="ABJ85" s="308"/>
      <c r="ABK85" s="308"/>
      <c r="ABL85" s="308"/>
      <c r="ABM85" s="308"/>
      <c r="ABN85" s="308"/>
      <c r="ABO85" s="308"/>
      <c r="ABP85" s="308"/>
      <c r="ABQ85" s="308"/>
      <c r="ABR85" s="308"/>
      <c r="ABS85" s="308"/>
      <c r="ABT85" s="308"/>
      <c r="ABU85" s="308"/>
      <c r="ABV85" s="308"/>
      <c r="ABW85" s="308"/>
      <c r="ABX85" s="308"/>
      <c r="ABY85" s="308"/>
      <c r="ABZ85" s="308"/>
      <c r="ACA85" s="308"/>
      <c r="ACB85" s="308"/>
      <c r="ACC85" s="308"/>
      <c r="ACD85" s="308"/>
      <c r="ACE85" s="308"/>
      <c r="ACF85" s="308"/>
      <c r="ACG85" s="308"/>
      <c r="ACH85" s="308"/>
      <c r="ACI85" s="308"/>
      <c r="ACJ85" s="308"/>
      <c r="ACK85" s="308"/>
      <c r="ACL85" s="308"/>
      <c r="ACM85" s="308"/>
      <c r="ACN85" s="308"/>
      <c r="ACO85" s="308"/>
      <c r="ACP85" s="308"/>
      <c r="ACQ85" s="308"/>
      <c r="ACR85" s="308"/>
      <c r="ACS85" s="308"/>
      <c r="ACT85" s="308"/>
      <c r="ACU85" s="308"/>
      <c r="ACV85" s="308"/>
      <c r="ACW85" s="308"/>
      <c r="ACX85" s="308"/>
      <c r="ACY85" s="308"/>
      <c r="ACZ85" s="308"/>
      <c r="ADA85" s="308"/>
      <c r="ADB85" s="308"/>
      <c r="ADC85" s="308"/>
      <c r="ADD85" s="308"/>
      <c r="ADE85" s="308"/>
      <c r="ADF85" s="308"/>
      <c r="ADG85" s="308"/>
      <c r="ADH85" s="308"/>
      <c r="ADI85" s="308"/>
      <c r="ADJ85" s="308"/>
      <c r="ADK85" s="308"/>
      <c r="ADL85" s="308"/>
      <c r="ADM85" s="308"/>
      <c r="ADN85" s="308"/>
      <c r="ADO85" s="308"/>
      <c r="ADP85" s="308"/>
      <c r="ADQ85" s="308"/>
      <c r="ADR85" s="308"/>
      <c r="ADS85" s="308"/>
      <c r="ADT85" s="308"/>
      <c r="ADU85" s="308"/>
      <c r="ADV85" s="308"/>
      <c r="ADW85" s="308"/>
      <c r="ADX85" s="308"/>
      <c r="ADY85" s="308"/>
      <c r="ADZ85" s="308"/>
      <c r="AEA85" s="308"/>
      <c r="AEB85" s="308"/>
      <c r="AEC85" s="308"/>
      <c r="AED85" s="308"/>
      <c r="AEE85" s="308"/>
      <c r="AEF85" s="308"/>
      <c r="AEG85" s="308"/>
      <c r="AEH85" s="308"/>
      <c r="AEI85" s="308"/>
      <c r="AEJ85" s="308"/>
      <c r="AEK85" s="308"/>
      <c r="AEL85" s="308"/>
      <c r="AEM85" s="308"/>
      <c r="AEN85" s="308"/>
      <c r="AEO85" s="308"/>
      <c r="AEP85" s="308"/>
      <c r="AEQ85" s="308"/>
      <c r="AER85" s="308"/>
      <c r="AES85" s="308"/>
      <c r="AET85" s="308"/>
      <c r="AEU85" s="308"/>
      <c r="AEV85" s="308"/>
      <c r="AEW85" s="308"/>
      <c r="AEX85" s="308"/>
      <c r="AEY85" s="308"/>
      <c r="AEZ85" s="308"/>
      <c r="AFA85" s="308"/>
      <c r="AFB85" s="308"/>
      <c r="AFC85" s="308"/>
      <c r="AFD85" s="308"/>
      <c r="AFE85" s="308"/>
      <c r="AFF85" s="308"/>
      <c r="AFG85" s="308"/>
      <c r="AFH85" s="308"/>
      <c r="AFI85" s="308"/>
      <c r="AFJ85" s="308"/>
      <c r="AFK85" s="308"/>
      <c r="AFL85" s="308"/>
      <c r="AFM85" s="308"/>
      <c r="AFN85" s="308"/>
      <c r="AFO85" s="308"/>
      <c r="AFP85" s="308"/>
      <c r="AFQ85" s="308"/>
      <c r="AFR85" s="308"/>
      <c r="AFS85" s="308"/>
      <c r="AFT85" s="308"/>
      <c r="AFU85" s="308"/>
      <c r="AFV85" s="308"/>
      <c r="AFW85" s="308"/>
      <c r="AFX85" s="308"/>
      <c r="AFY85" s="308"/>
      <c r="AFZ85" s="308"/>
      <c r="AGA85" s="308"/>
      <c r="AGB85" s="308"/>
      <c r="AGC85" s="308"/>
      <c r="AGD85" s="308"/>
      <c r="AGE85" s="308"/>
      <c r="AGF85" s="308"/>
      <c r="AGG85" s="308"/>
      <c r="AGH85" s="308"/>
      <c r="AGI85" s="308"/>
      <c r="AGJ85" s="308"/>
      <c r="AGK85" s="308"/>
      <c r="AGL85" s="308"/>
      <c r="AGM85" s="308"/>
      <c r="AGN85" s="308"/>
      <c r="AGO85" s="308"/>
      <c r="AGP85" s="308"/>
      <c r="AGQ85" s="308"/>
      <c r="AGR85" s="308"/>
      <c r="AGS85" s="308"/>
      <c r="AGT85" s="308"/>
      <c r="AGU85" s="308"/>
      <c r="AGV85" s="308"/>
      <c r="AGW85" s="308"/>
      <c r="AGX85" s="308"/>
      <c r="AGY85" s="308"/>
      <c r="AGZ85" s="308"/>
      <c r="AHA85" s="308"/>
      <c r="AHB85" s="308"/>
      <c r="AHC85" s="308"/>
      <c r="AHD85" s="308"/>
      <c r="AHE85" s="308"/>
      <c r="AHF85" s="308"/>
      <c r="AHG85" s="308"/>
      <c r="AHH85" s="308"/>
      <c r="AHI85" s="308"/>
      <c r="AHJ85" s="308"/>
      <c r="AHK85" s="308"/>
      <c r="AHL85" s="308"/>
      <c r="AHM85" s="308"/>
      <c r="AHN85" s="308"/>
      <c r="AHO85" s="308"/>
      <c r="AHP85" s="308"/>
      <c r="AHQ85" s="308"/>
      <c r="AHR85" s="308"/>
      <c r="AHS85" s="308"/>
      <c r="AHT85" s="308"/>
      <c r="AHU85" s="308"/>
      <c r="AHV85" s="308"/>
      <c r="AHW85" s="308"/>
      <c r="AHX85" s="308"/>
      <c r="AHY85" s="308"/>
      <c r="AHZ85" s="308"/>
      <c r="AIA85" s="308"/>
      <c r="AIB85" s="308"/>
      <c r="AIC85" s="308"/>
      <c r="AID85" s="308"/>
      <c r="AIE85" s="308"/>
      <c r="AIF85" s="308"/>
      <c r="AIG85" s="308"/>
      <c r="AIH85" s="308"/>
      <c r="AII85" s="308"/>
      <c r="AIJ85" s="308"/>
      <c r="AIK85" s="308"/>
      <c r="AIL85" s="308"/>
      <c r="AIM85" s="308"/>
      <c r="AIN85" s="308"/>
      <c r="AIO85" s="308"/>
      <c r="AIP85" s="308"/>
      <c r="AIQ85" s="308"/>
      <c r="AIR85" s="308"/>
      <c r="AIS85" s="308"/>
      <c r="AIT85" s="308"/>
      <c r="AIU85" s="308"/>
      <c r="AIV85" s="308"/>
      <c r="AIW85" s="308"/>
      <c r="AIX85" s="308"/>
      <c r="AIY85" s="308"/>
      <c r="AIZ85" s="308"/>
      <c r="AJA85" s="308"/>
      <c r="AJB85" s="308"/>
      <c r="AJC85" s="308"/>
    </row>
    <row r="86" spans="1:940" s="567" customFormat="1">
      <c r="A86" s="113">
        <f>A83+1</f>
        <v>75</v>
      </c>
      <c r="B86" s="113">
        <v>1409</v>
      </c>
      <c r="C86" s="113" t="s">
        <v>257</v>
      </c>
      <c r="D86" s="117">
        <f>3500000+800000</f>
        <v>4300000</v>
      </c>
      <c r="E86" s="117">
        <v>3500000</v>
      </c>
      <c r="F86" s="117">
        <f>D86-E86</f>
        <v>800000</v>
      </c>
      <c r="G86" s="117">
        <v>3300000</v>
      </c>
      <c r="H86" s="117">
        <v>2261196.9500000002</v>
      </c>
      <c r="I86" s="117">
        <v>688781.13</v>
      </c>
      <c r="J86" s="117">
        <v>4560</v>
      </c>
      <c r="K86" s="117">
        <f t="shared" ref="K86:K100" si="43">SUM(I86:J86)</f>
        <v>693341.13</v>
      </c>
      <c r="L86" s="117">
        <f t="shared" ref="L86:L100" si="44">H86+K86</f>
        <v>2954538.08</v>
      </c>
      <c r="M86" s="117">
        <f>P86+S86</f>
        <v>345461.91999999993</v>
      </c>
      <c r="N86" s="117">
        <f>500000+700000-500000</f>
        <v>700000</v>
      </c>
      <c r="O86" s="117">
        <f>D86-L86-M86-N86</f>
        <v>300000</v>
      </c>
      <c r="P86" s="117">
        <f t="shared" ref="P86:P100" si="45">G86-L86</f>
        <v>345461.91999999993</v>
      </c>
      <c r="Q86" s="117"/>
      <c r="R86" s="117"/>
      <c r="S86" s="117">
        <f t="shared" ref="S86:S100" si="46">SUM(Q86:R86)</f>
        <v>0</v>
      </c>
      <c r="T86" s="117">
        <f t="shared" ref="T86:T100" si="47">P86-M86+S86</f>
        <v>0</v>
      </c>
      <c r="U86" s="117">
        <f t="shared" ref="U86:U100" si="48">N86-T86</f>
        <v>700000</v>
      </c>
      <c r="V86" s="117">
        <f t="shared" ref="V86:V100" si="49">U86-Z86-W86-Y86</f>
        <v>700000</v>
      </c>
      <c r="W86" s="543"/>
      <c r="X86" s="117"/>
      <c r="Y86" s="117"/>
      <c r="Z86" s="113"/>
      <c r="AA86" s="113">
        <v>732000</v>
      </c>
      <c r="AB86" s="117"/>
      <c r="AC86" s="117"/>
      <c r="AD86" s="117"/>
      <c r="AE86" s="117"/>
      <c r="AF86" s="117">
        <v>350000</v>
      </c>
      <c r="AG86" s="117">
        <v>350000</v>
      </c>
      <c r="AH86" s="117"/>
      <c r="AI86" s="117"/>
      <c r="AJ86" s="117"/>
      <c r="AK86" s="117">
        <f t="shared" si="24"/>
        <v>700000</v>
      </c>
      <c r="AL86" s="115"/>
      <c r="AM86" s="566">
        <f t="shared" ref="AM86:AM100" si="50">AK86+AL86</f>
        <v>700000</v>
      </c>
      <c r="AN86" s="117">
        <f t="shared" ref="AN86:AN100" si="51">U86-AM86</f>
        <v>0</v>
      </c>
      <c r="AO86" s="117">
        <f t="shared" ref="AO86:AO100" si="52">AM86-AP86-AQ86-AR86-AS86</f>
        <v>700000</v>
      </c>
      <c r="AP86" s="565"/>
      <c r="AQ86" s="565"/>
      <c r="AR86" s="565"/>
      <c r="AS86" s="565"/>
      <c r="AT86" s="117">
        <f t="shared" ref="AT86:AT100" si="53">AL86-AU86-AV86-AW86-AX86</f>
        <v>0</v>
      </c>
      <c r="AU86" s="565"/>
      <c r="AV86" s="565"/>
      <c r="AW86" s="565"/>
      <c r="AX86" s="565"/>
      <c r="AY86" s="117">
        <f t="shared" ref="AY86:AY100" si="54">AN86-AZ86-BA86-BB86-BC86</f>
        <v>0</v>
      </c>
      <c r="AZ86" s="565"/>
      <c r="BA86" s="565"/>
      <c r="BB86" s="565"/>
      <c r="BC86" s="565"/>
      <c r="BD86" s="544"/>
      <c r="BE86" s="544"/>
      <c r="BF86" s="544"/>
      <c r="BG86" s="544"/>
      <c r="BH86" s="544"/>
      <c r="AJD86" s="546"/>
    </row>
    <row r="87" spans="1:940" s="546" customFormat="1">
      <c r="A87" s="113">
        <f t="shared" ref="A87:A100" si="55">A86+1</f>
        <v>76</v>
      </c>
      <c r="B87" s="113">
        <v>1466</v>
      </c>
      <c r="C87" s="113" t="s">
        <v>20</v>
      </c>
      <c r="D87" s="117">
        <f>1800000+400000</f>
        <v>2200000</v>
      </c>
      <c r="E87" s="117">
        <v>1800000</v>
      </c>
      <c r="F87" s="117">
        <f t="shared" ref="F87:F100" si="56">D87-E87</f>
        <v>400000</v>
      </c>
      <c r="G87" s="117">
        <v>1300000</v>
      </c>
      <c r="H87" s="117">
        <v>983288.89</v>
      </c>
      <c r="I87" s="117"/>
      <c r="J87" s="117">
        <v>94723.68</v>
      </c>
      <c r="K87" s="117">
        <f t="shared" si="43"/>
        <v>94723.68</v>
      </c>
      <c r="L87" s="117">
        <f t="shared" si="44"/>
        <v>1078012.57</v>
      </c>
      <c r="M87" s="117">
        <f>P87+S87</f>
        <v>221987.42999999993</v>
      </c>
      <c r="N87" s="117">
        <v>400000</v>
      </c>
      <c r="O87" s="117">
        <f t="shared" ref="O87:O100" si="57">D87-L87-M87-N87</f>
        <v>500000</v>
      </c>
      <c r="P87" s="117">
        <f t="shared" si="45"/>
        <v>221987.42999999993</v>
      </c>
      <c r="Q87" s="117"/>
      <c r="R87" s="117"/>
      <c r="S87" s="117">
        <f t="shared" si="46"/>
        <v>0</v>
      </c>
      <c r="T87" s="117">
        <f t="shared" si="47"/>
        <v>0</v>
      </c>
      <c r="U87" s="117">
        <f t="shared" si="48"/>
        <v>400000</v>
      </c>
      <c r="V87" s="117">
        <f t="shared" si="49"/>
        <v>400000</v>
      </c>
      <c r="W87" s="543"/>
      <c r="X87" s="117"/>
      <c r="Y87" s="117"/>
      <c r="Z87" s="113"/>
      <c r="AA87" s="113">
        <v>732000</v>
      </c>
      <c r="AB87" s="117"/>
      <c r="AC87" s="117"/>
      <c r="AD87" s="117"/>
      <c r="AE87" s="117"/>
      <c r="AF87" s="117">
        <v>200000</v>
      </c>
      <c r="AG87" s="117"/>
      <c r="AH87" s="117"/>
      <c r="AI87" s="117"/>
      <c r="AJ87" s="117"/>
      <c r="AK87" s="117">
        <f t="shared" si="24"/>
        <v>200000</v>
      </c>
      <c r="AL87" s="565"/>
      <c r="AM87" s="566">
        <f t="shared" si="50"/>
        <v>200000</v>
      </c>
      <c r="AN87" s="117">
        <f t="shared" si="51"/>
        <v>200000</v>
      </c>
      <c r="AO87" s="117">
        <f t="shared" si="52"/>
        <v>200000</v>
      </c>
      <c r="AP87" s="565"/>
      <c r="AQ87" s="565"/>
      <c r="AR87" s="565"/>
      <c r="AS87" s="565"/>
      <c r="AT87" s="117">
        <f t="shared" si="53"/>
        <v>0</v>
      </c>
      <c r="AU87" s="565"/>
      <c r="AV87" s="565"/>
      <c r="AW87" s="565"/>
      <c r="AX87" s="565"/>
      <c r="AY87" s="117">
        <f t="shared" si="54"/>
        <v>200000</v>
      </c>
      <c r="AZ87" s="565"/>
      <c r="BA87" s="565"/>
      <c r="BB87" s="565"/>
      <c r="BC87" s="565"/>
      <c r="BD87" s="544"/>
      <c r="BE87" s="544"/>
      <c r="BF87" s="544"/>
      <c r="BG87" s="544"/>
      <c r="BH87" s="544"/>
      <c r="BI87" s="308"/>
      <c r="BJ87" s="308"/>
      <c r="BK87" s="308"/>
      <c r="BL87" s="308"/>
      <c r="BM87" s="308"/>
      <c r="BN87" s="308"/>
      <c r="BO87" s="308"/>
      <c r="BP87" s="308"/>
      <c r="BQ87" s="308"/>
      <c r="BR87" s="308"/>
      <c r="BS87" s="308"/>
      <c r="BT87" s="308"/>
      <c r="BU87" s="308"/>
      <c r="BV87" s="308"/>
      <c r="BW87" s="308"/>
      <c r="BX87" s="308"/>
      <c r="BY87" s="308"/>
      <c r="BZ87" s="308"/>
      <c r="CA87" s="308"/>
      <c r="CB87" s="308"/>
      <c r="CC87" s="308"/>
      <c r="CD87" s="308"/>
      <c r="CE87" s="308"/>
      <c r="CF87" s="308"/>
      <c r="CG87" s="308"/>
      <c r="CH87" s="308"/>
      <c r="CI87" s="308"/>
      <c r="CJ87" s="308"/>
      <c r="CK87" s="308"/>
      <c r="CL87" s="308"/>
      <c r="CM87" s="308"/>
      <c r="CN87" s="308"/>
      <c r="CO87" s="308"/>
      <c r="CP87" s="308"/>
      <c r="CQ87" s="308"/>
      <c r="CR87" s="308"/>
      <c r="CS87" s="308"/>
      <c r="CT87" s="308"/>
      <c r="CU87" s="308"/>
      <c r="CV87" s="308"/>
      <c r="CW87" s="308"/>
      <c r="CX87" s="308"/>
      <c r="CY87" s="308"/>
      <c r="CZ87" s="308"/>
      <c r="DA87" s="308"/>
      <c r="DB87" s="308"/>
      <c r="DC87" s="308"/>
      <c r="DD87" s="308"/>
      <c r="DE87" s="308"/>
      <c r="DF87" s="308"/>
      <c r="DG87" s="308"/>
      <c r="DH87" s="308"/>
      <c r="DI87" s="308"/>
      <c r="DJ87" s="308"/>
      <c r="DK87" s="308"/>
      <c r="DL87" s="308"/>
      <c r="DM87" s="308"/>
      <c r="DN87" s="308"/>
      <c r="DO87" s="308"/>
      <c r="DP87" s="308"/>
      <c r="DQ87" s="308"/>
      <c r="DR87" s="308"/>
      <c r="DS87" s="308"/>
      <c r="DT87" s="308"/>
      <c r="DU87" s="308"/>
      <c r="DV87" s="308"/>
      <c r="DW87" s="308"/>
      <c r="DX87" s="308"/>
      <c r="DY87" s="308"/>
      <c r="DZ87" s="308"/>
      <c r="EA87" s="308"/>
      <c r="EB87" s="308"/>
      <c r="EC87" s="308"/>
      <c r="ED87" s="308"/>
      <c r="EE87" s="308"/>
      <c r="EF87" s="308"/>
      <c r="EG87" s="308"/>
      <c r="EH87" s="308"/>
      <c r="EI87" s="308"/>
      <c r="EJ87" s="308"/>
      <c r="EK87" s="308"/>
      <c r="EL87" s="308"/>
      <c r="EM87" s="308"/>
      <c r="EN87" s="308"/>
      <c r="EO87" s="308"/>
      <c r="EP87" s="308"/>
      <c r="EQ87" s="308"/>
      <c r="ER87" s="308"/>
      <c r="ES87" s="308"/>
      <c r="ET87" s="308"/>
      <c r="EU87" s="308"/>
      <c r="EV87" s="308"/>
      <c r="EW87" s="308"/>
      <c r="EX87" s="308"/>
      <c r="EY87" s="308"/>
      <c r="EZ87" s="308"/>
      <c r="FA87" s="308"/>
      <c r="FB87" s="308"/>
      <c r="FC87" s="308"/>
      <c r="FD87" s="308"/>
      <c r="FE87" s="308"/>
      <c r="FF87" s="308"/>
      <c r="FG87" s="308"/>
      <c r="FH87" s="308"/>
      <c r="FI87" s="308"/>
      <c r="FJ87" s="308"/>
      <c r="FK87" s="308"/>
      <c r="FL87" s="308"/>
      <c r="FM87" s="308"/>
      <c r="FN87" s="308"/>
      <c r="FO87" s="308"/>
      <c r="FP87" s="308"/>
      <c r="FQ87" s="308"/>
      <c r="FR87" s="308"/>
      <c r="FS87" s="308"/>
      <c r="FT87" s="308"/>
      <c r="FU87" s="308"/>
      <c r="FV87" s="308"/>
      <c r="FW87" s="308"/>
      <c r="FX87" s="308"/>
      <c r="FY87" s="308"/>
      <c r="FZ87" s="308"/>
      <c r="GA87" s="308"/>
      <c r="GB87" s="308"/>
      <c r="GC87" s="308"/>
      <c r="GD87" s="308"/>
      <c r="GE87" s="308"/>
      <c r="GF87" s="308"/>
      <c r="GG87" s="308"/>
      <c r="GH87" s="308"/>
      <c r="GI87" s="308"/>
      <c r="GJ87" s="308"/>
      <c r="GK87" s="308"/>
      <c r="GL87" s="308"/>
      <c r="GM87" s="308"/>
      <c r="GN87" s="308"/>
      <c r="GO87" s="308"/>
      <c r="GP87" s="308"/>
      <c r="GQ87" s="308"/>
      <c r="GR87" s="308"/>
      <c r="GS87" s="308"/>
      <c r="GT87" s="308"/>
      <c r="GU87" s="308"/>
      <c r="GV87" s="308"/>
      <c r="GW87" s="308"/>
      <c r="GX87" s="308"/>
      <c r="GY87" s="308"/>
      <c r="GZ87" s="308"/>
      <c r="HA87" s="308"/>
      <c r="HB87" s="308"/>
      <c r="HC87" s="308"/>
      <c r="HD87" s="308"/>
      <c r="HE87" s="308"/>
      <c r="HF87" s="308"/>
      <c r="HG87" s="308"/>
      <c r="HH87" s="308"/>
      <c r="HI87" s="308"/>
      <c r="HJ87" s="308"/>
      <c r="HK87" s="308"/>
      <c r="HL87" s="308"/>
      <c r="HM87" s="308"/>
      <c r="HN87" s="308"/>
      <c r="HO87" s="308"/>
      <c r="HP87" s="308"/>
      <c r="HQ87" s="308"/>
      <c r="HR87" s="308"/>
      <c r="HS87" s="308"/>
      <c r="HT87" s="308"/>
      <c r="HU87" s="308"/>
      <c r="HV87" s="308"/>
      <c r="HW87" s="308"/>
      <c r="HX87" s="308"/>
      <c r="HY87" s="308"/>
      <c r="HZ87" s="308"/>
      <c r="IA87" s="308"/>
      <c r="IB87" s="308"/>
      <c r="IC87" s="308"/>
      <c r="ID87" s="308"/>
      <c r="IE87" s="308"/>
      <c r="IF87" s="308"/>
      <c r="IG87" s="308"/>
      <c r="IH87" s="308"/>
      <c r="II87" s="308"/>
      <c r="IJ87" s="308"/>
      <c r="IK87" s="308"/>
      <c r="IL87" s="308"/>
      <c r="IM87" s="308"/>
      <c r="IN87" s="308"/>
      <c r="IO87" s="308"/>
      <c r="IP87" s="308"/>
      <c r="IQ87" s="308"/>
      <c r="IR87" s="308"/>
      <c r="IS87" s="308"/>
      <c r="IT87" s="308"/>
      <c r="IU87" s="308"/>
      <c r="IV87" s="308"/>
      <c r="IW87" s="308"/>
      <c r="IX87" s="308"/>
      <c r="IY87" s="308"/>
      <c r="IZ87" s="308"/>
      <c r="JA87" s="308"/>
      <c r="JB87" s="308"/>
      <c r="JC87" s="308"/>
      <c r="JD87" s="308"/>
      <c r="JE87" s="308"/>
      <c r="JF87" s="308"/>
      <c r="JG87" s="308"/>
      <c r="JH87" s="308"/>
      <c r="JI87" s="308"/>
      <c r="JJ87" s="308"/>
      <c r="JK87" s="308"/>
      <c r="JL87" s="308"/>
      <c r="JM87" s="308"/>
      <c r="JN87" s="308"/>
      <c r="JO87" s="308"/>
      <c r="JP87" s="308"/>
      <c r="JQ87" s="308"/>
      <c r="JR87" s="308"/>
      <c r="JS87" s="308"/>
      <c r="JT87" s="308"/>
      <c r="JU87" s="308"/>
      <c r="JV87" s="308"/>
      <c r="JW87" s="308"/>
      <c r="JX87" s="308"/>
      <c r="JY87" s="308"/>
      <c r="JZ87" s="308"/>
      <c r="KA87" s="308"/>
      <c r="KB87" s="308"/>
      <c r="KC87" s="308"/>
      <c r="KD87" s="308"/>
      <c r="KE87" s="308"/>
      <c r="KF87" s="308"/>
      <c r="KG87" s="308"/>
      <c r="KH87" s="308"/>
      <c r="KI87" s="308"/>
      <c r="KJ87" s="308"/>
      <c r="KK87" s="308"/>
      <c r="KL87" s="308"/>
      <c r="KM87" s="308"/>
      <c r="KN87" s="308"/>
      <c r="KO87" s="308"/>
      <c r="KP87" s="308"/>
      <c r="KQ87" s="308"/>
      <c r="KR87" s="308"/>
      <c r="KS87" s="308"/>
      <c r="KT87" s="308"/>
      <c r="KU87" s="308"/>
      <c r="KV87" s="308"/>
      <c r="KW87" s="308"/>
      <c r="KX87" s="308"/>
      <c r="KY87" s="308"/>
      <c r="KZ87" s="308"/>
      <c r="LA87" s="308"/>
      <c r="LB87" s="308"/>
      <c r="LC87" s="308"/>
      <c r="LD87" s="308"/>
      <c r="LE87" s="308"/>
      <c r="LF87" s="308"/>
      <c r="LG87" s="308"/>
      <c r="LH87" s="308"/>
      <c r="LI87" s="308"/>
      <c r="LJ87" s="308"/>
      <c r="LK87" s="308"/>
      <c r="LL87" s="308"/>
      <c r="LM87" s="308"/>
      <c r="LN87" s="308"/>
      <c r="LO87" s="308"/>
      <c r="LP87" s="308"/>
      <c r="LQ87" s="308"/>
      <c r="LR87" s="308"/>
      <c r="LS87" s="308"/>
      <c r="LT87" s="308"/>
      <c r="LU87" s="308"/>
      <c r="LV87" s="308"/>
      <c r="LW87" s="308"/>
      <c r="LX87" s="308"/>
      <c r="LY87" s="308"/>
      <c r="LZ87" s="308"/>
      <c r="MA87" s="308"/>
      <c r="MB87" s="308"/>
      <c r="MC87" s="308"/>
      <c r="MD87" s="308"/>
      <c r="ME87" s="308"/>
      <c r="MF87" s="308"/>
      <c r="MG87" s="308"/>
      <c r="MH87" s="308"/>
      <c r="MI87" s="308"/>
      <c r="MJ87" s="308"/>
      <c r="MK87" s="308"/>
      <c r="ML87" s="308"/>
      <c r="MM87" s="308"/>
      <c r="MN87" s="308"/>
      <c r="MO87" s="308"/>
      <c r="MP87" s="308"/>
      <c r="MQ87" s="308"/>
      <c r="MR87" s="308"/>
      <c r="MS87" s="308"/>
      <c r="MT87" s="308"/>
      <c r="MU87" s="308"/>
      <c r="MV87" s="308"/>
      <c r="MW87" s="308"/>
      <c r="MX87" s="308"/>
      <c r="MY87" s="308"/>
      <c r="MZ87" s="308"/>
      <c r="NA87" s="308"/>
      <c r="NB87" s="308"/>
      <c r="NC87" s="308"/>
      <c r="ND87" s="308"/>
      <c r="NE87" s="308"/>
      <c r="NF87" s="308"/>
      <c r="NG87" s="308"/>
      <c r="NH87" s="308"/>
      <c r="NI87" s="308"/>
      <c r="NJ87" s="308"/>
      <c r="NK87" s="308"/>
      <c r="NL87" s="308"/>
      <c r="NM87" s="308"/>
      <c r="NN87" s="308"/>
      <c r="NO87" s="308"/>
      <c r="NP87" s="308"/>
      <c r="NQ87" s="308"/>
      <c r="NR87" s="308"/>
      <c r="NS87" s="308"/>
      <c r="NT87" s="308"/>
      <c r="NU87" s="308"/>
      <c r="NV87" s="308"/>
      <c r="NW87" s="308"/>
      <c r="NX87" s="308"/>
      <c r="NY87" s="308"/>
      <c r="NZ87" s="308"/>
      <c r="OA87" s="308"/>
      <c r="OB87" s="308"/>
      <c r="OC87" s="308"/>
      <c r="OD87" s="308"/>
      <c r="OE87" s="308"/>
      <c r="OF87" s="308"/>
      <c r="OG87" s="308"/>
      <c r="OH87" s="308"/>
      <c r="OI87" s="308"/>
      <c r="OJ87" s="308"/>
      <c r="OK87" s="308"/>
      <c r="OL87" s="308"/>
      <c r="OM87" s="308"/>
      <c r="ON87" s="308"/>
      <c r="OO87" s="308"/>
      <c r="OP87" s="308"/>
      <c r="OQ87" s="308"/>
      <c r="OR87" s="308"/>
      <c r="OS87" s="308"/>
      <c r="OT87" s="308"/>
      <c r="OU87" s="308"/>
      <c r="OV87" s="308"/>
      <c r="OW87" s="308"/>
      <c r="OX87" s="308"/>
      <c r="OY87" s="308"/>
      <c r="OZ87" s="308"/>
      <c r="PA87" s="308"/>
      <c r="PB87" s="308"/>
      <c r="PC87" s="308"/>
      <c r="PD87" s="308"/>
      <c r="PE87" s="308"/>
      <c r="PF87" s="308"/>
      <c r="PG87" s="308"/>
      <c r="PH87" s="308"/>
      <c r="PI87" s="308"/>
      <c r="PJ87" s="308"/>
      <c r="PK87" s="308"/>
      <c r="PL87" s="308"/>
      <c r="PM87" s="308"/>
      <c r="PN87" s="308"/>
      <c r="PO87" s="308"/>
      <c r="PP87" s="308"/>
      <c r="PQ87" s="308"/>
      <c r="PR87" s="308"/>
      <c r="PS87" s="308"/>
      <c r="PT87" s="308"/>
      <c r="PU87" s="308"/>
      <c r="PV87" s="308"/>
      <c r="PW87" s="308"/>
      <c r="PX87" s="308"/>
      <c r="PY87" s="308"/>
      <c r="PZ87" s="308"/>
      <c r="QA87" s="308"/>
      <c r="QB87" s="308"/>
      <c r="QC87" s="308"/>
      <c r="QD87" s="308"/>
      <c r="QE87" s="308"/>
      <c r="QF87" s="308"/>
      <c r="QG87" s="308"/>
      <c r="QH87" s="308"/>
      <c r="QI87" s="308"/>
      <c r="QJ87" s="308"/>
      <c r="QK87" s="308"/>
      <c r="QL87" s="308"/>
      <c r="QM87" s="308"/>
      <c r="QN87" s="308"/>
      <c r="QO87" s="308"/>
      <c r="QP87" s="308"/>
      <c r="QQ87" s="308"/>
      <c r="QR87" s="308"/>
      <c r="QS87" s="308"/>
      <c r="QT87" s="308"/>
      <c r="QU87" s="308"/>
      <c r="QV87" s="308"/>
      <c r="QW87" s="308"/>
      <c r="QX87" s="308"/>
      <c r="QY87" s="308"/>
      <c r="QZ87" s="308"/>
      <c r="RA87" s="308"/>
      <c r="RB87" s="308"/>
      <c r="RC87" s="308"/>
      <c r="RD87" s="308"/>
      <c r="RE87" s="308"/>
      <c r="RF87" s="308"/>
      <c r="RG87" s="308"/>
      <c r="RH87" s="308"/>
      <c r="RI87" s="308"/>
      <c r="RJ87" s="308"/>
      <c r="RK87" s="308"/>
      <c r="RL87" s="308"/>
      <c r="RM87" s="308"/>
      <c r="RN87" s="308"/>
      <c r="RO87" s="308"/>
      <c r="RP87" s="308"/>
      <c r="RQ87" s="308"/>
      <c r="RR87" s="308"/>
      <c r="RS87" s="308"/>
      <c r="RT87" s="308"/>
      <c r="RU87" s="308"/>
      <c r="RV87" s="308"/>
      <c r="RW87" s="308"/>
      <c r="RX87" s="308"/>
      <c r="RY87" s="308"/>
      <c r="RZ87" s="308"/>
      <c r="SA87" s="308"/>
      <c r="SB87" s="308"/>
      <c r="SC87" s="308"/>
      <c r="SD87" s="308"/>
      <c r="SE87" s="308"/>
      <c r="SF87" s="308"/>
      <c r="SG87" s="308"/>
      <c r="SH87" s="308"/>
      <c r="SI87" s="308"/>
      <c r="SJ87" s="308"/>
      <c r="SK87" s="308"/>
      <c r="SL87" s="308"/>
      <c r="SM87" s="308"/>
      <c r="SN87" s="308"/>
      <c r="SO87" s="308"/>
      <c r="SP87" s="308"/>
      <c r="SQ87" s="308"/>
      <c r="SR87" s="308"/>
      <c r="SS87" s="308"/>
      <c r="ST87" s="308"/>
      <c r="SU87" s="308"/>
      <c r="SV87" s="308"/>
      <c r="SW87" s="308"/>
      <c r="SX87" s="308"/>
      <c r="SY87" s="308"/>
      <c r="SZ87" s="308"/>
      <c r="TA87" s="308"/>
      <c r="TB87" s="308"/>
      <c r="TC87" s="308"/>
      <c r="TD87" s="308"/>
      <c r="TE87" s="308"/>
      <c r="TF87" s="308"/>
      <c r="TG87" s="308"/>
      <c r="TH87" s="308"/>
      <c r="TI87" s="308"/>
      <c r="TJ87" s="308"/>
      <c r="TK87" s="308"/>
      <c r="TL87" s="308"/>
      <c r="TM87" s="308"/>
      <c r="TN87" s="308"/>
      <c r="TO87" s="308"/>
      <c r="TP87" s="308"/>
      <c r="TQ87" s="308"/>
      <c r="TR87" s="308"/>
      <c r="TS87" s="308"/>
      <c r="TT87" s="308"/>
      <c r="TU87" s="308"/>
      <c r="TV87" s="308"/>
      <c r="TW87" s="308"/>
      <c r="TX87" s="308"/>
      <c r="TY87" s="308"/>
      <c r="TZ87" s="308"/>
      <c r="UA87" s="308"/>
      <c r="UB87" s="308"/>
      <c r="UC87" s="308"/>
      <c r="UD87" s="308"/>
      <c r="UE87" s="308"/>
      <c r="UF87" s="308"/>
      <c r="UG87" s="308"/>
      <c r="UH87" s="308"/>
      <c r="UI87" s="308"/>
      <c r="UJ87" s="308"/>
      <c r="UK87" s="308"/>
      <c r="UL87" s="308"/>
      <c r="UM87" s="308"/>
      <c r="UN87" s="308"/>
      <c r="UO87" s="308"/>
      <c r="UP87" s="308"/>
      <c r="UQ87" s="308"/>
      <c r="UR87" s="308"/>
      <c r="US87" s="308"/>
      <c r="UT87" s="308"/>
      <c r="UU87" s="308"/>
      <c r="UV87" s="308"/>
      <c r="UW87" s="308"/>
      <c r="UX87" s="308"/>
      <c r="UY87" s="308"/>
      <c r="UZ87" s="308"/>
      <c r="VA87" s="308"/>
      <c r="VB87" s="308"/>
      <c r="VC87" s="308"/>
      <c r="VD87" s="308"/>
      <c r="VE87" s="308"/>
      <c r="VF87" s="308"/>
      <c r="VG87" s="308"/>
      <c r="VH87" s="308"/>
      <c r="VI87" s="308"/>
      <c r="VJ87" s="308"/>
      <c r="VK87" s="308"/>
      <c r="VL87" s="308"/>
      <c r="VM87" s="308"/>
      <c r="VN87" s="308"/>
      <c r="VO87" s="308"/>
      <c r="VP87" s="308"/>
      <c r="VQ87" s="308"/>
      <c r="VR87" s="308"/>
      <c r="VS87" s="308"/>
      <c r="VT87" s="308"/>
      <c r="VU87" s="308"/>
      <c r="VV87" s="308"/>
      <c r="VW87" s="308"/>
      <c r="VX87" s="308"/>
      <c r="VY87" s="308"/>
      <c r="VZ87" s="308"/>
      <c r="WA87" s="308"/>
      <c r="WB87" s="308"/>
      <c r="WC87" s="308"/>
      <c r="WD87" s="308"/>
      <c r="WE87" s="308"/>
      <c r="WF87" s="308"/>
      <c r="WG87" s="308"/>
      <c r="WH87" s="308"/>
      <c r="WI87" s="308"/>
      <c r="WJ87" s="308"/>
      <c r="WK87" s="308"/>
      <c r="WL87" s="308"/>
      <c r="WM87" s="308"/>
      <c r="WN87" s="308"/>
      <c r="WO87" s="308"/>
      <c r="WP87" s="308"/>
      <c r="WQ87" s="308"/>
      <c r="WR87" s="308"/>
      <c r="WS87" s="308"/>
      <c r="WT87" s="308"/>
      <c r="WU87" s="308"/>
      <c r="WV87" s="308"/>
      <c r="WW87" s="308"/>
      <c r="WX87" s="308"/>
      <c r="WY87" s="308"/>
      <c r="WZ87" s="308"/>
      <c r="XA87" s="308"/>
      <c r="XB87" s="308"/>
      <c r="XC87" s="308"/>
      <c r="XD87" s="308"/>
      <c r="XE87" s="308"/>
      <c r="XF87" s="308"/>
      <c r="XG87" s="308"/>
      <c r="XH87" s="308"/>
      <c r="XI87" s="308"/>
      <c r="XJ87" s="308"/>
      <c r="XK87" s="308"/>
      <c r="XL87" s="308"/>
      <c r="XM87" s="308"/>
      <c r="XN87" s="308"/>
      <c r="XO87" s="308"/>
      <c r="XP87" s="308"/>
      <c r="XQ87" s="308"/>
      <c r="XR87" s="308"/>
      <c r="XS87" s="308"/>
      <c r="XT87" s="308"/>
      <c r="XU87" s="308"/>
      <c r="XV87" s="308"/>
      <c r="XW87" s="308"/>
      <c r="XX87" s="308"/>
      <c r="XY87" s="308"/>
      <c r="XZ87" s="308"/>
      <c r="YA87" s="308"/>
      <c r="YB87" s="308"/>
      <c r="YC87" s="308"/>
      <c r="YD87" s="308"/>
      <c r="YE87" s="308"/>
      <c r="YF87" s="308"/>
      <c r="YG87" s="308"/>
      <c r="YH87" s="308"/>
      <c r="YI87" s="308"/>
      <c r="YJ87" s="308"/>
      <c r="YK87" s="308"/>
      <c r="YL87" s="308"/>
      <c r="YM87" s="308"/>
      <c r="YN87" s="308"/>
      <c r="YO87" s="308"/>
      <c r="YP87" s="308"/>
      <c r="YQ87" s="308"/>
      <c r="YR87" s="308"/>
      <c r="YS87" s="308"/>
      <c r="YT87" s="308"/>
      <c r="YU87" s="308"/>
      <c r="YV87" s="308"/>
      <c r="YW87" s="308"/>
      <c r="YX87" s="308"/>
      <c r="YY87" s="308"/>
      <c r="YZ87" s="308"/>
      <c r="ZA87" s="308"/>
      <c r="ZB87" s="308"/>
      <c r="ZC87" s="308"/>
      <c r="ZD87" s="308"/>
      <c r="ZE87" s="308"/>
      <c r="ZF87" s="308"/>
      <c r="ZG87" s="308"/>
      <c r="ZH87" s="308"/>
      <c r="ZI87" s="308"/>
      <c r="ZJ87" s="308"/>
      <c r="ZK87" s="308"/>
      <c r="ZL87" s="308"/>
      <c r="ZM87" s="308"/>
      <c r="ZN87" s="308"/>
      <c r="ZO87" s="308"/>
      <c r="ZP87" s="308"/>
      <c r="ZQ87" s="308"/>
      <c r="ZR87" s="308"/>
      <c r="ZS87" s="308"/>
      <c r="ZT87" s="308"/>
      <c r="ZU87" s="308"/>
      <c r="ZV87" s="308"/>
      <c r="ZW87" s="308"/>
      <c r="ZX87" s="308"/>
      <c r="ZY87" s="308"/>
      <c r="ZZ87" s="308"/>
      <c r="AAA87" s="308"/>
      <c r="AAB87" s="308"/>
      <c r="AAC87" s="308"/>
      <c r="AAD87" s="308"/>
      <c r="AAE87" s="308"/>
      <c r="AAF87" s="308"/>
      <c r="AAG87" s="308"/>
      <c r="AAH87" s="308"/>
      <c r="AAI87" s="308"/>
      <c r="AAJ87" s="308"/>
      <c r="AAK87" s="308"/>
      <c r="AAL87" s="308"/>
      <c r="AAM87" s="308"/>
      <c r="AAN87" s="308"/>
      <c r="AAO87" s="308"/>
      <c r="AAP87" s="308"/>
      <c r="AAQ87" s="308"/>
      <c r="AAR87" s="308"/>
      <c r="AAS87" s="308"/>
      <c r="AAT87" s="308"/>
      <c r="AAU87" s="308"/>
      <c r="AAV87" s="308"/>
      <c r="AAW87" s="308"/>
      <c r="AAX87" s="308"/>
      <c r="AAY87" s="308"/>
      <c r="AAZ87" s="308"/>
      <c r="ABA87" s="308"/>
      <c r="ABB87" s="308"/>
      <c r="ABC87" s="308"/>
      <c r="ABD87" s="308"/>
      <c r="ABE87" s="308"/>
      <c r="ABF87" s="308"/>
      <c r="ABG87" s="308"/>
      <c r="ABH87" s="308"/>
      <c r="ABI87" s="308"/>
      <c r="ABJ87" s="308"/>
      <c r="ABK87" s="308"/>
      <c r="ABL87" s="308"/>
      <c r="ABM87" s="308"/>
      <c r="ABN87" s="308"/>
      <c r="ABO87" s="308"/>
      <c r="ABP87" s="308"/>
      <c r="ABQ87" s="308"/>
      <c r="ABR87" s="308"/>
      <c r="ABS87" s="308"/>
      <c r="ABT87" s="308"/>
      <c r="ABU87" s="308"/>
      <c r="ABV87" s="308"/>
      <c r="ABW87" s="308"/>
      <c r="ABX87" s="308"/>
      <c r="ABY87" s="308"/>
      <c r="ABZ87" s="308"/>
      <c r="ACA87" s="308"/>
      <c r="ACB87" s="308"/>
      <c r="ACC87" s="308"/>
      <c r="ACD87" s="308"/>
      <c r="ACE87" s="308"/>
      <c r="ACF87" s="308"/>
      <c r="ACG87" s="308"/>
      <c r="ACH87" s="308"/>
      <c r="ACI87" s="308"/>
      <c r="ACJ87" s="308"/>
      <c r="ACK87" s="308"/>
      <c r="ACL87" s="308"/>
      <c r="ACM87" s="308"/>
      <c r="ACN87" s="308"/>
      <c r="ACO87" s="308"/>
      <c r="ACP87" s="308"/>
      <c r="ACQ87" s="308"/>
      <c r="ACR87" s="308"/>
      <c r="ACS87" s="308"/>
      <c r="ACT87" s="308"/>
      <c r="ACU87" s="308"/>
      <c r="ACV87" s="308"/>
      <c r="ACW87" s="308"/>
      <c r="ACX87" s="308"/>
      <c r="ACY87" s="308"/>
      <c r="ACZ87" s="308"/>
      <c r="ADA87" s="308"/>
      <c r="ADB87" s="308"/>
      <c r="ADC87" s="308"/>
      <c r="ADD87" s="308"/>
      <c r="ADE87" s="308"/>
      <c r="ADF87" s="308"/>
      <c r="ADG87" s="308"/>
      <c r="ADH87" s="308"/>
      <c r="ADI87" s="308"/>
      <c r="ADJ87" s="308"/>
      <c r="ADK87" s="308"/>
      <c r="ADL87" s="308"/>
      <c r="ADM87" s="308"/>
      <c r="ADN87" s="308"/>
      <c r="ADO87" s="308"/>
      <c r="ADP87" s="308"/>
      <c r="ADQ87" s="308"/>
      <c r="ADR87" s="308"/>
      <c r="ADS87" s="308"/>
      <c r="ADT87" s="308"/>
      <c r="ADU87" s="308"/>
      <c r="ADV87" s="308"/>
      <c r="ADW87" s="308"/>
      <c r="ADX87" s="308"/>
      <c r="ADY87" s="308"/>
      <c r="ADZ87" s="308"/>
      <c r="AEA87" s="308"/>
      <c r="AEB87" s="308"/>
      <c r="AEC87" s="308"/>
      <c r="AED87" s="308"/>
      <c r="AEE87" s="308"/>
      <c r="AEF87" s="308"/>
      <c r="AEG87" s="308"/>
      <c r="AEH87" s="308"/>
      <c r="AEI87" s="308"/>
      <c r="AEJ87" s="308"/>
      <c r="AEK87" s="308"/>
      <c r="AEL87" s="308"/>
      <c r="AEM87" s="308"/>
      <c r="AEN87" s="308"/>
      <c r="AEO87" s="308"/>
      <c r="AEP87" s="308"/>
      <c r="AEQ87" s="308"/>
      <c r="AER87" s="308"/>
      <c r="AES87" s="308"/>
      <c r="AET87" s="308"/>
      <c r="AEU87" s="308"/>
      <c r="AEV87" s="308"/>
      <c r="AEW87" s="308"/>
      <c r="AEX87" s="308"/>
      <c r="AEY87" s="308"/>
      <c r="AEZ87" s="308"/>
      <c r="AFA87" s="308"/>
      <c r="AFB87" s="308"/>
      <c r="AFC87" s="308"/>
      <c r="AFD87" s="308"/>
      <c r="AFE87" s="308"/>
      <c r="AFF87" s="308"/>
      <c r="AFG87" s="308"/>
      <c r="AFH87" s="308"/>
      <c r="AFI87" s="308"/>
      <c r="AFJ87" s="308"/>
      <c r="AFK87" s="308"/>
      <c r="AFL87" s="308"/>
      <c r="AFM87" s="308"/>
      <c r="AFN87" s="308"/>
      <c r="AFO87" s="308"/>
      <c r="AFP87" s="308"/>
      <c r="AFQ87" s="308"/>
      <c r="AFR87" s="308"/>
      <c r="AFS87" s="308"/>
      <c r="AFT87" s="308"/>
      <c r="AFU87" s="308"/>
      <c r="AFV87" s="308"/>
      <c r="AFW87" s="308"/>
      <c r="AFX87" s="308"/>
      <c r="AFY87" s="308"/>
      <c r="AFZ87" s="308"/>
      <c r="AGA87" s="308"/>
      <c r="AGB87" s="308"/>
      <c r="AGC87" s="308"/>
      <c r="AGD87" s="308"/>
      <c r="AGE87" s="308"/>
      <c r="AGF87" s="308"/>
      <c r="AGG87" s="308"/>
      <c r="AGH87" s="308"/>
      <c r="AGI87" s="308"/>
      <c r="AGJ87" s="308"/>
      <c r="AGK87" s="308"/>
      <c r="AGL87" s="308"/>
      <c r="AGM87" s="308"/>
      <c r="AGN87" s="308"/>
      <c r="AGO87" s="308"/>
      <c r="AGP87" s="308"/>
      <c r="AGQ87" s="308"/>
      <c r="AGR87" s="308"/>
      <c r="AGS87" s="308"/>
      <c r="AGT87" s="308"/>
      <c r="AGU87" s="308"/>
      <c r="AGV87" s="308"/>
      <c r="AGW87" s="308"/>
      <c r="AGX87" s="308"/>
      <c r="AGY87" s="308"/>
      <c r="AGZ87" s="308"/>
      <c r="AHA87" s="308"/>
      <c r="AHB87" s="308"/>
      <c r="AHC87" s="308"/>
      <c r="AHD87" s="308"/>
      <c r="AHE87" s="308"/>
      <c r="AHF87" s="308"/>
      <c r="AHG87" s="308"/>
      <c r="AHH87" s="308"/>
      <c r="AHI87" s="308"/>
      <c r="AHJ87" s="308"/>
      <c r="AHK87" s="308"/>
      <c r="AHL87" s="308"/>
      <c r="AHM87" s="308"/>
      <c r="AHN87" s="308"/>
      <c r="AHO87" s="308"/>
      <c r="AHP87" s="308"/>
      <c r="AHQ87" s="308"/>
      <c r="AHR87" s="308"/>
      <c r="AHS87" s="308"/>
      <c r="AHT87" s="308"/>
      <c r="AHU87" s="308"/>
      <c r="AHV87" s="308"/>
      <c r="AHW87" s="308"/>
      <c r="AHX87" s="308"/>
      <c r="AHY87" s="308"/>
      <c r="AHZ87" s="308"/>
      <c r="AIA87" s="308"/>
      <c r="AIB87" s="308"/>
      <c r="AIC87" s="308"/>
      <c r="AID87" s="308"/>
      <c r="AIE87" s="308"/>
      <c r="AIF87" s="308"/>
      <c r="AIG87" s="308"/>
      <c r="AIH87" s="308"/>
      <c r="AII87" s="308"/>
      <c r="AIJ87" s="308"/>
      <c r="AIK87" s="308"/>
      <c r="AIL87" s="308"/>
      <c r="AIM87" s="308"/>
      <c r="AIN87" s="308"/>
      <c r="AIO87" s="308"/>
      <c r="AIP87" s="308"/>
      <c r="AIQ87" s="308"/>
      <c r="AIR87" s="308"/>
      <c r="AIS87" s="308"/>
      <c r="AIT87" s="308"/>
      <c r="AIU87" s="308"/>
      <c r="AIV87" s="308"/>
      <c r="AIW87" s="308"/>
      <c r="AIX87" s="308"/>
      <c r="AIY87" s="308"/>
      <c r="AIZ87" s="308"/>
      <c r="AJA87" s="308"/>
      <c r="AJB87" s="308"/>
      <c r="AJC87" s="308"/>
    </row>
    <row r="88" spans="1:940" s="546" customFormat="1">
      <c r="A88" s="113">
        <f t="shared" si="55"/>
        <v>77</v>
      </c>
      <c r="B88" s="113">
        <v>1527</v>
      </c>
      <c r="C88" s="113" t="s">
        <v>300</v>
      </c>
      <c r="D88" s="117">
        <v>3000000</v>
      </c>
      <c r="E88" s="117">
        <v>3000000</v>
      </c>
      <c r="F88" s="117">
        <f t="shared" si="56"/>
        <v>0</v>
      </c>
      <c r="G88" s="117">
        <v>2000000</v>
      </c>
      <c r="H88" s="117">
        <v>815200.42</v>
      </c>
      <c r="I88" s="117"/>
      <c r="J88" s="117"/>
      <c r="K88" s="117">
        <f t="shared" si="43"/>
        <v>0</v>
      </c>
      <c r="L88" s="117">
        <f t="shared" si="44"/>
        <v>815200.42</v>
      </c>
      <c r="M88" s="117">
        <f>P88+S88-1000000</f>
        <v>184799.58000000007</v>
      </c>
      <c r="N88" s="117">
        <f>1000000-500000</f>
        <v>500000</v>
      </c>
      <c r="O88" s="117">
        <f t="shared" si="57"/>
        <v>1500000</v>
      </c>
      <c r="P88" s="117">
        <f t="shared" si="45"/>
        <v>1184799.58</v>
      </c>
      <c r="Q88" s="117"/>
      <c r="R88" s="117"/>
      <c r="S88" s="117">
        <f t="shared" si="46"/>
        <v>0</v>
      </c>
      <c r="T88" s="117">
        <f t="shared" si="47"/>
        <v>1000000</v>
      </c>
      <c r="U88" s="117">
        <f t="shared" si="48"/>
        <v>-500000</v>
      </c>
      <c r="V88" s="117">
        <f t="shared" si="49"/>
        <v>-500000</v>
      </c>
      <c r="W88" s="543"/>
      <c r="X88" s="117"/>
      <c r="Y88" s="117"/>
      <c r="Z88" s="113"/>
      <c r="AA88" s="113">
        <v>732000</v>
      </c>
      <c r="AB88" s="117"/>
      <c r="AC88" s="117"/>
      <c r="AD88" s="117">
        <v>-500000</v>
      </c>
      <c r="AE88" s="117"/>
      <c r="AF88" s="117"/>
      <c r="AG88" s="117"/>
      <c r="AH88" s="117"/>
      <c r="AI88" s="117"/>
      <c r="AJ88" s="117"/>
      <c r="AK88" s="117">
        <f t="shared" si="24"/>
        <v>-500000</v>
      </c>
      <c r="AL88" s="565"/>
      <c r="AM88" s="566">
        <f t="shared" si="50"/>
        <v>-500000</v>
      </c>
      <c r="AN88" s="117">
        <f t="shared" si="51"/>
        <v>0</v>
      </c>
      <c r="AO88" s="117">
        <f t="shared" si="52"/>
        <v>-500000</v>
      </c>
      <c r="AP88" s="565"/>
      <c r="AQ88" s="565"/>
      <c r="AR88" s="565"/>
      <c r="AS88" s="565"/>
      <c r="AT88" s="117">
        <f t="shared" si="53"/>
        <v>0</v>
      </c>
      <c r="AU88" s="565"/>
      <c r="AV88" s="565"/>
      <c r="AW88" s="565"/>
      <c r="AX88" s="565"/>
      <c r="AY88" s="117">
        <f t="shared" si="54"/>
        <v>0</v>
      </c>
      <c r="AZ88" s="565"/>
      <c r="BA88" s="565"/>
      <c r="BB88" s="565"/>
      <c r="BC88" s="565"/>
      <c r="BD88" s="544"/>
      <c r="BE88" s="544"/>
      <c r="BF88" s="544"/>
      <c r="BG88" s="544"/>
      <c r="BH88" s="544"/>
      <c r="BI88" s="308"/>
      <c r="BJ88" s="308"/>
      <c r="BK88" s="308"/>
      <c r="BL88" s="308"/>
      <c r="BM88" s="308"/>
      <c r="BN88" s="308"/>
      <c r="BO88" s="308"/>
      <c r="BP88" s="308"/>
      <c r="BQ88" s="308"/>
      <c r="BR88" s="308"/>
      <c r="BS88" s="308"/>
      <c r="BT88" s="308"/>
      <c r="BU88" s="308"/>
      <c r="BV88" s="308"/>
      <c r="BW88" s="308"/>
      <c r="BX88" s="308"/>
      <c r="BY88" s="308"/>
      <c r="BZ88" s="308"/>
      <c r="CA88" s="308"/>
      <c r="CB88" s="308"/>
      <c r="CC88" s="308"/>
      <c r="CD88" s="308"/>
      <c r="CE88" s="308"/>
      <c r="CF88" s="308"/>
      <c r="CG88" s="308"/>
      <c r="CH88" s="308"/>
      <c r="CI88" s="308"/>
      <c r="CJ88" s="308"/>
      <c r="CK88" s="308"/>
      <c r="CL88" s="308"/>
      <c r="CM88" s="308"/>
      <c r="CN88" s="308"/>
      <c r="CO88" s="308"/>
      <c r="CP88" s="308"/>
      <c r="CQ88" s="308"/>
      <c r="CR88" s="308"/>
      <c r="CS88" s="308"/>
      <c r="CT88" s="308"/>
      <c r="CU88" s="308"/>
      <c r="CV88" s="308"/>
      <c r="CW88" s="308"/>
      <c r="CX88" s="308"/>
      <c r="CY88" s="308"/>
      <c r="CZ88" s="308"/>
      <c r="DA88" s="308"/>
      <c r="DB88" s="308"/>
      <c r="DC88" s="308"/>
      <c r="DD88" s="308"/>
      <c r="DE88" s="308"/>
      <c r="DF88" s="308"/>
      <c r="DG88" s="308"/>
      <c r="DH88" s="308"/>
      <c r="DI88" s="308"/>
      <c r="DJ88" s="308"/>
      <c r="DK88" s="308"/>
      <c r="DL88" s="308"/>
      <c r="DM88" s="308"/>
      <c r="DN88" s="308"/>
      <c r="DO88" s="308"/>
      <c r="DP88" s="308"/>
      <c r="DQ88" s="308"/>
      <c r="DR88" s="308"/>
      <c r="DS88" s="308"/>
      <c r="DT88" s="308"/>
      <c r="DU88" s="308"/>
      <c r="DV88" s="308"/>
      <c r="DW88" s="308"/>
      <c r="DX88" s="308"/>
      <c r="DY88" s="308"/>
      <c r="DZ88" s="308"/>
      <c r="EA88" s="308"/>
      <c r="EB88" s="308"/>
      <c r="EC88" s="308"/>
      <c r="ED88" s="308"/>
      <c r="EE88" s="308"/>
      <c r="EF88" s="308"/>
      <c r="EG88" s="308"/>
      <c r="EH88" s="308"/>
      <c r="EI88" s="308"/>
      <c r="EJ88" s="308"/>
      <c r="EK88" s="308"/>
      <c r="EL88" s="308"/>
      <c r="EM88" s="308"/>
      <c r="EN88" s="308"/>
      <c r="EO88" s="308"/>
      <c r="EP88" s="308"/>
      <c r="EQ88" s="308"/>
      <c r="ER88" s="308"/>
      <c r="ES88" s="308"/>
      <c r="ET88" s="308"/>
      <c r="EU88" s="308"/>
      <c r="EV88" s="308"/>
      <c r="EW88" s="308"/>
      <c r="EX88" s="308"/>
      <c r="EY88" s="308"/>
      <c r="EZ88" s="308"/>
      <c r="FA88" s="308"/>
      <c r="FB88" s="308"/>
      <c r="FC88" s="308"/>
      <c r="FD88" s="308"/>
      <c r="FE88" s="308"/>
      <c r="FF88" s="308"/>
      <c r="FG88" s="308"/>
      <c r="FH88" s="308"/>
      <c r="FI88" s="308"/>
      <c r="FJ88" s="308"/>
      <c r="FK88" s="308"/>
      <c r="FL88" s="308"/>
      <c r="FM88" s="308"/>
      <c r="FN88" s="308"/>
      <c r="FO88" s="308"/>
      <c r="FP88" s="308"/>
      <c r="FQ88" s="308"/>
      <c r="FR88" s="308"/>
      <c r="FS88" s="308"/>
      <c r="FT88" s="308"/>
      <c r="FU88" s="308"/>
      <c r="FV88" s="308"/>
      <c r="FW88" s="308"/>
      <c r="FX88" s="308"/>
      <c r="FY88" s="308"/>
      <c r="FZ88" s="308"/>
      <c r="GA88" s="308"/>
      <c r="GB88" s="308"/>
      <c r="GC88" s="308"/>
      <c r="GD88" s="308"/>
      <c r="GE88" s="308"/>
      <c r="GF88" s="308"/>
      <c r="GG88" s="308"/>
      <c r="GH88" s="308"/>
      <c r="GI88" s="308"/>
      <c r="GJ88" s="308"/>
      <c r="GK88" s="308"/>
      <c r="GL88" s="308"/>
      <c r="GM88" s="308"/>
      <c r="GN88" s="308"/>
      <c r="GO88" s="308"/>
      <c r="GP88" s="308"/>
      <c r="GQ88" s="308"/>
      <c r="GR88" s="308"/>
      <c r="GS88" s="308"/>
      <c r="GT88" s="308"/>
      <c r="GU88" s="308"/>
      <c r="GV88" s="308"/>
      <c r="GW88" s="308"/>
      <c r="GX88" s="308"/>
      <c r="GY88" s="308"/>
      <c r="GZ88" s="308"/>
      <c r="HA88" s="308"/>
      <c r="HB88" s="308"/>
      <c r="HC88" s="308"/>
      <c r="HD88" s="308"/>
      <c r="HE88" s="308"/>
      <c r="HF88" s="308"/>
      <c r="HG88" s="308"/>
      <c r="HH88" s="308"/>
      <c r="HI88" s="308"/>
      <c r="HJ88" s="308"/>
      <c r="HK88" s="308"/>
      <c r="HL88" s="308"/>
      <c r="HM88" s="308"/>
      <c r="HN88" s="308"/>
      <c r="HO88" s="308"/>
      <c r="HP88" s="308"/>
      <c r="HQ88" s="308"/>
      <c r="HR88" s="308"/>
      <c r="HS88" s="308"/>
      <c r="HT88" s="308"/>
      <c r="HU88" s="308"/>
      <c r="HV88" s="308"/>
      <c r="HW88" s="308"/>
      <c r="HX88" s="308"/>
      <c r="HY88" s="308"/>
      <c r="HZ88" s="308"/>
      <c r="IA88" s="308"/>
      <c r="IB88" s="308"/>
      <c r="IC88" s="308"/>
      <c r="ID88" s="308"/>
      <c r="IE88" s="308"/>
      <c r="IF88" s="308"/>
      <c r="IG88" s="308"/>
      <c r="IH88" s="308"/>
      <c r="II88" s="308"/>
      <c r="IJ88" s="308"/>
      <c r="IK88" s="308"/>
      <c r="IL88" s="308"/>
      <c r="IM88" s="308"/>
      <c r="IN88" s="308"/>
      <c r="IO88" s="308"/>
      <c r="IP88" s="308"/>
      <c r="IQ88" s="308"/>
      <c r="IR88" s="308"/>
      <c r="IS88" s="308"/>
      <c r="IT88" s="308"/>
      <c r="IU88" s="308"/>
      <c r="IV88" s="308"/>
      <c r="IW88" s="308"/>
      <c r="IX88" s="308"/>
      <c r="IY88" s="308"/>
      <c r="IZ88" s="308"/>
      <c r="JA88" s="308"/>
      <c r="JB88" s="308"/>
      <c r="JC88" s="308"/>
      <c r="JD88" s="308"/>
      <c r="JE88" s="308"/>
      <c r="JF88" s="308"/>
      <c r="JG88" s="308"/>
      <c r="JH88" s="308"/>
      <c r="JI88" s="308"/>
      <c r="JJ88" s="308"/>
      <c r="JK88" s="308"/>
      <c r="JL88" s="308"/>
      <c r="JM88" s="308"/>
      <c r="JN88" s="308"/>
      <c r="JO88" s="308"/>
      <c r="JP88" s="308"/>
      <c r="JQ88" s="308"/>
      <c r="JR88" s="308"/>
      <c r="JS88" s="308"/>
      <c r="JT88" s="308"/>
      <c r="JU88" s="308"/>
      <c r="JV88" s="308"/>
      <c r="JW88" s="308"/>
      <c r="JX88" s="308"/>
      <c r="JY88" s="308"/>
      <c r="JZ88" s="308"/>
      <c r="KA88" s="308"/>
      <c r="KB88" s="308"/>
      <c r="KC88" s="308"/>
      <c r="KD88" s="308"/>
      <c r="KE88" s="308"/>
      <c r="KF88" s="308"/>
      <c r="KG88" s="308"/>
      <c r="KH88" s="308"/>
      <c r="KI88" s="308"/>
      <c r="KJ88" s="308"/>
      <c r="KK88" s="308"/>
      <c r="KL88" s="308"/>
      <c r="KM88" s="308"/>
      <c r="KN88" s="308"/>
      <c r="KO88" s="308"/>
      <c r="KP88" s="308"/>
      <c r="KQ88" s="308"/>
      <c r="KR88" s="308"/>
      <c r="KS88" s="308"/>
      <c r="KT88" s="308"/>
      <c r="KU88" s="308"/>
      <c r="KV88" s="308"/>
      <c r="KW88" s="308"/>
      <c r="KX88" s="308"/>
      <c r="KY88" s="308"/>
      <c r="KZ88" s="308"/>
      <c r="LA88" s="308"/>
      <c r="LB88" s="308"/>
      <c r="LC88" s="308"/>
      <c r="LD88" s="308"/>
      <c r="LE88" s="308"/>
      <c r="LF88" s="308"/>
      <c r="LG88" s="308"/>
      <c r="LH88" s="308"/>
      <c r="LI88" s="308"/>
      <c r="LJ88" s="308"/>
      <c r="LK88" s="308"/>
      <c r="LL88" s="308"/>
      <c r="LM88" s="308"/>
      <c r="LN88" s="308"/>
      <c r="LO88" s="308"/>
      <c r="LP88" s="308"/>
      <c r="LQ88" s="308"/>
      <c r="LR88" s="308"/>
      <c r="LS88" s="308"/>
      <c r="LT88" s="308"/>
      <c r="LU88" s="308"/>
      <c r="LV88" s="308"/>
      <c r="LW88" s="308"/>
      <c r="LX88" s="308"/>
      <c r="LY88" s="308"/>
      <c r="LZ88" s="308"/>
      <c r="MA88" s="308"/>
      <c r="MB88" s="308"/>
      <c r="MC88" s="308"/>
      <c r="MD88" s="308"/>
      <c r="ME88" s="308"/>
      <c r="MF88" s="308"/>
      <c r="MG88" s="308"/>
      <c r="MH88" s="308"/>
      <c r="MI88" s="308"/>
      <c r="MJ88" s="308"/>
      <c r="MK88" s="308"/>
      <c r="ML88" s="308"/>
      <c r="MM88" s="308"/>
      <c r="MN88" s="308"/>
      <c r="MO88" s="308"/>
      <c r="MP88" s="308"/>
      <c r="MQ88" s="308"/>
      <c r="MR88" s="308"/>
      <c r="MS88" s="308"/>
      <c r="MT88" s="308"/>
      <c r="MU88" s="308"/>
      <c r="MV88" s="308"/>
      <c r="MW88" s="308"/>
      <c r="MX88" s="308"/>
      <c r="MY88" s="308"/>
      <c r="MZ88" s="308"/>
      <c r="NA88" s="308"/>
      <c r="NB88" s="308"/>
      <c r="NC88" s="308"/>
      <c r="ND88" s="308"/>
      <c r="NE88" s="308"/>
      <c r="NF88" s="308"/>
      <c r="NG88" s="308"/>
      <c r="NH88" s="308"/>
      <c r="NI88" s="308"/>
      <c r="NJ88" s="308"/>
      <c r="NK88" s="308"/>
      <c r="NL88" s="308"/>
      <c r="NM88" s="308"/>
      <c r="NN88" s="308"/>
      <c r="NO88" s="308"/>
      <c r="NP88" s="308"/>
      <c r="NQ88" s="308"/>
      <c r="NR88" s="308"/>
      <c r="NS88" s="308"/>
      <c r="NT88" s="308"/>
      <c r="NU88" s="308"/>
      <c r="NV88" s="308"/>
      <c r="NW88" s="308"/>
      <c r="NX88" s="308"/>
      <c r="NY88" s="308"/>
      <c r="NZ88" s="308"/>
      <c r="OA88" s="308"/>
      <c r="OB88" s="308"/>
      <c r="OC88" s="308"/>
      <c r="OD88" s="308"/>
      <c r="OE88" s="308"/>
      <c r="OF88" s="308"/>
      <c r="OG88" s="308"/>
      <c r="OH88" s="308"/>
      <c r="OI88" s="308"/>
      <c r="OJ88" s="308"/>
      <c r="OK88" s="308"/>
      <c r="OL88" s="308"/>
      <c r="OM88" s="308"/>
      <c r="ON88" s="308"/>
      <c r="OO88" s="308"/>
      <c r="OP88" s="308"/>
      <c r="OQ88" s="308"/>
      <c r="OR88" s="308"/>
      <c r="OS88" s="308"/>
      <c r="OT88" s="308"/>
      <c r="OU88" s="308"/>
      <c r="OV88" s="308"/>
      <c r="OW88" s="308"/>
      <c r="OX88" s="308"/>
      <c r="OY88" s="308"/>
      <c r="OZ88" s="308"/>
      <c r="PA88" s="308"/>
      <c r="PB88" s="308"/>
      <c r="PC88" s="308"/>
      <c r="PD88" s="308"/>
      <c r="PE88" s="308"/>
      <c r="PF88" s="308"/>
      <c r="PG88" s="308"/>
      <c r="PH88" s="308"/>
      <c r="PI88" s="308"/>
      <c r="PJ88" s="308"/>
      <c r="PK88" s="308"/>
      <c r="PL88" s="308"/>
      <c r="PM88" s="308"/>
      <c r="PN88" s="308"/>
      <c r="PO88" s="308"/>
      <c r="PP88" s="308"/>
      <c r="PQ88" s="308"/>
      <c r="PR88" s="308"/>
      <c r="PS88" s="308"/>
      <c r="PT88" s="308"/>
      <c r="PU88" s="308"/>
      <c r="PV88" s="308"/>
      <c r="PW88" s="308"/>
      <c r="PX88" s="308"/>
      <c r="PY88" s="308"/>
      <c r="PZ88" s="308"/>
      <c r="QA88" s="308"/>
      <c r="QB88" s="308"/>
      <c r="QC88" s="308"/>
      <c r="QD88" s="308"/>
      <c r="QE88" s="308"/>
      <c r="QF88" s="308"/>
      <c r="QG88" s="308"/>
      <c r="QH88" s="308"/>
      <c r="QI88" s="308"/>
      <c r="QJ88" s="308"/>
      <c r="QK88" s="308"/>
      <c r="QL88" s="308"/>
      <c r="QM88" s="308"/>
      <c r="QN88" s="308"/>
      <c r="QO88" s="308"/>
      <c r="QP88" s="308"/>
      <c r="QQ88" s="308"/>
      <c r="QR88" s="308"/>
      <c r="QS88" s="308"/>
      <c r="QT88" s="308"/>
      <c r="QU88" s="308"/>
      <c r="QV88" s="308"/>
      <c r="QW88" s="308"/>
      <c r="QX88" s="308"/>
      <c r="QY88" s="308"/>
      <c r="QZ88" s="308"/>
      <c r="RA88" s="308"/>
      <c r="RB88" s="308"/>
      <c r="RC88" s="308"/>
      <c r="RD88" s="308"/>
      <c r="RE88" s="308"/>
      <c r="RF88" s="308"/>
      <c r="RG88" s="308"/>
      <c r="RH88" s="308"/>
      <c r="RI88" s="308"/>
      <c r="RJ88" s="308"/>
      <c r="RK88" s="308"/>
      <c r="RL88" s="308"/>
      <c r="RM88" s="308"/>
      <c r="RN88" s="308"/>
      <c r="RO88" s="308"/>
      <c r="RP88" s="308"/>
      <c r="RQ88" s="308"/>
      <c r="RR88" s="308"/>
      <c r="RS88" s="308"/>
      <c r="RT88" s="308"/>
      <c r="RU88" s="308"/>
      <c r="RV88" s="308"/>
      <c r="RW88" s="308"/>
      <c r="RX88" s="308"/>
      <c r="RY88" s="308"/>
      <c r="RZ88" s="308"/>
      <c r="SA88" s="308"/>
      <c r="SB88" s="308"/>
      <c r="SC88" s="308"/>
      <c r="SD88" s="308"/>
      <c r="SE88" s="308"/>
      <c r="SF88" s="308"/>
      <c r="SG88" s="308"/>
      <c r="SH88" s="308"/>
      <c r="SI88" s="308"/>
      <c r="SJ88" s="308"/>
      <c r="SK88" s="308"/>
      <c r="SL88" s="308"/>
      <c r="SM88" s="308"/>
      <c r="SN88" s="308"/>
      <c r="SO88" s="308"/>
      <c r="SP88" s="308"/>
      <c r="SQ88" s="308"/>
      <c r="SR88" s="308"/>
      <c r="SS88" s="308"/>
      <c r="ST88" s="308"/>
      <c r="SU88" s="308"/>
      <c r="SV88" s="308"/>
      <c r="SW88" s="308"/>
      <c r="SX88" s="308"/>
      <c r="SY88" s="308"/>
      <c r="SZ88" s="308"/>
      <c r="TA88" s="308"/>
      <c r="TB88" s="308"/>
      <c r="TC88" s="308"/>
      <c r="TD88" s="308"/>
      <c r="TE88" s="308"/>
      <c r="TF88" s="308"/>
      <c r="TG88" s="308"/>
      <c r="TH88" s="308"/>
      <c r="TI88" s="308"/>
      <c r="TJ88" s="308"/>
      <c r="TK88" s="308"/>
      <c r="TL88" s="308"/>
      <c r="TM88" s="308"/>
      <c r="TN88" s="308"/>
      <c r="TO88" s="308"/>
      <c r="TP88" s="308"/>
      <c r="TQ88" s="308"/>
      <c r="TR88" s="308"/>
      <c r="TS88" s="308"/>
      <c r="TT88" s="308"/>
      <c r="TU88" s="308"/>
      <c r="TV88" s="308"/>
      <c r="TW88" s="308"/>
      <c r="TX88" s="308"/>
      <c r="TY88" s="308"/>
      <c r="TZ88" s="308"/>
      <c r="UA88" s="308"/>
      <c r="UB88" s="308"/>
      <c r="UC88" s="308"/>
      <c r="UD88" s="308"/>
      <c r="UE88" s="308"/>
      <c r="UF88" s="308"/>
      <c r="UG88" s="308"/>
      <c r="UH88" s="308"/>
      <c r="UI88" s="308"/>
      <c r="UJ88" s="308"/>
      <c r="UK88" s="308"/>
      <c r="UL88" s="308"/>
      <c r="UM88" s="308"/>
      <c r="UN88" s="308"/>
      <c r="UO88" s="308"/>
      <c r="UP88" s="308"/>
      <c r="UQ88" s="308"/>
      <c r="UR88" s="308"/>
      <c r="US88" s="308"/>
      <c r="UT88" s="308"/>
      <c r="UU88" s="308"/>
      <c r="UV88" s="308"/>
      <c r="UW88" s="308"/>
      <c r="UX88" s="308"/>
      <c r="UY88" s="308"/>
      <c r="UZ88" s="308"/>
      <c r="VA88" s="308"/>
      <c r="VB88" s="308"/>
      <c r="VC88" s="308"/>
      <c r="VD88" s="308"/>
      <c r="VE88" s="308"/>
      <c r="VF88" s="308"/>
      <c r="VG88" s="308"/>
      <c r="VH88" s="308"/>
      <c r="VI88" s="308"/>
      <c r="VJ88" s="308"/>
      <c r="VK88" s="308"/>
      <c r="VL88" s="308"/>
      <c r="VM88" s="308"/>
      <c r="VN88" s="308"/>
      <c r="VO88" s="308"/>
      <c r="VP88" s="308"/>
      <c r="VQ88" s="308"/>
      <c r="VR88" s="308"/>
      <c r="VS88" s="308"/>
      <c r="VT88" s="308"/>
      <c r="VU88" s="308"/>
      <c r="VV88" s="308"/>
      <c r="VW88" s="308"/>
      <c r="VX88" s="308"/>
      <c r="VY88" s="308"/>
      <c r="VZ88" s="308"/>
      <c r="WA88" s="308"/>
      <c r="WB88" s="308"/>
      <c r="WC88" s="308"/>
      <c r="WD88" s="308"/>
      <c r="WE88" s="308"/>
      <c r="WF88" s="308"/>
      <c r="WG88" s="308"/>
      <c r="WH88" s="308"/>
      <c r="WI88" s="308"/>
      <c r="WJ88" s="308"/>
      <c r="WK88" s="308"/>
      <c r="WL88" s="308"/>
      <c r="WM88" s="308"/>
      <c r="WN88" s="308"/>
      <c r="WO88" s="308"/>
      <c r="WP88" s="308"/>
      <c r="WQ88" s="308"/>
      <c r="WR88" s="308"/>
      <c r="WS88" s="308"/>
      <c r="WT88" s="308"/>
      <c r="WU88" s="308"/>
      <c r="WV88" s="308"/>
      <c r="WW88" s="308"/>
      <c r="WX88" s="308"/>
      <c r="WY88" s="308"/>
      <c r="WZ88" s="308"/>
      <c r="XA88" s="308"/>
      <c r="XB88" s="308"/>
      <c r="XC88" s="308"/>
      <c r="XD88" s="308"/>
      <c r="XE88" s="308"/>
      <c r="XF88" s="308"/>
      <c r="XG88" s="308"/>
      <c r="XH88" s="308"/>
      <c r="XI88" s="308"/>
      <c r="XJ88" s="308"/>
      <c r="XK88" s="308"/>
      <c r="XL88" s="308"/>
      <c r="XM88" s="308"/>
      <c r="XN88" s="308"/>
      <c r="XO88" s="308"/>
      <c r="XP88" s="308"/>
      <c r="XQ88" s="308"/>
      <c r="XR88" s="308"/>
      <c r="XS88" s="308"/>
      <c r="XT88" s="308"/>
      <c r="XU88" s="308"/>
      <c r="XV88" s="308"/>
      <c r="XW88" s="308"/>
      <c r="XX88" s="308"/>
      <c r="XY88" s="308"/>
      <c r="XZ88" s="308"/>
      <c r="YA88" s="308"/>
      <c r="YB88" s="308"/>
      <c r="YC88" s="308"/>
      <c r="YD88" s="308"/>
      <c r="YE88" s="308"/>
      <c r="YF88" s="308"/>
      <c r="YG88" s="308"/>
      <c r="YH88" s="308"/>
      <c r="YI88" s="308"/>
      <c r="YJ88" s="308"/>
      <c r="YK88" s="308"/>
      <c r="YL88" s="308"/>
      <c r="YM88" s="308"/>
      <c r="YN88" s="308"/>
      <c r="YO88" s="308"/>
      <c r="YP88" s="308"/>
      <c r="YQ88" s="308"/>
      <c r="YR88" s="308"/>
      <c r="YS88" s="308"/>
      <c r="YT88" s="308"/>
      <c r="YU88" s="308"/>
      <c r="YV88" s="308"/>
      <c r="YW88" s="308"/>
      <c r="YX88" s="308"/>
      <c r="YY88" s="308"/>
      <c r="YZ88" s="308"/>
      <c r="ZA88" s="308"/>
      <c r="ZB88" s="308"/>
      <c r="ZC88" s="308"/>
      <c r="ZD88" s="308"/>
      <c r="ZE88" s="308"/>
      <c r="ZF88" s="308"/>
      <c r="ZG88" s="308"/>
      <c r="ZH88" s="308"/>
      <c r="ZI88" s="308"/>
      <c r="ZJ88" s="308"/>
      <c r="ZK88" s="308"/>
      <c r="ZL88" s="308"/>
      <c r="ZM88" s="308"/>
      <c r="ZN88" s="308"/>
      <c r="ZO88" s="308"/>
      <c r="ZP88" s="308"/>
      <c r="ZQ88" s="308"/>
      <c r="ZR88" s="308"/>
      <c r="ZS88" s="308"/>
      <c r="ZT88" s="308"/>
      <c r="ZU88" s="308"/>
      <c r="ZV88" s="308"/>
      <c r="ZW88" s="308"/>
      <c r="ZX88" s="308"/>
      <c r="ZY88" s="308"/>
      <c r="ZZ88" s="308"/>
      <c r="AAA88" s="308"/>
      <c r="AAB88" s="308"/>
      <c r="AAC88" s="308"/>
      <c r="AAD88" s="308"/>
      <c r="AAE88" s="308"/>
      <c r="AAF88" s="308"/>
      <c r="AAG88" s="308"/>
      <c r="AAH88" s="308"/>
      <c r="AAI88" s="308"/>
      <c r="AAJ88" s="308"/>
      <c r="AAK88" s="308"/>
      <c r="AAL88" s="308"/>
      <c r="AAM88" s="308"/>
      <c r="AAN88" s="308"/>
      <c r="AAO88" s="308"/>
      <c r="AAP88" s="308"/>
      <c r="AAQ88" s="308"/>
      <c r="AAR88" s="308"/>
      <c r="AAS88" s="308"/>
      <c r="AAT88" s="308"/>
      <c r="AAU88" s="308"/>
      <c r="AAV88" s="308"/>
      <c r="AAW88" s="308"/>
      <c r="AAX88" s="308"/>
      <c r="AAY88" s="308"/>
      <c r="AAZ88" s="308"/>
      <c r="ABA88" s="308"/>
      <c r="ABB88" s="308"/>
      <c r="ABC88" s="308"/>
      <c r="ABD88" s="308"/>
      <c r="ABE88" s="308"/>
      <c r="ABF88" s="308"/>
      <c r="ABG88" s="308"/>
      <c r="ABH88" s="308"/>
      <c r="ABI88" s="308"/>
      <c r="ABJ88" s="308"/>
      <c r="ABK88" s="308"/>
      <c r="ABL88" s="308"/>
      <c r="ABM88" s="308"/>
      <c r="ABN88" s="308"/>
      <c r="ABO88" s="308"/>
      <c r="ABP88" s="308"/>
      <c r="ABQ88" s="308"/>
      <c r="ABR88" s="308"/>
      <c r="ABS88" s="308"/>
      <c r="ABT88" s="308"/>
      <c r="ABU88" s="308"/>
      <c r="ABV88" s="308"/>
      <c r="ABW88" s="308"/>
      <c r="ABX88" s="308"/>
      <c r="ABY88" s="308"/>
      <c r="ABZ88" s="308"/>
      <c r="ACA88" s="308"/>
      <c r="ACB88" s="308"/>
      <c r="ACC88" s="308"/>
      <c r="ACD88" s="308"/>
      <c r="ACE88" s="308"/>
      <c r="ACF88" s="308"/>
      <c r="ACG88" s="308"/>
      <c r="ACH88" s="308"/>
      <c r="ACI88" s="308"/>
      <c r="ACJ88" s="308"/>
      <c r="ACK88" s="308"/>
      <c r="ACL88" s="308"/>
      <c r="ACM88" s="308"/>
      <c r="ACN88" s="308"/>
      <c r="ACO88" s="308"/>
      <c r="ACP88" s="308"/>
      <c r="ACQ88" s="308"/>
      <c r="ACR88" s="308"/>
      <c r="ACS88" s="308"/>
      <c r="ACT88" s="308"/>
      <c r="ACU88" s="308"/>
      <c r="ACV88" s="308"/>
      <c r="ACW88" s="308"/>
      <c r="ACX88" s="308"/>
      <c r="ACY88" s="308"/>
      <c r="ACZ88" s="308"/>
      <c r="ADA88" s="308"/>
      <c r="ADB88" s="308"/>
      <c r="ADC88" s="308"/>
      <c r="ADD88" s="308"/>
      <c r="ADE88" s="308"/>
      <c r="ADF88" s="308"/>
      <c r="ADG88" s="308"/>
      <c r="ADH88" s="308"/>
      <c r="ADI88" s="308"/>
      <c r="ADJ88" s="308"/>
      <c r="ADK88" s="308"/>
      <c r="ADL88" s="308"/>
      <c r="ADM88" s="308"/>
      <c r="ADN88" s="308"/>
      <c r="ADO88" s="308"/>
      <c r="ADP88" s="308"/>
      <c r="ADQ88" s="308"/>
      <c r="ADR88" s="308"/>
      <c r="ADS88" s="308"/>
      <c r="ADT88" s="308"/>
      <c r="ADU88" s="308"/>
      <c r="ADV88" s="308"/>
      <c r="ADW88" s="308"/>
      <c r="ADX88" s="308"/>
      <c r="ADY88" s="308"/>
      <c r="ADZ88" s="308"/>
      <c r="AEA88" s="308"/>
      <c r="AEB88" s="308"/>
      <c r="AEC88" s="308"/>
      <c r="AED88" s="308"/>
      <c r="AEE88" s="308"/>
      <c r="AEF88" s="308"/>
      <c r="AEG88" s="308"/>
      <c r="AEH88" s="308"/>
      <c r="AEI88" s="308"/>
      <c r="AEJ88" s="308"/>
      <c r="AEK88" s="308"/>
      <c r="AEL88" s="308"/>
      <c r="AEM88" s="308"/>
      <c r="AEN88" s="308"/>
      <c r="AEO88" s="308"/>
      <c r="AEP88" s="308"/>
      <c r="AEQ88" s="308"/>
      <c r="AER88" s="308"/>
      <c r="AES88" s="308"/>
      <c r="AET88" s="308"/>
      <c r="AEU88" s="308"/>
      <c r="AEV88" s="308"/>
      <c r="AEW88" s="308"/>
      <c r="AEX88" s="308"/>
      <c r="AEY88" s="308"/>
      <c r="AEZ88" s="308"/>
      <c r="AFA88" s="308"/>
      <c r="AFB88" s="308"/>
      <c r="AFC88" s="308"/>
      <c r="AFD88" s="308"/>
      <c r="AFE88" s="308"/>
      <c r="AFF88" s="308"/>
      <c r="AFG88" s="308"/>
      <c r="AFH88" s="308"/>
      <c r="AFI88" s="308"/>
      <c r="AFJ88" s="308"/>
      <c r="AFK88" s="308"/>
      <c r="AFL88" s="308"/>
      <c r="AFM88" s="308"/>
      <c r="AFN88" s="308"/>
      <c r="AFO88" s="308"/>
      <c r="AFP88" s="308"/>
      <c r="AFQ88" s="308"/>
      <c r="AFR88" s="308"/>
      <c r="AFS88" s="308"/>
      <c r="AFT88" s="308"/>
      <c r="AFU88" s="308"/>
      <c r="AFV88" s="308"/>
      <c r="AFW88" s="308"/>
      <c r="AFX88" s="308"/>
      <c r="AFY88" s="308"/>
      <c r="AFZ88" s="308"/>
      <c r="AGA88" s="308"/>
      <c r="AGB88" s="308"/>
      <c r="AGC88" s="308"/>
      <c r="AGD88" s="308"/>
      <c r="AGE88" s="308"/>
      <c r="AGF88" s="308"/>
      <c r="AGG88" s="308"/>
      <c r="AGH88" s="308"/>
      <c r="AGI88" s="308"/>
      <c r="AGJ88" s="308"/>
      <c r="AGK88" s="308"/>
      <c r="AGL88" s="308"/>
      <c r="AGM88" s="308"/>
      <c r="AGN88" s="308"/>
      <c r="AGO88" s="308"/>
      <c r="AGP88" s="308"/>
      <c r="AGQ88" s="308"/>
      <c r="AGR88" s="308"/>
      <c r="AGS88" s="308"/>
      <c r="AGT88" s="308"/>
      <c r="AGU88" s="308"/>
      <c r="AGV88" s="308"/>
      <c r="AGW88" s="308"/>
      <c r="AGX88" s="308"/>
      <c r="AGY88" s="308"/>
      <c r="AGZ88" s="308"/>
      <c r="AHA88" s="308"/>
      <c r="AHB88" s="308"/>
      <c r="AHC88" s="308"/>
      <c r="AHD88" s="308"/>
      <c r="AHE88" s="308"/>
      <c r="AHF88" s="308"/>
      <c r="AHG88" s="308"/>
      <c r="AHH88" s="308"/>
      <c r="AHI88" s="308"/>
      <c r="AHJ88" s="308"/>
      <c r="AHK88" s="308"/>
      <c r="AHL88" s="308"/>
      <c r="AHM88" s="308"/>
      <c r="AHN88" s="308"/>
      <c r="AHO88" s="308"/>
      <c r="AHP88" s="308"/>
      <c r="AHQ88" s="308"/>
      <c r="AHR88" s="308"/>
      <c r="AHS88" s="308"/>
      <c r="AHT88" s="308"/>
      <c r="AHU88" s="308"/>
      <c r="AHV88" s="308"/>
      <c r="AHW88" s="308"/>
      <c r="AHX88" s="308"/>
      <c r="AHY88" s="308"/>
      <c r="AHZ88" s="308"/>
      <c r="AIA88" s="308"/>
      <c r="AIB88" s="308"/>
      <c r="AIC88" s="308"/>
      <c r="AID88" s="308"/>
      <c r="AIE88" s="308"/>
      <c r="AIF88" s="308"/>
      <c r="AIG88" s="308"/>
      <c r="AIH88" s="308"/>
      <c r="AII88" s="308"/>
      <c r="AIJ88" s="308"/>
      <c r="AIK88" s="308"/>
      <c r="AIL88" s="308"/>
      <c r="AIM88" s="308"/>
      <c r="AIN88" s="308"/>
      <c r="AIO88" s="308"/>
      <c r="AIP88" s="308"/>
      <c r="AIQ88" s="308"/>
      <c r="AIR88" s="308"/>
      <c r="AIS88" s="308"/>
      <c r="AIT88" s="308"/>
      <c r="AIU88" s="308"/>
      <c r="AIV88" s="308"/>
      <c r="AIW88" s="308"/>
      <c r="AIX88" s="308"/>
      <c r="AIY88" s="308"/>
      <c r="AIZ88" s="308"/>
      <c r="AJA88" s="308"/>
      <c r="AJB88" s="308"/>
      <c r="AJC88" s="308"/>
    </row>
    <row r="89" spans="1:940" s="546" customFormat="1">
      <c r="A89" s="113">
        <f t="shared" si="55"/>
        <v>78</v>
      </c>
      <c r="B89" s="113">
        <v>1660</v>
      </c>
      <c r="C89" s="113" t="s">
        <v>22</v>
      </c>
      <c r="D89" s="117">
        <v>2000000</v>
      </c>
      <c r="E89" s="117">
        <v>2000000</v>
      </c>
      <c r="F89" s="117">
        <f t="shared" si="56"/>
        <v>0</v>
      </c>
      <c r="G89" s="117">
        <v>150000</v>
      </c>
      <c r="H89" s="117">
        <v>85408</v>
      </c>
      <c r="I89" s="117"/>
      <c r="J89" s="117">
        <v>22522.5</v>
      </c>
      <c r="K89" s="117">
        <f t="shared" si="43"/>
        <v>22522.5</v>
      </c>
      <c r="L89" s="117">
        <f t="shared" si="44"/>
        <v>107930.5</v>
      </c>
      <c r="M89" s="117">
        <f>P89+S89</f>
        <v>42069.5</v>
      </c>
      <c r="N89" s="117">
        <f>1000000-500000</f>
        <v>500000</v>
      </c>
      <c r="O89" s="117">
        <f t="shared" si="57"/>
        <v>1350000</v>
      </c>
      <c r="P89" s="117">
        <f t="shared" si="45"/>
        <v>42069.5</v>
      </c>
      <c r="Q89" s="117"/>
      <c r="R89" s="117"/>
      <c r="S89" s="117">
        <f t="shared" si="46"/>
        <v>0</v>
      </c>
      <c r="T89" s="117">
        <f t="shared" si="47"/>
        <v>0</v>
      </c>
      <c r="U89" s="117">
        <f t="shared" si="48"/>
        <v>500000</v>
      </c>
      <c r="V89" s="117">
        <f t="shared" si="49"/>
        <v>500000</v>
      </c>
      <c r="W89" s="543"/>
      <c r="X89" s="117"/>
      <c r="Y89" s="117"/>
      <c r="Z89" s="113"/>
      <c r="AA89" s="113">
        <v>732000</v>
      </c>
      <c r="AB89" s="117"/>
      <c r="AC89" s="117"/>
      <c r="AD89" s="117"/>
      <c r="AE89" s="117">
        <v>200000</v>
      </c>
      <c r="AF89" s="117"/>
      <c r="AG89" s="117"/>
      <c r="AH89" s="117"/>
      <c r="AI89" s="117"/>
      <c r="AJ89" s="117"/>
      <c r="AK89" s="117">
        <f t="shared" si="24"/>
        <v>200000</v>
      </c>
      <c r="AL89" s="565"/>
      <c r="AM89" s="566">
        <f t="shared" si="50"/>
        <v>200000</v>
      </c>
      <c r="AN89" s="117">
        <f t="shared" si="51"/>
        <v>300000</v>
      </c>
      <c r="AO89" s="117">
        <f t="shared" si="52"/>
        <v>200000</v>
      </c>
      <c r="AP89" s="565"/>
      <c r="AQ89" s="565"/>
      <c r="AR89" s="565"/>
      <c r="AS89" s="565"/>
      <c r="AT89" s="117">
        <f t="shared" si="53"/>
        <v>0</v>
      </c>
      <c r="AU89" s="565"/>
      <c r="AV89" s="565"/>
      <c r="AW89" s="565"/>
      <c r="AX89" s="565"/>
      <c r="AY89" s="117">
        <f t="shared" si="54"/>
        <v>300000</v>
      </c>
      <c r="AZ89" s="565"/>
      <c r="BA89" s="565"/>
      <c r="BB89" s="565"/>
      <c r="BC89" s="565"/>
      <c r="BD89" s="544"/>
      <c r="BE89" s="544"/>
      <c r="BF89" s="544"/>
      <c r="BG89" s="544"/>
      <c r="BH89" s="544"/>
      <c r="BI89" s="308"/>
      <c r="BJ89" s="308"/>
      <c r="BK89" s="308"/>
      <c r="BL89" s="308"/>
      <c r="BM89" s="308"/>
      <c r="BN89" s="308"/>
      <c r="BO89" s="308"/>
      <c r="BP89" s="308"/>
      <c r="BQ89" s="308"/>
      <c r="BR89" s="308"/>
      <c r="BS89" s="308"/>
      <c r="BT89" s="308"/>
      <c r="BU89" s="308"/>
      <c r="BV89" s="308"/>
      <c r="BW89" s="308"/>
      <c r="BX89" s="308"/>
      <c r="BY89" s="308"/>
      <c r="BZ89" s="308"/>
      <c r="CA89" s="308"/>
      <c r="CB89" s="308"/>
      <c r="CC89" s="308"/>
      <c r="CD89" s="308"/>
      <c r="CE89" s="308"/>
      <c r="CF89" s="308"/>
      <c r="CG89" s="308"/>
      <c r="CH89" s="308"/>
      <c r="CI89" s="308"/>
      <c r="CJ89" s="308"/>
      <c r="CK89" s="308"/>
      <c r="CL89" s="308"/>
      <c r="CM89" s="308"/>
      <c r="CN89" s="308"/>
      <c r="CO89" s="308"/>
      <c r="CP89" s="308"/>
      <c r="CQ89" s="308"/>
      <c r="CR89" s="308"/>
      <c r="CS89" s="308"/>
      <c r="CT89" s="308"/>
      <c r="CU89" s="308"/>
      <c r="CV89" s="308"/>
      <c r="CW89" s="308"/>
      <c r="CX89" s="308"/>
      <c r="CY89" s="308"/>
      <c r="CZ89" s="308"/>
      <c r="DA89" s="308"/>
      <c r="DB89" s="308"/>
      <c r="DC89" s="308"/>
      <c r="DD89" s="308"/>
      <c r="DE89" s="308"/>
      <c r="DF89" s="308"/>
      <c r="DG89" s="308"/>
      <c r="DH89" s="308"/>
      <c r="DI89" s="308"/>
      <c r="DJ89" s="308"/>
      <c r="DK89" s="308"/>
      <c r="DL89" s="308"/>
      <c r="DM89" s="308"/>
      <c r="DN89" s="308"/>
      <c r="DO89" s="308"/>
      <c r="DP89" s="308"/>
      <c r="DQ89" s="308"/>
      <c r="DR89" s="308"/>
      <c r="DS89" s="308"/>
      <c r="DT89" s="308"/>
      <c r="DU89" s="308"/>
      <c r="DV89" s="308"/>
      <c r="DW89" s="308"/>
      <c r="DX89" s="308"/>
      <c r="DY89" s="308"/>
      <c r="DZ89" s="308"/>
      <c r="EA89" s="308"/>
      <c r="EB89" s="308"/>
      <c r="EC89" s="308"/>
      <c r="ED89" s="308"/>
      <c r="EE89" s="308"/>
      <c r="EF89" s="308"/>
      <c r="EG89" s="308"/>
      <c r="EH89" s="308"/>
      <c r="EI89" s="308"/>
      <c r="EJ89" s="308"/>
      <c r="EK89" s="308"/>
      <c r="EL89" s="308"/>
      <c r="EM89" s="308"/>
      <c r="EN89" s="308"/>
      <c r="EO89" s="308"/>
      <c r="EP89" s="308"/>
      <c r="EQ89" s="308"/>
      <c r="ER89" s="308"/>
      <c r="ES89" s="308"/>
      <c r="ET89" s="308"/>
      <c r="EU89" s="308"/>
      <c r="EV89" s="308"/>
      <c r="EW89" s="308"/>
      <c r="EX89" s="308"/>
      <c r="EY89" s="308"/>
      <c r="EZ89" s="308"/>
      <c r="FA89" s="308"/>
      <c r="FB89" s="308"/>
      <c r="FC89" s="308"/>
      <c r="FD89" s="308"/>
      <c r="FE89" s="308"/>
      <c r="FF89" s="308"/>
      <c r="FG89" s="308"/>
      <c r="FH89" s="308"/>
      <c r="FI89" s="308"/>
      <c r="FJ89" s="308"/>
      <c r="FK89" s="308"/>
      <c r="FL89" s="308"/>
      <c r="FM89" s="308"/>
      <c r="FN89" s="308"/>
      <c r="FO89" s="308"/>
      <c r="FP89" s="308"/>
      <c r="FQ89" s="308"/>
      <c r="FR89" s="308"/>
      <c r="FS89" s="308"/>
      <c r="FT89" s="308"/>
      <c r="FU89" s="308"/>
      <c r="FV89" s="308"/>
      <c r="FW89" s="308"/>
      <c r="FX89" s="308"/>
      <c r="FY89" s="308"/>
      <c r="FZ89" s="308"/>
      <c r="GA89" s="308"/>
      <c r="GB89" s="308"/>
      <c r="GC89" s="308"/>
      <c r="GD89" s="308"/>
      <c r="GE89" s="308"/>
      <c r="GF89" s="308"/>
      <c r="GG89" s="308"/>
      <c r="GH89" s="308"/>
      <c r="GI89" s="308"/>
      <c r="GJ89" s="308"/>
      <c r="GK89" s="308"/>
      <c r="GL89" s="308"/>
      <c r="GM89" s="308"/>
      <c r="GN89" s="308"/>
      <c r="GO89" s="308"/>
      <c r="GP89" s="308"/>
      <c r="GQ89" s="308"/>
      <c r="GR89" s="308"/>
      <c r="GS89" s="308"/>
      <c r="GT89" s="308"/>
      <c r="GU89" s="308"/>
      <c r="GV89" s="308"/>
      <c r="GW89" s="308"/>
      <c r="GX89" s="308"/>
      <c r="GY89" s="308"/>
      <c r="GZ89" s="308"/>
      <c r="HA89" s="308"/>
      <c r="HB89" s="308"/>
      <c r="HC89" s="308"/>
      <c r="HD89" s="308"/>
      <c r="HE89" s="308"/>
      <c r="HF89" s="308"/>
      <c r="HG89" s="308"/>
      <c r="HH89" s="308"/>
      <c r="HI89" s="308"/>
      <c r="HJ89" s="308"/>
      <c r="HK89" s="308"/>
      <c r="HL89" s="308"/>
      <c r="HM89" s="308"/>
      <c r="HN89" s="308"/>
      <c r="HO89" s="308"/>
      <c r="HP89" s="308"/>
      <c r="HQ89" s="308"/>
      <c r="HR89" s="308"/>
      <c r="HS89" s="308"/>
      <c r="HT89" s="308"/>
      <c r="HU89" s="308"/>
      <c r="HV89" s="308"/>
      <c r="HW89" s="308"/>
      <c r="HX89" s="308"/>
      <c r="HY89" s="308"/>
      <c r="HZ89" s="308"/>
      <c r="IA89" s="308"/>
      <c r="IB89" s="308"/>
      <c r="IC89" s="308"/>
      <c r="ID89" s="308"/>
      <c r="IE89" s="308"/>
      <c r="IF89" s="308"/>
      <c r="IG89" s="308"/>
      <c r="IH89" s="308"/>
      <c r="II89" s="308"/>
      <c r="IJ89" s="308"/>
      <c r="IK89" s="308"/>
      <c r="IL89" s="308"/>
      <c r="IM89" s="308"/>
      <c r="IN89" s="308"/>
      <c r="IO89" s="308"/>
      <c r="IP89" s="308"/>
      <c r="IQ89" s="308"/>
      <c r="IR89" s="308"/>
      <c r="IS89" s="308"/>
      <c r="IT89" s="308"/>
      <c r="IU89" s="308"/>
      <c r="IV89" s="308"/>
      <c r="IW89" s="308"/>
      <c r="IX89" s="308"/>
      <c r="IY89" s="308"/>
      <c r="IZ89" s="308"/>
      <c r="JA89" s="308"/>
      <c r="JB89" s="308"/>
      <c r="JC89" s="308"/>
      <c r="JD89" s="308"/>
      <c r="JE89" s="308"/>
      <c r="JF89" s="308"/>
      <c r="JG89" s="308"/>
      <c r="JH89" s="308"/>
      <c r="JI89" s="308"/>
      <c r="JJ89" s="308"/>
      <c r="JK89" s="308"/>
      <c r="JL89" s="308"/>
      <c r="JM89" s="308"/>
      <c r="JN89" s="308"/>
      <c r="JO89" s="308"/>
      <c r="JP89" s="308"/>
      <c r="JQ89" s="308"/>
      <c r="JR89" s="308"/>
      <c r="JS89" s="308"/>
      <c r="JT89" s="308"/>
      <c r="JU89" s="308"/>
      <c r="JV89" s="308"/>
      <c r="JW89" s="308"/>
      <c r="JX89" s="308"/>
      <c r="JY89" s="308"/>
      <c r="JZ89" s="308"/>
      <c r="KA89" s="308"/>
      <c r="KB89" s="308"/>
      <c r="KC89" s="308"/>
      <c r="KD89" s="308"/>
      <c r="KE89" s="308"/>
      <c r="KF89" s="308"/>
      <c r="KG89" s="308"/>
      <c r="KH89" s="308"/>
      <c r="KI89" s="308"/>
      <c r="KJ89" s="308"/>
      <c r="KK89" s="308"/>
      <c r="KL89" s="308"/>
      <c r="KM89" s="308"/>
      <c r="KN89" s="308"/>
      <c r="KO89" s="308"/>
      <c r="KP89" s="308"/>
      <c r="KQ89" s="308"/>
      <c r="KR89" s="308"/>
      <c r="KS89" s="308"/>
      <c r="KT89" s="308"/>
      <c r="KU89" s="308"/>
      <c r="KV89" s="308"/>
      <c r="KW89" s="308"/>
      <c r="KX89" s="308"/>
      <c r="KY89" s="308"/>
      <c r="KZ89" s="308"/>
      <c r="LA89" s="308"/>
      <c r="LB89" s="308"/>
      <c r="LC89" s="308"/>
      <c r="LD89" s="308"/>
      <c r="LE89" s="308"/>
      <c r="LF89" s="308"/>
      <c r="LG89" s="308"/>
      <c r="LH89" s="308"/>
      <c r="LI89" s="308"/>
      <c r="LJ89" s="308"/>
      <c r="LK89" s="308"/>
      <c r="LL89" s="308"/>
      <c r="LM89" s="308"/>
      <c r="LN89" s="308"/>
      <c r="LO89" s="308"/>
      <c r="LP89" s="308"/>
      <c r="LQ89" s="308"/>
      <c r="LR89" s="308"/>
      <c r="LS89" s="308"/>
      <c r="LT89" s="308"/>
      <c r="LU89" s="308"/>
      <c r="LV89" s="308"/>
      <c r="LW89" s="308"/>
      <c r="LX89" s="308"/>
      <c r="LY89" s="308"/>
      <c r="LZ89" s="308"/>
      <c r="MA89" s="308"/>
      <c r="MB89" s="308"/>
      <c r="MC89" s="308"/>
      <c r="MD89" s="308"/>
      <c r="ME89" s="308"/>
      <c r="MF89" s="308"/>
      <c r="MG89" s="308"/>
      <c r="MH89" s="308"/>
      <c r="MI89" s="308"/>
      <c r="MJ89" s="308"/>
      <c r="MK89" s="308"/>
      <c r="ML89" s="308"/>
      <c r="MM89" s="308"/>
      <c r="MN89" s="308"/>
      <c r="MO89" s="308"/>
      <c r="MP89" s="308"/>
      <c r="MQ89" s="308"/>
      <c r="MR89" s="308"/>
      <c r="MS89" s="308"/>
      <c r="MT89" s="308"/>
      <c r="MU89" s="308"/>
      <c r="MV89" s="308"/>
      <c r="MW89" s="308"/>
      <c r="MX89" s="308"/>
      <c r="MY89" s="308"/>
      <c r="MZ89" s="308"/>
      <c r="NA89" s="308"/>
      <c r="NB89" s="308"/>
      <c r="NC89" s="308"/>
      <c r="ND89" s="308"/>
      <c r="NE89" s="308"/>
      <c r="NF89" s="308"/>
      <c r="NG89" s="308"/>
      <c r="NH89" s="308"/>
      <c r="NI89" s="308"/>
      <c r="NJ89" s="308"/>
      <c r="NK89" s="308"/>
      <c r="NL89" s="308"/>
      <c r="NM89" s="308"/>
      <c r="NN89" s="308"/>
      <c r="NO89" s="308"/>
      <c r="NP89" s="308"/>
      <c r="NQ89" s="308"/>
      <c r="NR89" s="308"/>
      <c r="NS89" s="308"/>
      <c r="NT89" s="308"/>
      <c r="NU89" s="308"/>
      <c r="NV89" s="308"/>
      <c r="NW89" s="308"/>
      <c r="NX89" s="308"/>
      <c r="NY89" s="308"/>
      <c r="NZ89" s="308"/>
      <c r="OA89" s="308"/>
      <c r="OB89" s="308"/>
      <c r="OC89" s="308"/>
      <c r="OD89" s="308"/>
      <c r="OE89" s="308"/>
      <c r="OF89" s="308"/>
      <c r="OG89" s="308"/>
      <c r="OH89" s="308"/>
      <c r="OI89" s="308"/>
      <c r="OJ89" s="308"/>
      <c r="OK89" s="308"/>
      <c r="OL89" s="308"/>
      <c r="OM89" s="308"/>
      <c r="ON89" s="308"/>
      <c r="OO89" s="308"/>
      <c r="OP89" s="308"/>
      <c r="OQ89" s="308"/>
      <c r="OR89" s="308"/>
      <c r="OS89" s="308"/>
      <c r="OT89" s="308"/>
      <c r="OU89" s="308"/>
      <c r="OV89" s="308"/>
      <c r="OW89" s="308"/>
      <c r="OX89" s="308"/>
      <c r="OY89" s="308"/>
      <c r="OZ89" s="308"/>
      <c r="PA89" s="308"/>
      <c r="PB89" s="308"/>
      <c r="PC89" s="308"/>
      <c r="PD89" s="308"/>
      <c r="PE89" s="308"/>
      <c r="PF89" s="308"/>
      <c r="PG89" s="308"/>
      <c r="PH89" s="308"/>
      <c r="PI89" s="308"/>
      <c r="PJ89" s="308"/>
      <c r="PK89" s="308"/>
      <c r="PL89" s="308"/>
      <c r="PM89" s="308"/>
      <c r="PN89" s="308"/>
      <c r="PO89" s="308"/>
      <c r="PP89" s="308"/>
      <c r="PQ89" s="308"/>
      <c r="PR89" s="308"/>
      <c r="PS89" s="308"/>
      <c r="PT89" s="308"/>
      <c r="PU89" s="308"/>
      <c r="PV89" s="308"/>
      <c r="PW89" s="308"/>
      <c r="PX89" s="308"/>
      <c r="PY89" s="308"/>
      <c r="PZ89" s="308"/>
      <c r="QA89" s="308"/>
      <c r="QB89" s="308"/>
      <c r="QC89" s="308"/>
      <c r="QD89" s="308"/>
      <c r="QE89" s="308"/>
      <c r="QF89" s="308"/>
      <c r="QG89" s="308"/>
      <c r="QH89" s="308"/>
      <c r="QI89" s="308"/>
      <c r="QJ89" s="308"/>
      <c r="QK89" s="308"/>
      <c r="QL89" s="308"/>
      <c r="QM89" s="308"/>
      <c r="QN89" s="308"/>
      <c r="QO89" s="308"/>
      <c r="QP89" s="308"/>
      <c r="QQ89" s="308"/>
      <c r="QR89" s="308"/>
      <c r="QS89" s="308"/>
      <c r="QT89" s="308"/>
      <c r="QU89" s="308"/>
      <c r="QV89" s="308"/>
      <c r="QW89" s="308"/>
      <c r="QX89" s="308"/>
      <c r="QY89" s="308"/>
      <c r="QZ89" s="308"/>
      <c r="RA89" s="308"/>
      <c r="RB89" s="308"/>
      <c r="RC89" s="308"/>
      <c r="RD89" s="308"/>
      <c r="RE89" s="308"/>
      <c r="RF89" s="308"/>
      <c r="RG89" s="308"/>
      <c r="RH89" s="308"/>
      <c r="RI89" s="308"/>
      <c r="RJ89" s="308"/>
      <c r="RK89" s="308"/>
      <c r="RL89" s="308"/>
      <c r="RM89" s="308"/>
      <c r="RN89" s="308"/>
      <c r="RO89" s="308"/>
      <c r="RP89" s="308"/>
      <c r="RQ89" s="308"/>
      <c r="RR89" s="308"/>
      <c r="RS89" s="308"/>
      <c r="RT89" s="308"/>
      <c r="RU89" s="308"/>
      <c r="RV89" s="308"/>
      <c r="RW89" s="308"/>
      <c r="RX89" s="308"/>
      <c r="RY89" s="308"/>
      <c r="RZ89" s="308"/>
      <c r="SA89" s="308"/>
      <c r="SB89" s="308"/>
      <c r="SC89" s="308"/>
      <c r="SD89" s="308"/>
      <c r="SE89" s="308"/>
      <c r="SF89" s="308"/>
      <c r="SG89" s="308"/>
      <c r="SH89" s="308"/>
      <c r="SI89" s="308"/>
      <c r="SJ89" s="308"/>
      <c r="SK89" s="308"/>
      <c r="SL89" s="308"/>
      <c r="SM89" s="308"/>
      <c r="SN89" s="308"/>
      <c r="SO89" s="308"/>
      <c r="SP89" s="308"/>
      <c r="SQ89" s="308"/>
      <c r="SR89" s="308"/>
      <c r="SS89" s="308"/>
      <c r="ST89" s="308"/>
      <c r="SU89" s="308"/>
      <c r="SV89" s="308"/>
      <c r="SW89" s="308"/>
      <c r="SX89" s="308"/>
      <c r="SY89" s="308"/>
      <c r="SZ89" s="308"/>
      <c r="TA89" s="308"/>
      <c r="TB89" s="308"/>
      <c r="TC89" s="308"/>
      <c r="TD89" s="308"/>
      <c r="TE89" s="308"/>
      <c r="TF89" s="308"/>
      <c r="TG89" s="308"/>
      <c r="TH89" s="308"/>
      <c r="TI89" s="308"/>
      <c r="TJ89" s="308"/>
      <c r="TK89" s="308"/>
      <c r="TL89" s="308"/>
      <c r="TM89" s="308"/>
      <c r="TN89" s="308"/>
      <c r="TO89" s="308"/>
      <c r="TP89" s="308"/>
      <c r="TQ89" s="308"/>
      <c r="TR89" s="308"/>
      <c r="TS89" s="308"/>
      <c r="TT89" s="308"/>
      <c r="TU89" s="308"/>
      <c r="TV89" s="308"/>
      <c r="TW89" s="308"/>
      <c r="TX89" s="308"/>
      <c r="TY89" s="308"/>
      <c r="TZ89" s="308"/>
      <c r="UA89" s="308"/>
      <c r="UB89" s="308"/>
      <c r="UC89" s="308"/>
      <c r="UD89" s="308"/>
      <c r="UE89" s="308"/>
      <c r="UF89" s="308"/>
      <c r="UG89" s="308"/>
      <c r="UH89" s="308"/>
      <c r="UI89" s="308"/>
      <c r="UJ89" s="308"/>
      <c r="UK89" s="308"/>
      <c r="UL89" s="308"/>
      <c r="UM89" s="308"/>
      <c r="UN89" s="308"/>
      <c r="UO89" s="308"/>
      <c r="UP89" s="308"/>
      <c r="UQ89" s="308"/>
      <c r="UR89" s="308"/>
      <c r="US89" s="308"/>
      <c r="UT89" s="308"/>
      <c r="UU89" s="308"/>
      <c r="UV89" s="308"/>
      <c r="UW89" s="308"/>
      <c r="UX89" s="308"/>
      <c r="UY89" s="308"/>
      <c r="UZ89" s="308"/>
      <c r="VA89" s="308"/>
      <c r="VB89" s="308"/>
      <c r="VC89" s="308"/>
      <c r="VD89" s="308"/>
      <c r="VE89" s="308"/>
      <c r="VF89" s="308"/>
      <c r="VG89" s="308"/>
      <c r="VH89" s="308"/>
      <c r="VI89" s="308"/>
      <c r="VJ89" s="308"/>
      <c r="VK89" s="308"/>
      <c r="VL89" s="308"/>
      <c r="VM89" s="308"/>
      <c r="VN89" s="308"/>
      <c r="VO89" s="308"/>
      <c r="VP89" s="308"/>
      <c r="VQ89" s="308"/>
      <c r="VR89" s="308"/>
      <c r="VS89" s="308"/>
      <c r="VT89" s="308"/>
      <c r="VU89" s="308"/>
      <c r="VV89" s="308"/>
      <c r="VW89" s="308"/>
      <c r="VX89" s="308"/>
      <c r="VY89" s="308"/>
      <c r="VZ89" s="308"/>
      <c r="WA89" s="308"/>
      <c r="WB89" s="308"/>
      <c r="WC89" s="308"/>
      <c r="WD89" s="308"/>
      <c r="WE89" s="308"/>
      <c r="WF89" s="308"/>
      <c r="WG89" s="308"/>
      <c r="WH89" s="308"/>
      <c r="WI89" s="308"/>
      <c r="WJ89" s="308"/>
      <c r="WK89" s="308"/>
      <c r="WL89" s="308"/>
      <c r="WM89" s="308"/>
      <c r="WN89" s="308"/>
      <c r="WO89" s="308"/>
      <c r="WP89" s="308"/>
      <c r="WQ89" s="308"/>
      <c r="WR89" s="308"/>
      <c r="WS89" s="308"/>
      <c r="WT89" s="308"/>
      <c r="WU89" s="308"/>
      <c r="WV89" s="308"/>
      <c r="WW89" s="308"/>
      <c r="WX89" s="308"/>
      <c r="WY89" s="308"/>
      <c r="WZ89" s="308"/>
      <c r="XA89" s="308"/>
      <c r="XB89" s="308"/>
      <c r="XC89" s="308"/>
      <c r="XD89" s="308"/>
      <c r="XE89" s="308"/>
      <c r="XF89" s="308"/>
      <c r="XG89" s="308"/>
      <c r="XH89" s="308"/>
      <c r="XI89" s="308"/>
      <c r="XJ89" s="308"/>
      <c r="XK89" s="308"/>
      <c r="XL89" s="308"/>
      <c r="XM89" s="308"/>
      <c r="XN89" s="308"/>
      <c r="XO89" s="308"/>
      <c r="XP89" s="308"/>
      <c r="XQ89" s="308"/>
      <c r="XR89" s="308"/>
      <c r="XS89" s="308"/>
      <c r="XT89" s="308"/>
      <c r="XU89" s="308"/>
      <c r="XV89" s="308"/>
      <c r="XW89" s="308"/>
      <c r="XX89" s="308"/>
      <c r="XY89" s="308"/>
      <c r="XZ89" s="308"/>
      <c r="YA89" s="308"/>
      <c r="YB89" s="308"/>
      <c r="YC89" s="308"/>
      <c r="YD89" s="308"/>
      <c r="YE89" s="308"/>
      <c r="YF89" s="308"/>
      <c r="YG89" s="308"/>
      <c r="YH89" s="308"/>
      <c r="YI89" s="308"/>
      <c r="YJ89" s="308"/>
      <c r="YK89" s="308"/>
      <c r="YL89" s="308"/>
      <c r="YM89" s="308"/>
      <c r="YN89" s="308"/>
      <c r="YO89" s="308"/>
      <c r="YP89" s="308"/>
      <c r="YQ89" s="308"/>
      <c r="YR89" s="308"/>
      <c r="YS89" s="308"/>
      <c r="YT89" s="308"/>
      <c r="YU89" s="308"/>
      <c r="YV89" s="308"/>
      <c r="YW89" s="308"/>
      <c r="YX89" s="308"/>
      <c r="YY89" s="308"/>
      <c r="YZ89" s="308"/>
      <c r="ZA89" s="308"/>
      <c r="ZB89" s="308"/>
      <c r="ZC89" s="308"/>
      <c r="ZD89" s="308"/>
      <c r="ZE89" s="308"/>
      <c r="ZF89" s="308"/>
      <c r="ZG89" s="308"/>
      <c r="ZH89" s="308"/>
      <c r="ZI89" s="308"/>
      <c r="ZJ89" s="308"/>
      <c r="ZK89" s="308"/>
      <c r="ZL89" s="308"/>
      <c r="ZM89" s="308"/>
      <c r="ZN89" s="308"/>
      <c r="ZO89" s="308"/>
      <c r="ZP89" s="308"/>
      <c r="ZQ89" s="308"/>
      <c r="ZR89" s="308"/>
      <c r="ZS89" s="308"/>
      <c r="ZT89" s="308"/>
      <c r="ZU89" s="308"/>
      <c r="ZV89" s="308"/>
      <c r="ZW89" s="308"/>
      <c r="ZX89" s="308"/>
      <c r="ZY89" s="308"/>
      <c r="ZZ89" s="308"/>
      <c r="AAA89" s="308"/>
      <c r="AAB89" s="308"/>
      <c r="AAC89" s="308"/>
      <c r="AAD89" s="308"/>
      <c r="AAE89" s="308"/>
      <c r="AAF89" s="308"/>
      <c r="AAG89" s="308"/>
      <c r="AAH89" s="308"/>
      <c r="AAI89" s="308"/>
      <c r="AAJ89" s="308"/>
      <c r="AAK89" s="308"/>
      <c r="AAL89" s="308"/>
      <c r="AAM89" s="308"/>
      <c r="AAN89" s="308"/>
      <c r="AAO89" s="308"/>
      <c r="AAP89" s="308"/>
      <c r="AAQ89" s="308"/>
      <c r="AAR89" s="308"/>
      <c r="AAS89" s="308"/>
      <c r="AAT89" s="308"/>
      <c r="AAU89" s="308"/>
      <c r="AAV89" s="308"/>
      <c r="AAW89" s="308"/>
      <c r="AAX89" s="308"/>
      <c r="AAY89" s="308"/>
      <c r="AAZ89" s="308"/>
      <c r="ABA89" s="308"/>
      <c r="ABB89" s="308"/>
      <c r="ABC89" s="308"/>
      <c r="ABD89" s="308"/>
      <c r="ABE89" s="308"/>
      <c r="ABF89" s="308"/>
      <c r="ABG89" s="308"/>
      <c r="ABH89" s="308"/>
      <c r="ABI89" s="308"/>
      <c r="ABJ89" s="308"/>
      <c r="ABK89" s="308"/>
      <c r="ABL89" s="308"/>
      <c r="ABM89" s="308"/>
      <c r="ABN89" s="308"/>
      <c r="ABO89" s="308"/>
      <c r="ABP89" s="308"/>
      <c r="ABQ89" s="308"/>
      <c r="ABR89" s="308"/>
      <c r="ABS89" s="308"/>
      <c r="ABT89" s="308"/>
      <c r="ABU89" s="308"/>
      <c r="ABV89" s="308"/>
      <c r="ABW89" s="308"/>
      <c r="ABX89" s="308"/>
      <c r="ABY89" s="308"/>
      <c r="ABZ89" s="308"/>
      <c r="ACA89" s="308"/>
      <c r="ACB89" s="308"/>
      <c r="ACC89" s="308"/>
      <c r="ACD89" s="308"/>
      <c r="ACE89" s="308"/>
      <c r="ACF89" s="308"/>
      <c r="ACG89" s="308"/>
      <c r="ACH89" s="308"/>
      <c r="ACI89" s="308"/>
      <c r="ACJ89" s="308"/>
      <c r="ACK89" s="308"/>
      <c r="ACL89" s="308"/>
      <c r="ACM89" s="308"/>
      <c r="ACN89" s="308"/>
      <c r="ACO89" s="308"/>
      <c r="ACP89" s="308"/>
      <c r="ACQ89" s="308"/>
      <c r="ACR89" s="308"/>
      <c r="ACS89" s="308"/>
      <c r="ACT89" s="308"/>
      <c r="ACU89" s="308"/>
      <c r="ACV89" s="308"/>
      <c r="ACW89" s="308"/>
      <c r="ACX89" s="308"/>
      <c r="ACY89" s="308"/>
      <c r="ACZ89" s="308"/>
      <c r="ADA89" s="308"/>
      <c r="ADB89" s="308"/>
      <c r="ADC89" s="308"/>
      <c r="ADD89" s="308"/>
      <c r="ADE89" s="308"/>
      <c r="ADF89" s="308"/>
      <c r="ADG89" s="308"/>
      <c r="ADH89" s="308"/>
      <c r="ADI89" s="308"/>
      <c r="ADJ89" s="308"/>
      <c r="ADK89" s="308"/>
      <c r="ADL89" s="308"/>
      <c r="ADM89" s="308"/>
      <c r="ADN89" s="308"/>
      <c r="ADO89" s="308"/>
      <c r="ADP89" s="308"/>
      <c r="ADQ89" s="308"/>
      <c r="ADR89" s="308"/>
      <c r="ADS89" s="308"/>
      <c r="ADT89" s="308"/>
      <c r="ADU89" s="308"/>
      <c r="ADV89" s="308"/>
      <c r="ADW89" s="308"/>
      <c r="ADX89" s="308"/>
      <c r="ADY89" s="308"/>
      <c r="ADZ89" s="308"/>
      <c r="AEA89" s="308"/>
      <c r="AEB89" s="308"/>
      <c r="AEC89" s="308"/>
      <c r="AED89" s="308"/>
      <c r="AEE89" s="308"/>
      <c r="AEF89" s="308"/>
      <c r="AEG89" s="308"/>
      <c r="AEH89" s="308"/>
      <c r="AEI89" s="308"/>
      <c r="AEJ89" s="308"/>
      <c r="AEK89" s="308"/>
      <c r="AEL89" s="308"/>
      <c r="AEM89" s="308"/>
      <c r="AEN89" s="308"/>
      <c r="AEO89" s="308"/>
      <c r="AEP89" s="308"/>
      <c r="AEQ89" s="308"/>
      <c r="AER89" s="308"/>
      <c r="AES89" s="308"/>
      <c r="AET89" s="308"/>
      <c r="AEU89" s="308"/>
      <c r="AEV89" s="308"/>
      <c r="AEW89" s="308"/>
      <c r="AEX89" s="308"/>
      <c r="AEY89" s="308"/>
      <c r="AEZ89" s="308"/>
      <c r="AFA89" s="308"/>
      <c r="AFB89" s="308"/>
      <c r="AFC89" s="308"/>
      <c r="AFD89" s="308"/>
      <c r="AFE89" s="308"/>
      <c r="AFF89" s="308"/>
      <c r="AFG89" s="308"/>
      <c r="AFH89" s="308"/>
      <c r="AFI89" s="308"/>
      <c r="AFJ89" s="308"/>
      <c r="AFK89" s="308"/>
      <c r="AFL89" s="308"/>
      <c r="AFM89" s="308"/>
      <c r="AFN89" s="308"/>
      <c r="AFO89" s="308"/>
      <c r="AFP89" s="308"/>
      <c r="AFQ89" s="308"/>
      <c r="AFR89" s="308"/>
      <c r="AFS89" s="308"/>
      <c r="AFT89" s="308"/>
      <c r="AFU89" s="308"/>
      <c r="AFV89" s="308"/>
      <c r="AFW89" s="308"/>
      <c r="AFX89" s="308"/>
      <c r="AFY89" s="308"/>
      <c r="AFZ89" s="308"/>
      <c r="AGA89" s="308"/>
      <c r="AGB89" s="308"/>
      <c r="AGC89" s="308"/>
      <c r="AGD89" s="308"/>
      <c r="AGE89" s="308"/>
      <c r="AGF89" s="308"/>
      <c r="AGG89" s="308"/>
      <c r="AGH89" s="308"/>
      <c r="AGI89" s="308"/>
      <c r="AGJ89" s="308"/>
      <c r="AGK89" s="308"/>
      <c r="AGL89" s="308"/>
      <c r="AGM89" s="308"/>
      <c r="AGN89" s="308"/>
      <c r="AGO89" s="308"/>
      <c r="AGP89" s="308"/>
      <c r="AGQ89" s="308"/>
      <c r="AGR89" s="308"/>
      <c r="AGS89" s="308"/>
      <c r="AGT89" s="308"/>
      <c r="AGU89" s="308"/>
      <c r="AGV89" s="308"/>
      <c r="AGW89" s="308"/>
      <c r="AGX89" s="308"/>
      <c r="AGY89" s="308"/>
      <c r="AGZ89" s="308"/>
      <c r="AHA89" s="308"/>
      <c r="AHB89" s="308"/>
      <c r="AHC89" s="308"/>
      <c r="AHD89" s="308"/>
      <c r="AHE89" s="308"/>
      <c r="AHF89" s="308"/>
      <c r="AHG89" s="308"/>
      <c r="AHH89" s="308"/>
      <c r="AHI89" s="308"/>
      <c r="AHJ89" s="308"/>
      <c r="AHK89" s="308"/>
      <c r="AHL89" s="308"/>
      <c r="AHM89" s="308"/>
      <c r="AHN89" s="308"/>
      <c r="AHO89" s="308"/>
      <c r="AHP89" s="308"/>
      <c r="AHQ89" s="308"/>
      <c r="AHR89" s="308"/>
      <c r="AHS89" s="308"/>
      <c r="AHT89" s="308"/>
      <c r="AHU89" s="308"/>
      <c r="AHV89" s="308"/>
      <c r="AHW89" s="308"/>
      <c r="AHX89" s="308"/>
      <c r="AHY89" s="308"/>
      <c r="AHZ89" s="308"/>
      <c r="AIA89" s="308"/>
      <c r="AIB89" s="308"/>
      <c r="AIC89" s="308"/>
      <c r="AID89" s="308"/>
      <c r="AIE89" s="308"/>
      <c r="AIF89" s="308"/>
      <c r="AIG89" s="308"/>
      <c r="AIH89" s="308"/>
      <c r="AII89" s="308"/>
      <c r="AIJ89" s="308"/>
      <c r="AIK89" s="308"/>
      <c r="AIL89" s="308"/>
      <c r="AIM89" s="308"/>
      <c r="AIN89" s="308"/>
      <c r="AIO89" s="308"/>
      <c r="AIP89" s="308"/>
      <c r="AIQ89" s="308"/>
      <c r="AIR89" s="308"/>
      <c r="AIS89" s="308"/>
      <c r="AIT89" s="308"/>
      <c r="AIU89" s="308"/>
      <c r="AIV89" s="308"/>
      <c r="AIW89" s="308"/>
      <c r="AIX89" s="308"/>
      <c r="AIY89" s="308"/>
      <c r="AIZ89" s="308"/>
      <c r="AJA89" s="308"/>
      <c r="AJB89" s="308"/>
      <c r="AJC89" s="308"/>
    </row>
    <row r="90" spans="1:940" s="546" customFormat="1" ht="15.5">
      <c r="A90" s="113">
        <f t="shared" si="55"/>
        <v>79</v>
      </c>
      <c r="B90" s="113">
        <v>1674</v>
      </c>
      <c r="C90" s="113" t="s">
        <v>355</v>
      </c>
      <c r="D90" s="117">
        <f>2000000+100000</f>
        <v>2100000</v>
      </c>
      <c r="E90" s="117">
        <v>2000000</v>
      </c>
      <c r="F90" s="117">
        <f t="shared" si="56"/>
        <v>100000</v>
      </c>
      <c r="G90" s="117">
        <v>1800000</v>
      </c>
      <c r="H90" s="117">
        <v>1150931.98</v>
      </c>
      <c r="I90" s="117">
        <v>351325.84</v>
      </c>
      <c r="J90" s="117">
        <v>265319.82</v>
      </c>
      <c r="K90" s="117">
        <f t="shared" si="43"/>
        <v>616645.66</v>
      </c>
      <c r="L90" s="117">
        <f t="shared" si="44"/>
        <v>1767577.6400000001</v>
      </c>
      <c r="M90" s="117">
        <f>P90+S90</f>
        <v>32422.35999999987</v>
      </c>
      <c r="N90" s="117">
        <v>300000</v>
      </c>
      <c r="O90" s="117">
        <f t="shared" si="57"/>
        <v>0</v>
      </c>
      <c r="P90" s="117">
        <f t="shared" si="45"/>
        <v>32422.35999999987</v>
      </c>
      <c r="Q90" s="117"/>
      <c r="R90" s="117"/>
      <c r="S90" s="117">
        <f t="shared" si="46"/>
        <v>0</v>
      </c>
      <c r="T90" s="117">
        <f t="shared" si="47"/>
        <v>0</v>
      </c>
      <c r="U90" s="117">
        <f t="shared" si="48"/>
        <v>300000</v>
      </c>
      <c r="V90" s="117">
        <f t="shared" si="49"/>
        <v>300000</v>
      </c>
      <c r="W90" s="543"/>
      <c r="X90" s="117"/>
      <c r="Y90" s="117"/>
      <c r="Z90" s="113"/>
      <c r="AA90" s="113">
        <v>732000</v>
      </c>
      <c r="AB90" s="117"/>
      <c r="AC90" s="117"/>
      <c r="AD90" s="117"/>
      <c r="AE90" s="117"/>
      <c r="AF90" s="117"/>
      <c r="AG90" s="117"/>
      <c r="AH90" s="117"/>
      <c r="AI90" s="117"/>
      <c r="AJ90" s="117"/>
      <c r="AK90" s="117">
        <f t="shared" si="24"/>
        <v>0</v>
      </c>
      <c r="AL90" s="571"/>
      <c r="AM90" s="566">
        <f t="shared" si="50"/>
        <v>0</v>
      </c>
      <c r="AN90" s="117">
        <f t="shared" si="51"/>
        <v>300000</v>
      </c>
      <c r="AO90" s="117">
        <f t="shared" si="52"/>
        <v>0</v>
      </c>
      <c r="AP90" s="565"/>
      <c r="AQ90" s="565"/>
      <c r="AR90" s="565"/>
      <c r="AS90" s="565"/>
      <c r="AT90" s="117">
        <f t="shared" si="53"/>
        <v>0</v>
      </c>
      <c r="AU90" s="565"/>
      <c r="AV90" s="565"/>
      <c r="AW90" s="565"/>
      <c r="AX90" s="565"/>
      <c r="AY90" s="117">
        <f t="shared" si="54"/>
        <v>300000</v>
      </c>
      <c r="AZ90" s="565"/>
      <c r="BA90" s="565"/>
      <c r="BB90" s="565"/>
      <c r="BC90" s="565"/>
      <c r="BD90" s="544"/>
      <c r="BE90" s="544"/>
      <c r="BF90" s="544"/>
      <c r="BG90" s="544"/>
      <c r="BH90" s="544"/>
      <c r="BI90" s="308"/>
      <c r="BJ90" s="308"/>
      <c r="BK90" s="308"/>
      <c r="BL90" s="308"/>
      <c r="BM90" s="308"/>
      <c r="BN90" s="308"/>
      <c r="BO90" s="308"/>
      <c r="BP90" s="308"/>
      <c r="BQ90" s="308"/>
      <c r="BR90" s="308"/>
      <c r="BS90" s="308"/>
      <c r="BT90" s="308"/>
      <c r="BU90" s="308"/>
      <c r="BV90" s="308"/>
      <c r="BW90" s="308"/>
      <c r="BX90" s="308"/>
      <c r="BY90" s="308"/>
      <c r="BZ90" s="308"/>
      <c r="CA90" s="308"/>
      <c r="CB90" s="308"/>
      <c r="CC90" s="308"/>
      <c r="CD90" s="308"/>
      <c r="CE90" s="308"/>
      <c r="CF90" s="308"/>
      <c r="CG90" s="308"/>
      <c r="CH90" s="308"/>
      <c r="CI90" s="308"/>
      <c r="CJ90" s="308"/>
      <c r="CK90" s="308"/>
      <c r="CL90" s="308"/>
      <c r="CM90" s="308"/>
      <c r="CN90" s="308"/>
      <c r="CO90" s="308"/>
      <c r="CP90" s="308"/>
      <c r="CQ90" s="308"/>
      <c r="CR90" s="308"/>
      <c r="CS90" s="308"/>
      <c r="CT90" s="308"/>
      <c r="CU90" s="308"/>
      <c r="CV90" s="308"/>
      <c r="CW90" s="308"/>
      <c r="CX90" s="308"/>
      <c r="CY90" s="308"/>
      <c r="CZ90" s="308"/>
      <c r="DA90" s="308"/>
      <c r="DB90" s="308"/>
      <c r="DC90" s="308"/>
      <c r="DD90" s="308"/>
      <c r="DE90" s="308"/>
      <c r="DF90" s="308"/>
      <c r="DG90" s="308"/>
      <c r="DH90" s="308"/>
      <c r="DI90" s="308"/>
      <c r="DJ90" s="308"/>
      <c r="DK90" s="308"/>
      <c r="DL90" s="308"/>
      <c r="DM90" s="308"/>
      <c r="DN90" s="308"/>
      <c r="DO90" s="308"/>
      <c r="DP90" s="308"/>
      <c r="DQ90" s="308"/>
      <c r="DR90" s="308"/>
      <c r="DS90" s="308"/>
      <c r="DT90" s="308"/>
      <c r="DU90" s="308"/>
      <c r="DV90" s="308"/>
      <c r="DW90" s="308"/>
      <c r="DX90" s="308"/>
      <c r="DY90" s="308"/>
      <c r="DZ90" s="308"/>
      <c r="EA90" s="308"/>
      <c r="EB90" s="308"/>
      <c r="EC90" s="308"/>
      <c r="ED90" s="308"/>
      <c r="EE90" s="308"/>
      <c r="EF90" s="308"/>
      <c r="EG90" s="308"/>
      <c r="EH90" s="308"/>
      <c r="EI90" s="308"/>
      <c r="EJ90" s="308"/>
      <c r="EK90" s="308"/>
      <c r="EL90" s="308"/>
      <c r="EM90" s="308"/>
      <c r="EN90" s="308"/>
      <c r="EO90" s="308"/>
      <c r="EP90" s="308"/>
      <c r="EQ90" s="308"/>
      <c r="ER90" s="308"/>
      <c r="ES90" s="308"/>
      <c r="ET90" s="308"/>
      <c r="EU90" s="308"/>
      <c r="EV90" s="308"/>
      <c r="EW90" s="308"/>
      <c r="EX90" s="308"/>
      <c r="EY90" s="308"/>
      <c r="EZ90" s="308"/>
      <c r="FA90" s="308"/>
      <c r="FB90" s="308"/>
      <c r="FC90" s="308"/>
      <c r="FD90" s="308"/>
      <c r="FE90" s="308"/>
      <c r="FF90" s="308"/>
      <c r="FG90" s="308"/>
      <c r="FH90" s="308"/>
      <c r="FI90" s="308"/>
      <c r="FJ90" s="308"/>
      <c r="FK90" s="308"/>
      <c r="FL90" s="308"/>
      <c r="FM90" s="308"/>
      <c r="FN90" s="308"/>
      <c r="FO90" s="308"/>
      <c r="FP90" s="308"/>
      <c r="FQ90" s="308"/>
      <c r="FR90" s="308"/>
      <c r="FS90" s="308"/>
      <c r="FT90" s="308"/>
      <c r="FU90" s="308"/>
      <c r="FV90" s="308"/>
      <c r="FW90" s="308"/>
      <c r="FX90" s="308"/>
      <c r="FY90" s="308"/>
      <c r="FZ90" s="308"/>
      <c r="GA90" s="308"/>
      <c r="GB90" s="308"/>
      <c r="GC90" s="308"/>
      <c r="GD90" s="308"/>
      <c r="GE90" s="308"/>
      <c r="GF90" s="308"/>
      <c r="GG90" s="308"/>
      <c r="GH90" s="308"/>
      <c r="GI90" s="308"/>
      <c r="GJ90" s="308"/>
      <c r="GK90" s="308"/>
      <c r="GL90" s="308"/>
      <c r="GM90" s="308"/>
      <c r="GN90" s="308"/>
      <c r="GO90" s="308"/>
      <c r="GP90" s="308"/>
      <c r="GQ90" s="308"/>
      <c r="GR90" s="308"/>
      <c r="GS90" s="308"/>
      <c r="GT90" s="308"/>
      <c r="GU90" s="308"/>
      <c r="GV90" s="308"/>
      <c r="GW90" s="308"/>
      <c r="GX90" s="308"/>
      <c r="GY90" s="308"/>
      <c r="GZ90" s="308"/>
      <c r="HA90" s="308"/>
      <c r="HB90" s="308"/>
      <c r="HC90" s="308"/>
      <c r="HD90" s="308"/>
      <c r="HE90" s="308"/>
      <c r="HF90" s="308"/>
      <c r="HG90" s="308"/>
      <c r="HH90" s="308"/>
      <c r="HI90" s="308"/>
      <c r="HJ90" s="308"/>
      <c r="HK90" s="308"/>
      <c r="HL90" s="308"/>
      <c r="HM90" s="308"/>
      <c r="HN90" s="308"/>
      <c r="HO90" s="308"/>
      <c r="HP90" s="308"/>
      <c r="HQ90" s="308"/>
      <c r="HR90" s="308"/>
      <c r="HS90" s="308"/>
      <c r="HT90" s="308"/>
      <c r="HU90" s="308"/>
      <c r="HV90" s="308"/>
      <c r="HW90" s="308"/>
      <c r="HX90" s="308"/>
      <c r="HY90" s="308"/>
      <c r="HZ90" s="308"/>
      <c r="IA90" s="308"/>
      <c r="IB90" s="308"/>
      <c r="IC90" s="308"/>
      <c r="ID90" s="308"/>
      <c r="IE90" s="308"/>
      <c r="IF90" s="308"/>
      <c r="IG90" s="308"/>
      <c r="IH90" s="308"/>
      <c r="II90" s="308"/>
      <c r="IJ90" s="308"/>
      <c r="IK90" s="308"/>
      <c r="IL90" s="308"/>
      <c r="IM90" s="308"/>
      <c r="IN90" s="308"/>
      <c r="IO90" s="308"/>
      <c r="IP90" s="308"/>
      <c r="IQ90" s="308"/>
      <c r="IR90" s="308"/>
      <c r="IS90" s="308"/>
      <c r="IT90" s="308"/>
      <c r="IU90" s="308"/>
      <c r="IV90" s="308"/>
      <c r="IW90" s="308"/>
      <c r="IX90" s="308"/>
      <c r="IY90" s="308"/>
      <c r="IZ90" s="308"/>
      <c r="JA90" s="308"/>
      <c r="JB90" s="308"/>
      <c r="JC90" s="308"/>
      <c r="JD90" s="308"/>
      <c r="JE90" s="308"/>
      <c r="JF90" s="308"/>
      <c r="JG90" s="308"/>
      <c r="JH90" s="308"/>
      <c r="JI90" s="308"/>
      <c r="JJ90" s="308"/>
      <c r="JK90" s="308"/>
      <c r="JL90" s="308"/>
      <c r="JM90" s="308"/>
      <c r="JN90" s="308"/>
      <c r="JO90" s="308"/>
      <c r="JP90" s="308"/>
      <c r="JQ90" s="308"/>
      <c r="JR90" s="308"/>
      <c r="JS90" s="308"/>
      <c r="JT90" s="308"/>
      <c r="JU90" s="308"/>
      <c r="JV90" s="308"/>
      <c r="JW90" s="308"/>
      <c r="JX90" s="308"/>
      <c r="JY90" s="308"/>
      <c r="JZ90" s="308"/>
      <c r="KA90" s="308"/>
      <c r="KB90" s="308"/>
      <c r="KC90" s="308"/>
      <c r="KD90" s="308"/>
      <c r="KE90" s="308"/>
      <c r="KF90" s="308"/>
      <c r="KG90" s="308"/>
      <c r="KH90" s="308"/>
      <c r="KI90" s="308"/>
      <c r="KJ90" s="308"/>
      <c r="KK90" s="308"/>
      <c r="KL90" s="308"/>
      <c r="KM90" s="308"/>
      <c r="KN90" s="308"/>
      <c r="KO90" s="308"/>
      <c r="KP90" s="308"/>
      <c r="KQ90" s="308"/>
      <c r="KR90" s="308"/>
      <c r="KS90" s="308"/>
      <c r="KT90" s="308"/>
      <c r="KU90" s="308"/>
      <c r="KV90" s="308"/>
      <c r="KW90" s="308"/>
      <c r="KX90" s="308"/>
      <c r="KY90" s="308"/>
      <c r="KZ90" s="308"/>
      <c r="LA90" s="308"/>
      <c r="LB90" s="308"/>
      <c r="LC90" s="308"/>
      <c r="LD90" s="308"/>
      <c r="LE90" s="308"/>
      <c r="LF90" s="308"/>
      <c r="LG90" s="308"/>
      <c r="LH90" s="308"/>
      <c r="LI90" s="308"/>
      <c r="LJ90" s="308"/>
      <c r="LK90" s="308"/>
      <c r="LL90" s="308"/>
      <c r="LM90" s="308"/>
      <c r="LN90" s="308"/>
      <c r="LO90" s="308"/>
      <c r="LP90" s="308"/>
      <c r="LQ90" s="308"/>
      <c r="LR90" s="308"/>
      <c r="LS90" s="308"/>
      <c r="LT90" s="308"/>
      <c r="LU90" s="308"/>
      <c r="LV90" s="308"/>
      <c r="LW90" s="308"/>
      <c r="LX90" s="308"/>
      <c r="LY90" s="308"/>
      <c r="LZ90" s="308"/>
      <c r="MA90" s="308"/>
      <c r="MB90" s="308"/>
      <c r="MC90" s="308"/>
      <c r="MD90" s="308"/>
      <c r="ME90" s="308"/>
      <c r="MF90" s="308"/>
      <c r="MG90" s="308"/>
      <c r="MH90" s="308"/>
      <c r="MI90" s="308"/>
      <c r="MJ90" s="308"/>
      <c r="MK90" s="308"/>
      <c r="ML90" s="308"/>
      <c r="MM90" s="308"/>
      <c r="MN90" s="308"/>
      <c r="MO90" s="308"/>
      <c r="MP90" s="308"/>
      <c r="MQ90" s="308"/>
      <c r="MR90" s="308"/>
      <c r="MS90" s="308"/>
      <c r="MT90" s="308"/>
      <c r="MU90" s="308"/>
      <c r="MV90" s="308"/>
      <c r="MW90" s="308"/>
      <c r="MX90" s="308"/>
      <c r="MY90" s="308"/>
      <c r="MZ90" s="308"/>
      <c r="NA90" s="308"/>
      <c r="NB90" s="308"/>
      <c r="NC90" s="308"/>
      <c r="ND90" s="308"/>
      <c r="NE90" s="308"/>
      <c r="NF90" s="308"/>
      <c r="NG90" s="308"/>
      <c r="NH90" s="308"/>
      <c r="NI90" s="308"/>
      <c r="NJ90" s="308"/>
      <c r="NK90" s="308"/>
      <c r="NL90" s="308"/>
      <c r="NM90" s="308"/>
      <c r="NN90" s="308"/>
      <c r="NO90" s="308"/>
      <c r="NP90" s="308"/>
      <c r="NQ90" s="308"/>
      <c r="NR90" s="308"/>
      <c r="NS90" s="308"/>
      <c r="NT90" s="308"/>
      <c r="NU90" s="308"/>
      <c r="NV90" s="308"/>
      <c r="NW90" s="308"/>
      <c r="NX90" s="308"/>
      <c r="NY90" s="308"/>
      <c r="NZ90" s="308"/>
      <c r="OA90" s="308"/>
      <c r="OB90" s="308"/>
      <c r="OC90" s="308"/>
      <c r="OD90" s="308"/>
      <c r="OE90" s="308"/>
      <c r="OF90" s="308"/>
      <c r="OG90" s="308"/>
      <c r="OH90" s="308"/>
      <c r="OI90" s="308"/>
      <c r="OJ90" s="308"/>
      <c r="OK90" s="308"/>
      <c r="OL90" s="308"/>
      <c r="OM90" s="308"/>
      <c r="ON90" s="308"/>
      <c r="OO90" s="308"/>
      <c r="OP90" s="308"/>
      <c r="OQ90" s="308"/>
      <c r="OR90" s="308"/>
      <c r="OS90" s="308"/>
      <c r="OT90" s="308"/>
      <c r="OU90" s="308"/>
      <c r="OV90" s="308"/>
      <c r="OW90" s="308"/>
      <c r="OX90" s="308"/>
      <c r="OY90" s="308"/>
      <c r="OZ90" s="308"/>
      <c r="PA90" s="308"/>
      <c r="PB90" s="308"/>
      <c r="PC90" s="308"/>
      <c r="PD90" s="308"/>
      <c r="PE90" s="308"/>
      <c r="PF90" s="308"/>
      <c r="PG90" s="308"/>
      <c r="PH90" s="308"/>
      <c r="PI90" s="308"/>
      <c r="PJ90" s="308"/>
      <c r="PK90" s="308"/>
      <c r="PL90" s="308"/>
      <c r="PM90" s="308"/>
      <c r="PN90" s="308"/>
      <c r="PO90" s="308"/>
      <c r="PP90" s="308"/>
      <c r="PQ90" s="308"/>
      <c r="PR90" s="308"/>
      <c r="PS90" s="308"/>
      <c r="PT90" s="308"/>
      <c r="PU90" s="308"/>
      <c r="PV90" s="308"/>
      <c r="PW90" s="308"/>
      <c r="PX90" s="308"/>
      <c r="PY90" s="308"/>
      <c r="PZ90" s="308"/>
      <c r="QA90" s="308"/>
      <c r="QB90" s="308"/>
      <c r="QC90" s="308"/>
      <c r="QD90" s="308"/>
      <c r="QE90" s="308"/>
      <c r="QF90" s="308"/>
      <c r="QG90" s="308"/>
      <c r="QH90" s="308"/>
      <c r="QI90" s="308"/>
      <c r="QJ90" s="308"/>
      <c r="QK90" s="308"/>
      <c r="QL90" s="308"/>
      <c r="QM90" s="308"/>
      <c r="QN90" s="308"/>
      <c r="QO90" s="308"/>
      <c r="QP90" s="308"/>
      <c r="QQ90" s="308"/>
      <c r="QR90" s="308"/>
      <c r="QS90" s="308"/>
      <c r="QT90" s="308"/>
      <c r="QU90" s="308"/>
      <c r="QV90" s="308"/>
      <c r="QW90" s="308"/>
      <c r="QX90" s="308"/>
      <c r="QY90" s="308"/>
      <c r="QZ90" s="308"/>
      <c r="RA90" s="308"/>
      <c r="RB90" s="308"/>
      <c r="RC90" s="308"/>
      <c r="RD90" s="308"/>
      <c r="RE90" s="308"/>
      <c r="RF90" s="308"/>
      <c r="RG90" s="308"/>
      <c r="RH90" s="308"/>
      <c r="RI90" s="308"/>
      <c r="RJ90" s="308"/>
      <c r="RK90" s="308"/>
      <c r="RL90" s="308"/>
      <c r="RM90" s="308"/>
      <c r="RN90" s="308"/>
      <c r="RO90" s="308"/>
      <c r="RP90" s="308"/>
      <c r="RQ90" s="308"/>
      <c r="RR90" s="308"/>
      <c r="RS90" s="308"/>
      <c r="RT90" s="308"/>
      <c r="RU90" s="308"/>
      <c r="RV90" s="308"/>
      <c r="RW90" s="308"/>
      <c r="RX90" s="308"/>
      <c r="RY90" s="308"/>
      <c r="RZ90" s="308"/>
      <c r="SA90" s="308"/>
      <c r="SB90" s="308"/>
      <c r="SC90" s="308"/>
      <c r="SD90" s="308"/>
      <c r="SE90" s="308"/>
      <c r="SF90" s="308"/>
      <c r="SG90" s="308"/>
      <c r="SH90" s="308"/>
      <c r="SI90" s="308"/>
      <c r="SJ90" s="308"/>
      <c r="SK90" s="308"/>
      <c r="SL90" s="308"/>
      <c r="SM90" s="308"/>
      <c r="SN90" s="308"/>
      <c r="SO90" s="308"/>
      <c r="SP90" s="308"/>
      <c r="SQ90" s="308"/>
      <c r="SR90" s="308"/>
      <c r="SS90" s="308"/>
      <c r="ST90" s="308"/>
      <c r="SU90" s="308"/>
      <c r="SV90" s="308"/>
      <c r="SW90" s="308"/>
      <c r="SX90" s="308"/>
      <c r="SY90" s="308"/>
      <c r="SZ90" s="308"/>
      <c r="TA90" s="308"/>
      <c r="TB90" s="308"/>
      <c r="TC90" s="308"/>
      <c r="TD90" s="308"/>
      <c r="TE90" s="308"/>
      <c r="TF90" s="308"/>
      <c r="TG90" s="308"/>
      <c r="TH90" s="308"/>
      <c r="TI90" s="308"/>
      <c r="TJ90" s="308"/>
      <c r="TK90" s="308"/>
      <c r="TL90" s="308"/>
      <c r="TM90" s="308"/>
      <c r="TN90" s="308"/>
      <c r="TO90" s="308"/>
      <c r="TP90" s="308"/>
      <c r="TQ90" s="308"/>
      <c r="TR90" s="308"/>
      <c r="TS90" s="308"/>
      <c r="TT90" s="308"/>
      <c r="TU90" s="308"/>
      <c r="TV90" s="308"/>
      <c r="TW90" s="308"/>
      <c r="TX90" s="308"/>
      <c r="TY90" s="308"/>
      <c r="TZ90" s="308"/>
      <c r="UA90" s="308"/>
      <c r="UB90" s="308"/>
      <c r="UC90" s="308"/>
      <c r="UD90" s="308"/>
      <c r="UE90" s="308"/>
      <c r="UF90" s="308"/>
      <c r="UG90" s="308"/>
      <c r="UH90" s="308"/>
      <c r="UI90" s="308"/>
      <c r="UJ90" s="308"/>
      <c r="UK90" s="308"/>
      <c r="UL90" s="308"/>
      <c r="UM90" s="308"/>
      <c r="UN90" s="308"/>
      <c r="UO90" s="308"/>
      <c r="UP90" s="308"/>
      <c r="UQ90" s="308"/>
      <c r="UR90" s="308"/>
      <c r="US90" s="308"/>
      <c r="UT90" s="308"/>
      <c r="UU90" s="308"/>
      <c r="UV90" s="308"/>
      <c r="UW90" s="308"/>
      <c r="UX90" s="308"/>
      <c r="UY90" s="308"/>
      <c r="UZ90" s="308"/>
      <c r="VA90" s="308"/>
      <c r="VB90" s="308"/>
      <c r="VC90" s="308"/>
      <c r="VD90" s="308"/>
      <c r="VE90" s="308"/>
      <c r="VF90" s="308"/>
      <c r="VG90" s="308"/>
      <c r="VH90" s="308"/>
      <c r="VI90" s="308"/>
      <c r="VJ90" s="308"/>
      <c r="VK90" s="308"/>
      <c r="VL90" s="308"/>
      <c r="VM90" s="308"/>
      <c r="VN90" s="308"/>
      <c r="VO90" s="308"/>
      <c r="VP90" s="308"/>
      <c r="VQ90" s="308"/>
      <c r="VR90" s="308"/>
      <c r="VS90" s="308"/>
      <c r="VT90" s="308"/>
      <c r="VU90" s="308"/>
      <c r="VV90" s="308"/>
      <c r="VW90" s="308"/>
      <c r="VX90" s="308"/>
      <c r="VY90" s="308"/>
      <c r="VZ90" s="308"/>
      <c r="WA90" s="308"/>
      <c r="WB90" s="308"/>
      <c r="WC90" s="308"/>
      <c r="WD90" s="308"/>
      <c r="WE90" s="308"/>
      <c r="WF90" s="308"/>
      <c r="WG90" s="308"/>
      <c r="WH90" s="308"/>
      <c r="WI90" s="308"/>
      <c r="WJ90" s="308"/>
      <c r="WK90" s="308"/>
      <c r="WL90" s="308"/>
      <c r="WM90" s="308"/>
      <c r="WN90" s="308"/>
      <c r="WO90" s="308"/>
      <c r="WP90" s="308"/>
      <c r="WQ90" s="308"/>
      <c r="WR90" s="308"/>
      <c r="WS90" s="308"/>
      <c r="WT90" s="308"/>
      <c r="WU90" s="308"/>
      <c r="WV90" s="308"/>
      <c r="WW90" s="308"/>
      <c r="WX90" s="308"/>
      <c r="WY90" s="308"/>
      <c r="WZ90" s="308"/>
      <c r="XA90" s="308"/>
      <c r="XB90" s="308"/>
      <c r="XC90" s="308"/>
      <c r="XD90" s="308"/>
      <c r="XE90" s="308"/>
      <c r="XF90" s="308"/>
      <c r="XG90" s="308"/>
      <c r="XH90" s="308"/>
      <c r="XI90" s="308"/>
      <c r="XJ90" s="308"/>
      <c r="XK90" s="308"/>
      <c r="XL90" s="308"/>
      <c r="XM90" s="308"/>
      <c r="XN90" s="308"/>
      <c r="XO90" s="308"/>
      <c r="XP90" s="308"/>
      <c r="XQ90" s="308"/>
      <c r="XR90" s="308"/>
      <c r="XS90" s="308"/>
      <c r="XT90" s="308"/>
      <c r="XU90" s="308"/>
      <c r="XV90" s="308"/>
      <c r="XW90" s="308"/>
      <c r="XX90" s="308"/>
      <c r="XY90" s="308"/>
      <c r="XZ90" s="308"/>
      <c r="YA90" s="308"/>
      <c r="YB90" s="308"/>
      <c r="YC90" s="308"/>
      <c r="YD90" s="308"/>
      <c r="YE90" s="308"/>
      <c r="YF90" s="308"/>
      <c r="YG90" s="308"/>
      <c r="YH90" s="308"/>
      <c r="YI90" s="308"/>
      <c r="YJ90" s="308"/>
      <c r="YK90" s="308"/>
      <c r="YL90" s="308"/>
      <c r="YM90" s="308"/>
      <c r="YN90" s="308"/>
      <c r="YO90" s="308"/>
      <c r="YP90" s="308"/>
      <c r="YQ90" s="308"/>
      <c r="YR90" s="308"/>
      <c r="YS90" s="308"/>
      <c r="YT90" s="308"/>
      <c r="YU90" s="308"/>
      <c r="YV90" s="308"/>
      <c r="YW90" s="308"/>
      <c r="YX90" s="308"/>
      <c r="YY90" s="308"/>
      <c r="YZ90" s="308"/>
      <c r="ZA90" s="308"/>
      <c r="ZB90" s="308"/>
      <c r="ZC90" s="308"/>
      <c r="ZD90" s="308"/>
      <c r="ZE90" s="308"/>
      <c r="ZF90" s="308"/>
      <c r="ZG90" s="308"/>
      <c r="ZH90" s="308"/>
      <c r="ZI90" s="308"/>
      <c r="ZJ90" s="308"/>
      <c r="ZK90" s="308"/>
      <c r="ZL90" s="308"/>
      <c r="ZM90" s="308"/>
      <c r="ZN90" s="308"/>
      <c r="ZO90" s="308"/>
      <c r="ZP90" s="308"/>
      <c r="ZQ90" s="308"/>
      <c r="ZR90" s="308"/>
      <c r="ZS90" s="308"/>
      <c r="ZT90" s="308"/>
      <c r="ZU90" s="308"/>
      <c r="ZV90" s="308"/>
      <c r="ZW90" s="308"/>
      <c r="ZX90" s="308"/>
      <c r="ZY90" s="308"/>
      <c r="ZZ90" s="308"/>
      <c r="AAA90" s="308"/>
      <c r="AAB90" s="308"/>
      <c r="AAC90" s="308"/>
      <c r="AAD90" s="308"/>
      <c r="AAE90" s="308"/>
      <c r="AAF90" s="308"/>
      <c r="AAG90" s="308"/>
      <c r="AAH90" s="308"/>
      <c r="AAI90" s="308"/>
      <c r="AAJ90" s="308"/>
      <c r="AAK90" s="308"/>
      <c r="AAL90" s="308"/>
      <c r="AAM90" s="308"/>
      <c r="AAN90" s="308"/>
      <c r="AAO90" s="308"/>
      <c r="AAP90" s="308"/>
      <c r="AAQ90" s="308"/>
      <c r="AAR90" s="308"/>
      <c r="AAS90" s="308"/>
      <c r="AAT90" s="308"/>
      <c r="AAU90" s="308"/>
      <c r="AAV90" s="308"/>
      <c r="AAW90" s="308"/>
      <c r="AAX90" s="308"/>
      <c r="AAY90" s="308"/>
      <c r="AAZ90" s="308"/>
      <c r="ABA90" s="308"/>
      <c r="ABB90" s="308"/>
      <c r="ABC90" s="308"/>
      <c r="ABD90" s="308"/>
      <c r="ABE90" s="308"/>
      <c r="ABF90" s="308"/>
      <c r="ABG90" s="308"/>
      <c r="ABH90" s="308"/>
      <c r="ABI90" s="308"/>
      <c r="ABJ90" s="308"/>
      <c r="ABK90" s="308"/>
      <c r="ABL90" s="308"/>
      <c r="ABM90" s="308"/>
      <c r="ABN90" s="308"/>
      <c r="ABO90" s="308"/>
      <c r="ABP90" s="308"/>
      <c r="ABQ90" s="308"/>
      <c r="ABR90" s="308"/>
      <c r="ABS90" s="308"/>
      <c r="ABT90" s="308"/>
      <c r="ABU90" s="308"/>
      <c r="ABV90" s="308"/>
      <c r="ABW90" s="308"/>
      <c r="ABX90" s="308"/>
      <c r="ABY90" s="308"/>
      <c r="ABZ90" s="308"/>
      <c r="ACA90" s="308"/>
      <c r="ACB90" s="308"/>
      <c r="ACC90" s="308"/>
      <c r="ACD90" s="308"/>
      <c r="ACE90" s="308"/>
      <c r="ACF90" s="308"/>
      <c r="ACG90" s="308"/>
      <c r="ACH90" s="308"/>
      <c r="ACI90" s="308"/>
      <c r="ACJ90" s="308"/>
      <c r="ACK90" s="308"/>
      <c r="ACL90" s="308"/>
      <c r="ACM90" s="308"/>
      <c r="ACN90" s="308"/>
      <c r="ACO90" s="308"/>
      <c r="ACP90" s="308"/>
      <c r="ACQ90" s="308"/>
      <c r="ACR90" s="308"/>
      <c r="ACS90" s="308"/>
      <c r="ACT90" s="308"/>
      <c r="ACU90" s="308"/>
      <c r="ACV90" s="308"/>
      <c r="ACW90" s="308"/>
      <c r="ACX90" s="308"/>
      <c r="ACY90" s="308"/>
      <c r="ACZ90" s="308"/>
      <c r="ADA90" s="308"/>
      <c r="ADB90" s="308"/>
      <c r="ADC90" s="308"/>
      <c r="ADD90" s="308"/>
      <c r="ADE90" s="308"/>
      <c r="ADF90" s="308"/>
      <c r="ADG90" s="308"/>
      <c r="ADH90" s="308"/>
      <c r="ADI90" s="308"/>
      <c r="ADJ90" s="308"/>
      <c r="ADK90" s="308"/>
      <c r="ADL90" s="308"/>
      <c r="ADM90" s="308"/>
      <c r="ADN90" s="308"/>
      <c r="ADO90" s="308"/>
      <c r="ADP90" s="308"/>
      <c r="ADQ90" s="308"/>
      <c r="ADR90" s="308"/>
      <c r="ADS90" s="308"/>
      <c r="ADT90" s="308"/>
      <c r="ADU90" s="308"/>
      <c r="ADV90" s="308"/>
      <c r="ADW90" s="308"/>
      <c r="ADX90" s="308"/>
      <c r="ADY90" s="308"/>
      <c r="ADZ90" s="308"/>
      <c r="AEA90" s="308"/>
      <c r="AEB90" s="308"/>
      <c r="AEC90" s="308"/>
      <c r="AED90" s="308"/>
      <c r="AEE90" s="308"/>
      <c r="AEF90" s="308"/>
      <c r="AEG90" s="308"/>
      <c r="AEH90" s="308"/>
      <c r="AEI90" s="308"/>
      <c r="AEJ90" s="308"/>
      <c r="AEK90" s="308"/>
      <c r="AEL90" s="308"/>
      <c r="AEM90" s="308"/>
      <c r="AEN90" s="308"/>
      <c r="AEO90" s="308"/>
      <c r="AEP90" s="308"/>
      <c r="AEQ90" s="308"/>
      <c r="AER90" s="308"/>
      <c r="AES90" s="308"/>
      <c r="AET90" s="308"/>
      <c r="AEU90" s="308"/>
      <c r="AEV90" s="308"/>
      <c r="AEW90" s="308"/>
      <c r="AEX90" s="308"/>
      <c r="AEY90" s="308"/>
      <c r="AEZ90" s="308"/>
      <c r="AFA90" s="308"/>
      <c r="AFB90" s="308"/>
      <c r="AFC90" s="308"/>
      <c r="AFD90" s="308"/>
      <c r="AFE90" s="308"/>
      <c r="AFF90" s="308"/>
      <c r="AFG90" s="308"/>
      <c r="AFH90" s="308"/>
      <c r="AFI90" s="308"/>
      <c r="AFJ90" s="308"/>
      <c r="AFK90" s="308"/>
      <c r="AFL90" s="308"/>
      <c r="AFM90" s="308"/>
      <c r="AFN90" s="308"/>
      <c r="AFO90" s="308"/>
      <c r="AFP90" s="308"/>
      <c r="AFQ90" s="308"/>
      <c r="AFR90" s="308"/>
      <c r="AFS90" s="308"/>
      <c r="AFT90" s="308"/>
      <c r="AFU90" s="308"/>
      <c r="AFV90" s="308"/>
      <c r="AFW90" s="308"/>
      <c r="AFX90" s="308"/>
      <c r="AFY90" s="308"/>
      <c r="AFZ90" s="308"/>
      <c r="AGA90" s="308"/>
      <c r="AGB90" s="308"/>
      <c r="AGC90" s="308"/>
      <c r="AGD90" s="308"/>
      <c r="AGE90" s="308"/>
      <c r="AGF90" s="308"/>
      <c r="AGG90" s="308"/>
      <c r="AGH90" s="308"/>
      <c r="AGI90" s="308"/>
      <c r="AGJ90" s="308"/>
      <c r="AGK90" s="308"/>
      <c r="AGL90" s="308"/>
      <c r="AGM90" s="308"/>
      <c r="AGN90" s="308"/>
      <c r="AGO90" s="308"/>
      <c r="AGP90" s="308"/>
      <c r="AGQ90" s="308"/>
      <c r="AGR90" s="308"/>
      <c r="AGS90" s="308"/>
      <c r="AGT90" s="308"/>
      <c r="AGU90" s="308"/>
      <c r="AGV90" s="308"/>
      <c r="AGW90" s="308"/>
      <c r="AGX90" s="308"/>
      <c r="AGY90" s="308"/>
      <c r="AGZ90" s="308"/>
      <c r="AHA90" s="308"/>
      <c r="AHB90" s="308"/>
      <c r="AHC90" s="308"/>
      <c r="AHD90" s="308"/>
      <c r="AHE90" s="308"/>
      <c r="AHF90" s="308"/>
      <c r="AHG90" s="308"/>
      <c r="AHH90" s="308"/>
      <c r="AHI90" s="308"/>
      <c r="AHJ90" s="308"/>
      <c r="AHK90" s="308"/>
      <c r="AHL90" s="308"/>
      <c r="AHM90" s="308"/>
      <c r="AHN90" s="308"/>
      <c r="AHO90" s="308"/>
      <c r="AHP90" s="308"/>
      <c r="AHQ90" s="308"/>
      <c r="AHR90" s="308"/>
      <c r="AHS90" s="308"/>
      <c r="AHT90" s="308"/>
      <c r="AHU90" s="308"/>
      <c r="AHV90" s="308"/>
      <c r="AHW90" s="308"/>
      <c r="AHX90" s="308"/>
      <c r="AHY90" s="308"/>
      <c r="AHZ90" s="308"/>
      <c r="AIA90" s="308"/>
      <c r="AIB90" s="308"/>
      <c r="AIC90" s="308"/>
      <c r="AID90" s="308"/>
      <c r="AIE90" s="308"/>
      <c r="AIF90" s="308"/>
      <c r="AIG90" s="308"/>
      <c r="AIH90" s="308"/>
      <c r="AII90" s="308"/>
      <c r="AIJ90" s="308"/>
      <c r="AIK90" s="308"/>
      <c r="AIL90" s="308"/>
      <c r="AIM90" s="308"/>
      <c r="AIN90" s="308"/>
      <c r="AIO90" s="308"/>
      <c r="AIP90" s="308"/>
      <c r="AIQ90" s="308"/>
      <c r="AIR90" s="308"/>
      <c r="AIS90" s="308"/>
      <c r="AIT90" s="308"/>
      <c r="AIU90" s="308"/>
      <c r="AIV90" s="308"/>
      <c r="AIW90" s="308"/>
      <c r="AIX90" s="308"/>
      <c r="AIY90" s="308"/>
      <c r="AIZ90" s="308"/>
      <c r="AJA90" s="308"/>
      <c r="AJB90" s="308"/>
      <c r="AJC90" s="308"/>
    </row>
    <row r="91" spans="1:940" s="572" customFormat="1" ht="15.5">
      <c r="A91" s="113">
        <f t="shared" si="55"/>
        <v>80</v>
      </c>
      <c r="B91" s="113">
        <v>1692</v>
      </c>
      <c r="C91" s="113" t="s">
        <v>24</v>
      </c>
      <c r="D91" s="117">
        <f>2000000+450000</f>
        <v>2450000</v>
      </c>
      <c r="E91" s="117">
        <f>2000000</f>
        <v>2000000</v>
      </c>
      <c r="F91" s="117">
        <f t="shared" si="56"/>
        <v>450000</v>
      </c>
      <c r="G91" s="117">
        <f>1439186</f>
        <v>1439186</v>
      </c>
      <c r="H91" s="117">
        <v>400068.92</v>
      </c>
      <c r="I91" s="117">
        <v>184795.04</v>
      </c>
      <c r="J91" s="117">
        <v>25740</v>
      </c>
      <c r="K91" s="117">
        <f t="shared" si="43"/>
        <v>210535.04000000001</v>
      </c>
      <c r="L91" s="117">
        <f t="shared" si="44"/>
        <v>610603.96</v>
      </c>
      <c r="M91" s="117">
        <f>P91+S91</f>
        <v>828582.04</v>
      </c>
      <c r="N91" s="117">
        <v>400000</v>
      </c>
      <c r="O91" s="117">
        <f t="shared" si="57"/>
        <v>610814</v>
      </c>
      <c r="P91" s="117">
        <f t="shared" si="45"/>
        <v>828582.04</v>
      </c>
      <c r="Q91" s="117"/>
      <c r="R91" s="117"/>
      <c r="S91" s="117">
        <f t="shared" si="46"/>
        <v>0</v>
      </c>
      <c r="T91" s="117">
        <f t="shared" si="47"/>
        <v>0</v>
      </c>
      <c r="U91" s="117">
        <f t="shared" si="48"/>
        <v>400000</v>
      </c>
      <c r="V91" s="117">
        <f t="shared" si="49"/>
        <v>400000</v>
      </c>
      <c r="W91" s="543"/>
      <c r="X91" s="117"/>
      <c r="Y91" s="117"/>
      <c r="Z91" s="113"/>
      <c r="AA91" s="113">
        <v>732000</v>
      </c>
      <c r="AB91" s="117"/>
      <c r="AC91" s="117"/>
      <c r="AD91" s="117"/>
      <c r="AE91" s="117">
        <f>100000-100000</f>
        <v>0</v>
      </c>
      <c r="AF91" s="117"/>
      <c r="AG91" s="117"/>
      <c r="AH91" s="117"/>
      <c r="AI91" s="117"/>
      <c r="AJ91" s="117"/>
      <c r="AK91" s="117">
        <f t="shared" si="24"/>
        <v>0</v>
      </c>
      <c r="AL91" s="113"/>
      <c r="AM91" s="566">
        <f t="shared" si="50"/>
        <v>0</v>
      </c>
      <c r="AN91" s="117">
        <f t="shared" si="51"/>
        <v>400000</v>
      </c>
      <c r="AO91" s="117">
        <f t="shared" si="52"/>
        <v>0</v>
      </c>
      <c r="AP91" s="565"/>
      <c r="AQ91" s="565"/>
      <c r="AR91" s="565"/>
      <c r="AS91" s="565"/>
      <c r="AT91" s="117">
        <f t="shared" si="53"/>
        <v>0</v>
      </c>
      <c r="AU91" s="565"/>
      <c r="AV91" s="565"/>
      <c r="AW91" s="565"/>
      <c r="AX91" s="565"/>
      <c r="AY91" s="117">
        <f t="shared" si="54"/>
        <v>400000</v>
      </c>
      <c r="AZ91" s="565"/>
      <c r="BA91" s="565"/>
      <c r="BB91" s="565"/>
      <c r="BC91" s="565"/>
      <c r="BD91" s="544"/>
      <c r="BE91" s="544"/>
      <c r="BF91" s="544"/>
      <c r="BG91" s="544"/>
      <c r="BH91" s="544"/>
      <c r="AJD91" s="546"/>
    </row>
    <row r="92" spans="1:940" s="545" customFormat="1">
      <c r="A92" s="113">
        <f t="shared" si="55"/>
        <v>81</v>
      </c>
      <c r="B92" s="113">
        <v>1693</v>
      </c>
      <c r="C92" s="113" t="s">
        <v>202</v>
      </c>
      <c r="D92" s="117">
        <v>4500000</v>
      </c>
      <c r="E92" s="117">
        <v>4500000</v>
      </c>
      <c r="F92" s="117">
        <f t="shared" si="56"/>
        <v>0</v>
      </c>
      <c r="G92" s="117">
        <f>167478</f>
        <v>167478</v>
      </c>
      <c r="H92" s="117">
        <v>8570.73</v>
      </c>
      <c r="I92" s="117">
        <v>90305.279999999999</v>
      </c>
      <c r="J92" s="117">
        <v>55907.28</v>
      </c>
      <c r="K92" s="117">
        <f t="shared" si="43"/>
        <v>146212.56</v>
      </c>
      <c r="L92" s="117">
        <f t="shared" si="44"/>
        <v>154783.29</v>
      </c>
      <c r="M92" s="117">
        <f>P92+S92</f>
        <v>12694.709999999992</v>
      </c>
      <c r="N92" s="117">
        <v>120000</v>
      </c>
      <c r="O92" s="117">
        <f t="shared" si="57"/>
        <v>4212522</v>
      </c>
      <c r="P92" s="117">
        <f t="shared" si="45"/>
        <v>12694.709999999992</v>
      </c>
      <c r="Q92" s="117"/>
      <c r="R92" s="117"/>
      <c r="S92" s="117">
        <f t="shared" si="46"/>
        <v>0</v>
      </c>
      <c r="T92" s="117">
        <f t="shared" si="47"/>
        <v>0</v>
      </c>
      <c r="U92" s="117">
        <f t="shared" si="48"/>
        <v>120000</v>
      </c>
      <c r="V92" s="117">
        <f t="shared" si="49"/>
        <v>120000</v>
      </c>
      <c r="W92" s="543"/>
      <c r="X92" s="117"/>
      <c r="Y92" s="117"/>
      <c r="Z92" s="113"/>
      <c r="AA92" s="113">
        <v>732000</v>
      </c>
      <c r="AB92" s="117"/>
      <c r="AC92" s="117"/>
      <c r="AD92" s="117"/>
      <c r="AE92" s="117">
        <v>100000</v>
      </c>
      <c r="AF92" s="117"/>
      <c r="AG92" s="117"/>
      <c r="AH92" s="117"/>
      <c r="AI92" s="117"/>
      <c r="AJ92" s="117"/>
      <c r="AK92" s="117">
        <f t="shared" si="24"/>
        <v>100000</v>
      </c>
      <c r="AL92" s="113"/>
      <c r="AM92" s="566">
        <f t="shared" si="50"/>
        <v>100000</v>
      </c>
      <c r="AN92" s="117">
        <f t="shared" si="51"/>
        <v>20000</v>
      </c>
      <c r="AO92" s="117">
        <f t="shared" si="52"/>
        <v>100000</v>
      </c>
      <c r="AP92" s="565"/>
      <c r="AQ92" s="565"/>
      <c r="AR92" s="565"/>
      <c r="AS92" s="565"/>
      <c r="AT92" s="117">
        <f t="shared" si="53"/>
        <v>0</v>
      </c>
      <c r="AU92" s="565"/>
      <c r="AV92" s="565"/>
      <c r="AW92" s="565"/>
      <c r="AX92" s="565"/>
      <c r="AY92" s="117">
        <f t="shared" si="54"/>
        <v>20000</v>
      </c>
      <c r="AZ92" s="565"/>
      <c r="BA92" s="565"/>
      <c r="BB92" s="565"/>
      <c r="BC92" s="565"/>
      <c r="BD92" s="544"/>
      <c r="BE92" s="544"/>
      <c r="BF92" s="544"/>
      <c r="BG92" s="544"/>
      <c r="BH92" s="544"/>
      <c r="AJD92" s="546"/>
    </row>
    <row r="93" spans="1:940" s="546" customFormat="1" ht="28">
      <c r="A93" s="113">
        <f t="shared" si="55"/>
        <v>82</v>
      </c>
      <c r="B93" s="113">
        <v>1756</v>
      </c>
      <c r="C93" s="113" t="s">
        <v>602</v>
      </c>
      <c r="D93" s="117">
        <f>500000+100000+200000</f>
        <v>800000</v>
      </c>
      <c r="E93" s="117">
        <v>500000</v>
      </c>
      <c r="F93" s="117">
        <f t="shared" si="56"/>
        <v>300000</v>
      </c>
      <c r="G93" s="117">
        <v>400000</v>
      </c>
      <c r="H93" s="117">
        <v>175559</v>
      </c>
      <c r="I93" s="117">
        <v>36643.81</v>
      </c>
      <c r="J93" s="117">
        <v>44604</v>
      </c>
      <c r="K93" s="117">
        <f t="shared" si="43"/>
        <v>81247.81</v>
      </c>
      <c r="L93" s="117">
        <f t="shared" si="44"/>
        <v>256806.81</v>
      </c>
      <c r="M93" s="117">
        <f>P93+S93</f>
        <v>143193.19</v>
      </c>
      <c r="N93" s="117">
        <f>100000+100000</f>
        <v>200000</v>
      </c>
      <c r="O93" s="117">
        <f t="shared" si="57"/>
        <v>199999.99999999994</v>
      </c>
      <c r="P93" s="117">
        <f t="shared" si="45"/>
        <v>143193.19</v>
      </c>
      <c r="Q93" s="117"/>
      <c r="R93" s="117"/>
      <c r="S93" s="117">
        <f t="shared" si="46"/>
        <v>0</v>
      </c>
      <c r="T93" s="117">
        <f t="shared" si="47"/>
        <v>0</v>
      </c>
      <c r="U93" s="117">
        <f t="shared" si="48"/>
        <v>200000</v>
      </c>
      <c r="V93" s="117">
        <f t="shared" si="49"/>
        <v>200000</v>
      </c>
      <c r="W93" s="543"/>
      <c r="X93" s="117"/>
      <c r="Y93" s="117"/>
      <c r="Z93" s="113"/>
      <c r="AA93" s="113">
        <v>732000</v>
      </c>
      <c r="AB93" s="117"/>
      <c r="AC93" s="117"/>
      <c r="AD93" s="117"/>
      <c r="AE93" s="117"/>
      <c r="AF93" s="117"/>
      <c r="AG93" s="117"/>
      <c r="AH93" s="117"/>
      <c r="AI93" s="117"/>
      <c r="AJ93" s="117"/>
      <c r="AK93" s="117">
        <f t="shared" si="24"/>
        <v>0</v>
      </c>
      <c r="AL93" s="565"/>
      <c r="AM93" s="566">
        <f t="shared" si="50"/>
        <v>0</v>
      </c>
      <c r="AN93" s="117">
        <f t="shared" si="51"/>
        <v>200000</v>
      </c>
      <c r="AO93" s="117">
        <f t="shared" si="52"/>
        <v>0</v>
      </c>
      <c r="AP93" s="565"/>
      <c r="AQ93" s="565"/>
      <c r="AR93" s="565"/>
      <c r="AS93" s="565"/>
      <c r="AT93" s="117">
        <f t="shared" si="53"/>
        <v>0</v>
      </c>
      <c r="AU93" s="565"/>
      <c r="AV93" s="565"/>
      <c r="AW93" s="565"/>
      <c r="AX93" s="565"/>
      <c r="AY93" s="117">
        <f t="shared" si="54"/>
        <v>200000</v>
      </c>
      <c r="AZ93" s="565"/>
      <c r="BA93" s="565"/>
      <c r="BB93" s="565"/>
      <c r="BC93" s="565"/>
      <c r="BD93" s="308"/>
      <c r="BE93" s="308"/>
      <c r="BF93" s="308"/>
      <c r="BG93" s="308"/>
      <c r="BH93" s="308"/>
      <c r="BI93" s="308"/>
      <c r="BJ93" s="308"/>
      <c r="BK93" s="308"/>
      <c r="BL93" s="308"/>
      <c r="BM93" s="308"/>
      <c r="BN93" s="308"/>
      <c r="BO93" s="308"/>
      <c r="BP93" s="308"/>
      <c r="BQ93" s="308"/>
      <c r="BR93" s="308"/>
      <c r="BS93" s="308"/>
      <c r="BT93" s="308"/>
      <c r="BU93" s="308"/>
      <c r="BV93" s="308"/>
      <c r="BW93" s="308"/>
      <c r="BX93" s="308"/>
      <c r="BY93" s="308"/>
      <c r="BZ93" s="308"/>
      <c r="CA93" s="308"/>
      <c r="CB93" s="308"/>
      <c r="CC93" s="308"/>
      <c r="CD93" s="308"/>
      <c r="CE93" s="308"/>
      <c r="CF93" s="308"/>
      <c r="CG93" s="308"/>
      <c r="CH93" s="308"/>
      <c r="CI93" s="308"/>
      <c r="CJ93" s="308"/>
      <c r="CK93" s="308"/>
      <c r="CL93" s="308"/>
      <c r="CM93" s="308"/>
      <c r="CN93" s="308"/>
      <c r="CO93" s="308"/>
      <c r="CP93" s="308"/>
      <c r="CQ93" s="308"/>
      <c r="CR93" s="308"/>
      <c r="CS93" s="308"/>
      <c r="CT93" s="308"/>
      <c r="CU93" s="308"/>
      <c r="CV93" s="308"/>
      <c r="CW93" s="308"/>
      <c r="CX93" s="308"/>
      <c r="CY93" s="308"/>
      <c r="CZ93" s="308"/>
      <c r="DA93" s="308"/>
      <c r="DB93" s="308"/>
      <c r="DC93" s="308"/>
      <c r="DD93" s="308"/>
      <c r="DE93" s="308"/>
      <c r="DF93" s="308"/>
      <c r="DG93" s="308"/>
      <c r="DH93" s="308"/>
      <c r="DI93" s="308"/>
      <c r="DJ93" s="308"/>
      <c r="DK93" s="308"/>
      <c r="DL93" s="308"/>
      <c r="DM93" s="308"/>
      <c r="DN93" s="308"/>
      <c r="DO93" s="308"/>
      <c r="DP93" s="308"/>
      <c r="DQ93" s="308"/>
      <c r="DR93" s="308"/>
      <c r="DS93" s="308"/>
      <c r="DT93" s="308"/>
      <c r="DU93" s="308"/>
      <c r="DV93" s="308"/>
      <c r="DW93" s="308"/>
      <c r="DX93" s="308"/>
      <c r="DY93" s="308"/>
      <c r="DZ93" s="308"/>
      <c r="EA93" s="308"/>
      <c r="EB93" s="308"/>
      <c r="EC93" s="308"/>
      <c r="ED93" s="308"/>
      <c r="EE93" s="308"/>
      <c r="EF93" s="308"/>
      <c r="EG93" s="308"/>
      <c r="EH93" s="308"/>
      <c r="EI93" s="308"/>
      <c r="EJ93" s="308"/>
      <c r="EK93" s="308"/>
      <c r="EL93" s="308"/>
      <c r="EM93" s="308"/>
      <c r="EN93" s="308"/>
      <c r="EO93" s="308"/>
      <c r="EP93" s="308"/>
      <c r="EQ93" s="308"/>
      <c r="ER93" s="308"/>
      <c r="ES93" s="308"/>
      <c r="ET93" s="308"/>
      <c r="EU93" s="308"/>
      <c r="EV93" s="308"/>
      <c r="EW93" s="308"/>
      <c r="EX93" s="308"/>
      <c r="EY93" s="308"/>
      <c r="EZ93" s="308"/>
      <c r="FA93" s="308"/>
      <c r="FB93" s="308"/>
      <c r="FC93" s="308"/>
      <c r="FD93" s="308"/>
      <c r="FE93" s="308"/>
      <c r="FF93" s="308"/>
      <c r="FG93" s="308"/>
      <c r="FH93" s="308"/>
      <c r="FI93" s="308"/>
      <c r="FJ93" s="308"/>
      <c r="FK93" s="308"/>
      <c r="FL93" s="308"/>
      <c r="FM93" s="308"/>
      <c r="FN93" s="308"/>
      <c r="FO93" s="308"/>
      <c r="FP93" s="308"/>
      <c r="FQ93" s="308"/>
      <c r="FR93" s="308"/>
      <c r="FS93" s="308"/>
      <c r="FT93" s="308"/>
      <c r="FU93" s="308"/>
      <c r="FV93" s="308"/>
      <c r="FW93" s="308"/>
      <c r="FX93" s="308"/>
      <c r="FY93" s="308"/>
      <c r="FZ93" s="308"/>
      <c r="GA93" s="308"/>
      <c r="GB93" s="308"/>
      <c r="GC93" s="308"/>
      <c r="GD93" s="308"/>
      <c r="GE93" s="308"/>
      <c r="GF93" s="308"/>
      <c r="GG93" s="308"/>
      <c r="GH93" s="308"/>
      <c r="GI93" s="308"/>
      <c r="GJ93" s="308"/>
      <c r="GK93" s="308"/>
      <c r="GL93" s="308"/>
      <c r="GM93" s="308"/>
      <c r="GN93" s="308"/>
      <c r="GO93" s="308"/>
      <c r="GP93" s="308"/>
      <c r="GQ93" s="308"/>
      <c r="GR93" s="308"/>
      <c r="GS93" s="308"/>
      <c r="GT93" s="308"/>
      <c r="GU93" s="308"/>
      <c r="GV93" s="308"/>
      <c r="GW93" s="308"/>
      <c r="GX93" s="308"/>
      <c r="GY93" s="308"/>
      <c r="GZ93" s="308"/>
      <c r="HA93" s="308"/>
      <c r="HB93" s="308"/>
      <c r="HC93" s="308"/>
      <c r="HD93" s="308"/>
      <c r="HE93" s="308"/>
      <c r="HF93" s="308"/>
      <c r="HG93" s="308"/>
      <c r="HH93" s="308"/>
      <c r="HI93" s="308"/>
      <c r="HJ93" s="308"/>
      <c r="HK93" s="308"/>
      <c r="HL93" s="308"/>
      <c r="HM93" s="308"/>
      <c r="HN93" s="308"/>
      <c r="HO93" s="308"/>
      <c r="HP93" s="308"/>
      <c r="HQ93" s="308"/>
      <c r="HR93" s="308"/>
      <c r="HS93" s="308"/>
      <c r="HT93" s="308"/>
      <c r="HU93" s="308"/>
      <c r="HV93" s="308"/>
      <c r="HW93" s="308"/>
      <c r="HX93" s="308"/>
      <c r="HY93" s="308"/>
      <c r="HZ93" s="308"/>
      <c r="IA93" s="308"/>
      <c r="IB93" s="308"/>
      <c r="IC93" s="308"/>
      <c r="ID93" s="308"/>
      <c r="IE93" s="308"/>
      <c r="IF93" s="308"/>
      <c r="IG93" s="308"/>
      <c r="IH93" s="308"/>
      <c r="II93" s="308"/>
      <c r="IJ93" s="308"/>
      <c r="IK93" s="308"/>
      <c r="IL93" s="308"/>
      <c r="IM93" s="308"/>
      <c r="IN93" s="308"/>
      <c r="IO93" s="308"/>
      <c r="IP93" s="308"/>
      <c r="IQ93" s="308"/>
      <c r="IR93" s="308"/>
      <c r="IS93" s="308"/>
      <c r="IT93" s="308"/>
      <c r="IU93" s="308"/>
      <c r="IV93" s="308"/>
      <c r="IW93" s="308"/>
      <c r="IX93" s="308"/>
      <c r="IY93" s="308"/>
      <c r="IZ93" s="308"/>
      <c r="JA93" s="308"/>
      <c r="JB93" s="308"/>
      <c r="JC93" s="308"/>
      <c r="JD93" s="308"/>
      <c r="JE93" s="308"/>
      <c r="JF93" s="308"/>
      <c r="JG93" s="308"/>
      <c r="JH93" s="308"/>
      <c r="JI93" s="308"/>
      <c r="JJ93" s="308"/>
      <c r="JK93" s="308"/>
      <c r="JL93" s="308"/>
      <c r="JM93" s="308"/>
      <c r="JN93" s="308"/>
      <c r="JO93" s="308"/>
      <c r="JP93" s="308"/>
      <c r="JQ93" s="308"/>
      <c r="JR93" s="308"/>
      <c r="JS93" s="308"/>
      <c r="JT93" s="308"/>
      <c r="JU93" s="308"/>
      <c r="JV93" s="308"/>
      <c r="JW93" s="308"/>
      <c r="JX93" s="308"/>
      <c r="JY93" s="308"/>
      <c r="JZ93" s="308"/>
      <c r="KA93" s="308"/>
      <c r="KB93" s="308"/>
      <c r="KC93" s="308"/>
      <c r="KD93" s="308"/>
      <c r="KE93" s="308"/>
      <c r="KF93" s="308"/>
      <c r="KG93" s="308"/>
      <c r="KH93" s="308"/>
      <c r="KI93" s="308"/>
      <c r="KJ93" s="308"/>
      <c r="KK93" s="308"/>
      <c r="KL93" s="308"/>
      <c r="KM93" s="308"/>
      <c r="KN93" s="308"/>
      <c r="KO93" s="308"/>
      <c r="KP93" s="308"/>
      <c r="KQ93" s="308"/>
      <c r="KR93" s="308"/>
      <c r="KS93" s="308"/>
      <c r="KT93" s="308"/>
      <c r="KU93" s="308"/>
      <c r="KV93" s="308"/>
      <c r="KW93" s="308"/>
      <c r="KX93" s="308"/>
      <c r="KY93" s="308"/>
      <c r="KZ93" s="308"/>
      <c r="LA93" s="308"/>
      <c r="LB93" s="308"/>
      <c r="LC93" s="308"/>
      <c r="LD93" s="308"/>
      <c r="LE93" s="308"/>
      <c r="LF93" s="308"/>
      <c r="LG93" s="308"/>
      <c r="LH93" s="308"/>
      <c r="LI93" s="308"/>
      <c r="LJ93" s="308"/>
      <c r="LK93" s="308"/>
      <c r="LL93" s="308"/>
      <c r="LM93" s="308"/>
      <c r="LN93" s="308"/>
      <c r="LO93" s="308"/>
      <c r="LP93" s="308"/>
      <c r="LQ93" s="308"/>
      <c r="LR93" s="308"/>
      <c r="LS93" s="308"/>
      <c r="LT93" s="308"/>
      <c r="LU93" s="308"/>
      <c r="LV93" s="308"/>
      <c r="LW93" s="308"/>
      <c r="LX93" s="308"/>
      <c r="LY93" s="308"/>
      <c r="LZ93" s="308"/>
      <c r="MA93" s="308"/>
      <c r="MB93" s="308"/>
      <c r="MC93" s="308"/>
      <c r="MD93" s="308"/>
      <c r="ME93" s="308"/>
      <c r="MF93" s="308"/>
      <c r="MG93" s="308"/>
      <c r="MH93" s="308"/>
      <c r="MI93" s="308"/>
      <c r="MJ93" s="308"/>
      <c r="MK93" s="308"/>
      <c r="ML93" s="308"/>
      <c r="MM93" s="308"/>
      <c r="MN93" s="308"/>
      <c r="MO93" s="308"/>
      <c r="MP93" s="308"/>
      <c r="MQ93" s="308"/>
      <c r="MR93" s="308"/>
      <c r="MS93" s="308"/>
      <c r="MT93" s="308"/>
      <c r="MU93" s="308"/>
      <c r="MV93" s="308"/>
      <c r="MW93" s="308"/>
      <c r="MX93" s="308"/>
      <c r="MY93" s="308"/>
      <c r="MZ93" s="308"/>
      <c r="NA93" s="308"/>
      <c r="NB93" s="308"/>
      <c r="NC93" s="308"/>
      <c r="ND93" s="308"/>
      <c r="NE93" s="308"/>
      <c r="NF93" s="308"/>
      <c r="NG93" s="308"/>
      <c r="NH93" s="308"/>
      <c r="NI93" s="308"/>
      <c r="NJ93" s="308"/>
      <c r="NK93" s="308"/>
      <c r="NL93" s="308"/>
      <c r="NM93" s="308"/>
      <c r="NN93" s="308"/>
      <c r="NO93" s="308"/>
      <c r="NP93" s="308"/>
      <c r="NQ93" s="308"/>
      <c r="NR93" s="308"/>
      <c r="NS93" s="308"/>
      <c r="NT93" s="308"/>
      <c r="NU93" s="308"/>
      <c r="NV93" s="308"/>
      <c r="NW93" s="308"/>
      <c r="NX93" s="308"/>
      <c r="NY93" s="308"/>
      <c r="NZ93" s="308"/>
      <c r="OA93" s="308"/>
      <c r="OB93" s="308"/>
      <c r="OC93" s="308"/>
      <c r="OD93" s="308"/>
      <c r="OE93" s="308"/>
      <c r="OF93" s="308"/>
      <c r="OG93" s="308"/>
      <c r="OH93" s="308"/>
      <c r="OI93" s="308"/>
      <c r="OJ93" s="308"/>
      <c r="OK93" s="308"/>
      <c r="OL93" s="308"/>
      <c r="OM93" s="308"/>
      <c r="ON93" s="308"/>
      <c r="OO93" s="308"/>
      <c r="OP93" s="308"/>
      <c r="OQ93" s="308"/>
      <c r="OR93" s="308"/>
      <c r="OS93" s="308"/>
      <c r="OT93" s="308"/>
      <c r="OU93" s="308"/>
      <c r="OV93" s="308"/>
      <c r="OW93" s="308"/>
      <c r="OX93" s="308"/>
      <c r="OY93" s="308"/>
      <c r="OZ93" s="308"/>
      <c r="PA93" s="308"/>
      <c r="PB93" s="308"/>
      <c r="PC93" s="308"/>
      <c r="PD93" s="308"/>
      <c r="PE93" s="308"/>
      <c r="PF93" s="308"/>
      <c r="PG93" s="308"/>
      <c r="PH93" s="308"/>
      <c r="PI93" s="308"/>
      <c r="PJ93" s="308"/>
      <c r="PK93" s="308"/>
      <c r="PL93" s="308"/>
      <c r="PM93" s="308"/>
      <c r="PN93" s="308"/>
      <c r="PO93" s="308"/>
      <c r="PP93" s="308"/>
      <c r="PQ93" s="308"/>
      <c r="PR93" s="308"/>
      <c r="PS93" s="308"/>
      <c r="PT93" s="308"/>
      <c r="PU93" s="308"/>
      <c r="PV93" s="308"/>
      <c r="PW93" s="308"/>
      <c r="PX93" s="308"/>
      <c r="PY93" s="308"/>
      <c r="PZ93" s="308"/>
      <c r="QA93" s="308"/>
      <c r="QB93" s="308"/>
      <c r="QC93" s="308"/>
      <c r="QD93" s="308"/>
      <c r="QE93" s="308"/>
      <c r="QF93" s="308"/>
      <c r="QG93" s="308"/>
      <c r="QH93" s="308"/>
      <c r="QI93" s="308"/>
      <c r="QJ93" s="308"/>
      <c r="QK93" s="308"/>
      <c r="QL93" s="308"/>
      <c r="QM93" s="308"/>
      <c r="QN93" s="308"/>
      <c r="QO93" s="308"/>
      <c r="QP93" s="308"/>
      <c r="QQ93" s="308"/>
      <c r="QR93" s="308"/>
      <c r="QS93" s="308"/>
      <c r="QT93" s="308"/>
      <c r="QU93" s="308"/>
      <c r="QV93" s="308"/>
      <c r="QW93" s="308"/>
      <c r="QX93" s="308"/>
      <c r="QY93" s="308"/>
      <c r="QZ93" s="308"/>
      <c r="RA93" s="308"/>
      <c r="RB93" s="308"/>
      <c r="RC93" s="308"/>
      <c r="RD93" s="308"/>
      <c r="RE93" s="308"/>
      <c r="RF93" s="308"/>
      <c r="RG93" s="308"/>
      <c r="RH93" s="308"/>
      <c r="RI93" s="308"/>
      <c r="RJ93" s="308"/>
      <c r="RK93" s="308"/>
      <c r="RL93" s="308"/>
      <c r="RM93" s="308"/>
      <c r="RN93" s="308"/>
      <c r="RO93" s="308"/>
      <c r="RP93" s="308"/>
      <c r="RQ93" s="308"/>
      <c r="RR93" s="308"/>
      <c r="RS93" s="308"/>
      <c r="RT93" s="308"/>
      <c r="RU93" s="308"/>
      <c r="RV93" s="308"/>
      <c r="RW93" s="308"/>
      <c r="RX93" s="308"/>
      <c r="RY93" s="308"/>
      <c r="RZ93" s="308"/>
      <c r="SA93" s="308"/>
      <c r="SB93" s="308"/>
      <c r="SC93" s="308"/>
      <c r="SD93" s="308"/>
      <c r="SE93" s="308"/>
      <c r="SF93" s="308"/>
      <c r="SG93" s="308"/>
      <c r="SH93" s="308"/>
      <c r="SI93" s="308"/>
      <c r="SJ93" s="308"/>
      <c r="SK93" s="308"/>
      <c r="SL93" s="308"/>
      <c r="SM93" s="308"/>
      <c r="SN93" s="308"/>
      <c r="SO93" s="308"/>
      <c r="SP93" s="308"/>
      <c r="SQ93" s="308"/>
      <c r="SR93" s="308"/>
      <c r="SS93" s="308"/>
      <c r="ST93" s="308"/>
      <c r="SU93" s="308"/>
      <c r="SV93" s="308"/>
      <c r="SW93" s="308"/>
      <c r="SX93" s="308"/>
      <c r="SY93" s="308"/>
      <c r="SZ93" s="308"/>
      <c r="TA93" s="308"/>
      <c r="TB93" s="308"/>
      <c r="TC93" s="308"/>
      <c r="TD93" s="308"/>
      <c r="TE93" s="308"/>
      <c r="TF93" s="308"/>
      <c r="TG93" s="308"/>
      <c r="TH93" s="308"/>
      <c r="TI93" s="308"/>
      <c r="TJ93" s="308"/>
      <c r="TK93" s="308"/>
      <c r="TL93" s="308"/>
      <c r="TM93" s="308"/>
      <c r="TN93" s="308"/>
      <c r="TO93" s="308"/>
      <c r="TP93" s="308"/>
      <c r="TQ93" s="308"/>
      <c r="TR93" s="308"/>
      <c r="TS93" s="308"/>
      <c r="TT93" s="308"/>
      <c r="TU93" s="308"/>
      <c r="TV93" s="308"/>
      <c r="TW93" s="308"/>
      <c r="TX93" s="308"/>
      <c r="TY93" s="308"/>
      <c r="TZ93" s="308"/>
      <c r="UA93" s="308"/>
      <c r="UB93" s="308"/>
      <c r="UC93" s="308"/>
      <c r="UD93" s="308"/>
      <c r="UE93" s="308"/>
      <c r="UF93" s="308"/>
      <c r="UG93" s="308"/>
      <c r="UH93" s="308"/>
      <c r="UI93" s="308"/>
      <c r="UJ93" s="308"/>
      <c r="UK93" s="308"/>
      <c r="UL93" s="308"/>
      <c r="UM93" s="308"/>
      <c r="UN93" s="308"/>
      <c r="UO93" s="308"/>
      <c r="UP93" s="308"/>
      <c r="UQ93" s="308"/>
      <c r="UR93" s="308"/>
      <c r="US93" s="308"/>
      <c r="UT93" s="308"/>
      <c r="UU93" s="308"/>
      <c r="UV93" s="308"/>
      <c r="UW93" s="308"/>
      <c r="UX93" s="308"/>
      <c r="UY93" s="308"/>
      <c r="UZ93" s="308"/>
      <c r="VA93" s="308"/>
      <c r="VB93" s="308"/>
      <c r="VC93" s="308"/>
      <c r="VD93" s="308"/>
      <c r="VE93" s="308"/>
      <c r="VF93" s="308"/>
      <c r="VG93" s="308"/>
      <c r="VH93" s="308"/>
      <c r="VI93" s="308"/>
      <c r="VJ93" s="308"/>
      <c r="VK93" s="308"/>
      <c r="VL93" s="308"/>
      <c r="VM93" s="308"/>
      <c r="VN93" s="308"/>
      <c r="VO93" s="308"/>
      <c r="VP93" s="308"/>
      <c r="VQ93" s="308"/>
      <c r="VR93" s="308"/>
      <c r="VS93" s="308"/>
      <c r="VT93" s="308"/>
      <c r="VU93" s="308"/>
      <c r="VV93" s="308"/>
      <c r="VW93" s="308"/>
      <c r="VX93" s="308"/>
      <c r="VY93" s="308"/>
      <c r="VZ93" s="308"/>
      <c r="WA93" s="308"/>
      <c r="WB93" s="308"/>
      <c r="WC93" s="308"/>
      <c r="WD93" s="308"/>
      <c r="WE93" s="308"/>
      <c r="WF93" s="308"/>
      <c r="WG93" s="308"/>
      <c r="WH93" s="308"/>
      <c r="WI93" s="308"/>
      <c r="WJ93" s="308"/>
      <c r="WK93" s="308"/>
      <c r="WL93" s="308"/>
      <c r="WM93" s="308"/>
      <c r="WN93" s="308"/>
      <c r="WO93" s="308"/>
      <c r="WP93" s="308"/>
      <c r="WQ93" s="308"/>
      <c r="WR93" s="308"/>
      <c r="WS93" s="308"/>
      <c r="WT93" s="308"/>
      <c r="WU93" s="308"/>
      <c r="WV93" s="308"/>
      <c r="WW93" s="308"/>
      <c r="WX93" s="308"/>
      <c r="WY93" s="308"/>
      <c r="WZ93" s="308"/>
      <c r="XA93" s="308"/>
      <c r="XB93" s="308"/>
      <c r="XC93" s="308"/>
      <c r="XD93" s="308"/>
      <c r="XE93" s="308"/>
      <c r="XF93" s="308"/>
      <c r="XG93" s="308"/>
      <c r="XH93" s="308"/>
      <c r="XI93" s="308"/>
      <c r="XJ93" s="308"/>
      <c r="XK93" s="308"/>
      <c r="XL93" s="308"/>
      <c r="XM93" s="308"/>
      <c r="XN93" s="308"/>
      <c r="XO93" s="308"/>
      <c r="XP93" s="308"/>
      <c r="XQ93" s="308"/>
      <c r="XR93" s="308"/>
      <c r="XS93" s="308"/>
      <c r="XT93" s="308"/>
      <c r="XU93" s="308"/>
      <c r="XV93" s="308"/>
      <c r="XW93" s="308"/>
      <c r="XX93" s="308"/>
      <c r="XY93" s="308"/>
      <c r="XZ93" s="308"/>
      <c r="YA93" s="308"/>
      <c r="YB93" s="308"/>
      <c r="YC93" s="308"/>
      <c r="YD93" s="308"/>
      <c r="YE93" s="308"/>
      <c r="YF93" s="308"/>
      <c r="YG93" s="308"/>
      <c r="YH93" s="308"/>
      <c r="YI93" s="308"/>
      <c r="YJ93" s="308"/>
      <c r="YK93" s="308"/>
      <c r="YL93" s="308"/>
      <c r="YM93" s="308"/>
      <c r="YN93" s="308"/>
      <c r="YO93" s="308"/>
      <c r="YP93" s="308"/>
      <c r="YQ93" s="308"/>
      <c r="YR93" s="308"/>
      <c r="YS93" s="308"/>
      <c r="YT93" s="308"/>
      <c r="YU93" s="308"/>
      <c r="YV93" s="308"/>
      <c r="YW93" s="308"/>
      <c r="YX93" s="308"/>
      <c r="YY93" s="308"/>
      <c r="YZ93" s="308"/>
      <c r="ZA93" s="308"/>
      <c r="ZB93" s="308"/>
      <c r="ZC93" s="308"/>
      <c r="ZD93" s="308"/>
      <c r="ZE93" s="308"/>
      <c r="ZF93" s="308"/>
      <c r="ZG93" s="308"/>
      <c r="ZH93" s="308"/>
      <c r="ZI93" s="308"/>
      <c r="ZJ93" s="308"/>
      <c r="ZK93" s="308"/>
      <c r="ZL93" s="308"/>
      <c r="ZM93" s="308"/>
      <c r="ZN93" s="308"/>
      <c r="ZO93" s="308"/>
      <c r="ZP93" s="308"/>
      <c r="ZQ93" s="308"/>
      <c r="ZR93" s="308"/>
      <c r="ZS93" s="308"/>
      <c r="ZT93" s="308"/>
      <c r="ZU93" s="308"/>
      <c r="ZV93" s="308"/>
      <c r="ZW93" s="308"/>
      <c r="ZX93" s="308"/>
      <c r="ZY93" s="308"/>
      <c r="ZZ93" s="308"/>
      <c r="AAA93" s="308"/>
      <c r="AAB93" s="308"/>
      <c r="AAC93" s="308"/>
      <c r="AAD93" s="308"/>
      <c r="AAE93" s="308"/>
      <c r="AAF93" s="308"/>
      <c r="AAG93" s="308"/>
      <c r="AAH93" s="308"/>
      <c r="AAI93" s="308"/>
      <c r="AAJ93" s="308"/>
      <c r="AAK93" s="308"/>
      <c r="AAL93" s="308"/>
      <c r="AAM93" s="308"/>
      <c r="AAN93" s="308"/>
      <c r="AAO93" s="308"/>
      <c r="AAP93" s="308"/>
      <c r="AAQ93" s="308"/>
      <c r="AAR93" s="308"/>
      <c r="AAS93" s="308"/>
      <c r="AAT93" s="308"/>
      <c r="AAU93" s="308"/>
      <c r="AAV93" s="308"/>
      <c r="AAW93" s="308"/>
      <c r="AAX93" s="308"/>
      <c r="AAY93" s="308"/>
      <c r="AAZ93" s="308"/>
      <c r="ABA93" s="308"/>
      <c r="ABB93" s="308"/>
      <c r="ABC93" s="308"/>
      <c r="ABD93" s="308"/>
      <c r="ABE93" s="308"/>
      <c r="ABF93" s="308"/>
      <c r="ABG93" s="308"/>
      <c r="ABH93" s="308"/>
      <c r="ABI93" s="308"/>
      <c r="ABJ93" s="308"/>
      <c r="ABK93" s="308"/>
      <c r="ABL93" s="308"/>
      <c r="ABM93" s="308"/>
      <c r="ABN93" s="308"/>
      <c r="ABO93" s="308"/>
      <c r="ABP93" s="308"/>
      <c r="ABQ93" s="308"/>
      <c r="ABR93" s="308"/>
      <c r="ABS93" s="308"/>
      <c r="ABT93" s="308"/>
      <c r="ABU93" s="308"/>
      <c r="ABV93" s="308"/>
      <c r="ABW93" s="308"/>
      <c r="ABX93" s="308"/>
      <c r="ABY93" s="308"/>
      <c r="ABZ93" s="308"/>
      <c r="ACA93" s="308"/>
      <c r="ACB93" s="308"/>
      <c r="ACC93" s="308"/>
      <c r="ACD93" s="308"/>
      <c r="ACE93" s="308"/>
      <c r="ACF93" s="308"/>
      <c r="ACG93" s="308"/>
      <c r="ACH93" s="308"/>
      <c r="ACI93" s="308"/>
      <c r="ACJ93" s="308"/>
      <c r="ACK93" s="308"/>
      <c r="ACL93" s="308"/>
      <c r="ACM93" s="308"/>
      <c r="ACN93" s="308"/>
      <c r="ACO93" s="308"/>
      <c r="ACP93" s="308"/>
      <c r="ACQ93" s="308"/>
      <c r="ACR93" s="308"/>
      <c r="ACS93" s="308"/>
      <c r="ACT93" s="308"/>
      <c r="ACU93" s="308"/>
      <c r="ACV93" s="308"/>
      <c r="ACW93" s="308"/>
      <c r="ACX93" s="308"/>
      <c r="ACY93" s="308"/>
      <c r="ACZ93" s="308"/>
      <c r="ADA93" s="308"/>
      <c r="ADB93" s="308"/>
      <c r="ADC93" s="308"/>
      <c r="ADD93" s="308"/>
      <c r="ADE93" s="308"/>
      <c r="ADF93" s="308"/>
      <c r="ADG93" s="308"/>
      <c r="ADH93" s="308"/>
      <c r="ADI93" s="308"/>
      <c r="ADJ93" s="308"/>
      <c r="ADK93" s="308"/>
      <c r="ADL93" s="308"/>
      <c r="ADM93" s="308"/>
      <c r="ADN93" s="308"/>
      <c r="ADO93" s="308"/>
      <c r="ADP93" s="308"/>
      <c r="ADQ93" s="308"/>
      <c r="ADR93" s="308"/>
      <c r="ADS93" s="308"/>
      <c r="ADT93" s="308"/>
      <c r="ADU93" s="308"/>
      <c r="ADV93" s="308"/>
      <c r="ADW93" s="308"/>
      <c r="ADX93" s="308"/>
      <c r="ADY93" s="308"/>
      <c r="ADZ93" s="308"/>
      <c r="AEA93" s="308"/>
      <c r="AEB93" s="308"/>
      <c r="AEC93" s="308"/>
      <c r="AED93" s="308"/>
      <c r="AEE93" s="308"/>
      <c r="AEF93" s="308"/>
      <c r="AEG93" s="308"/>
      <c r="AEH93" s="308"/>
      <c r="AEI93" s="308"/>
      <c r="AEJ93" s="308"/>
      <c r="AEK93" s="308"/>
      <c r="AEL93" s="308"/>
      <c r="AEM93" s="308"/>
      <c r="AEN93" s="308"/>
      <c r="AEO93" s="308"/>
      <c r="AEP93" s="308"/>
      <c r="AEQ93" s="308"/>
      <c r="AER93" s="308"/>
      <c r="AES93" s="308"/>
      <c r="AET93" s="308"/>
      <c r="AEU93" s="308"/>
      <c r="AEV93" s="308"/>
      <c r="AEW93" s="308"/>
      <c r="AEX93" s="308"/>
      <c r="AEY93" s="308"/>
      <c r="AEZ93" s="308"/>
      <c r="AFA93" s="308"/>
      <c r="AFB93" s="308"/>
      <c r="AFC93" s="308"/>
      <c r="AFD93" s="308"/>
      <c r="AFE93" s="308"/>
      <c r="AFF93" s="308"/>
      <c r="AFG93" s="308"/>
      <c r="AFH93" s="308"/>
      <c r="AFI93" s="308"/>
      <c r="AFJ93" s="308"/>
      <c r="AFK93" s="308"/>
      <c r="AFL93" s="308"/>
      <c r="AFM93" s="308"/>
      <c r="AFN93" s="308"/>
      <c r="AFO93" s="308"/>
      <c r="AFP93" s="308"/>
      <c r="AFQ93" s="308"/>
      <c r="AFR93" s="308"/>
      <c r="AFS93" s="308"/>
      <c r="AFT93" s="308"/>
      <c r="AFU93" s="308"/>
      <c r="AFV93" s="308"/>
      <c r="AFW93" s="308"/>
      <c r="AFX93" s="308"/>
      <c r="AFY93" s="308"/>
      <c r="AFZ93" s="308"/>
      <c r="AGA93" s="308"/>
      <c r="AGB93" s="308"/>
      <c r="AGC93" s="308"/>
      <c r="AGD93" s="308"/>
      <c r="AGE93" s="308"/>
      <c r="AGF93" s="308"/>
      <c r="AGG93" s="308"/>
      <c r="AGH93" s="308"/>
      <c r="AGI93" s="308"/>
      <c r="AGJ93" s="308"/>
      <c r="AGK93" s="308"/>
      <c r="AGL93" s="308"/>
      <c r="AGM93" s="308"/>
      <c r="AGN93" s="308"/>
      <c r="AGO93" s="308"/>
      <c r="AGP93" s="308"/>
      <c r="AGQ93" s="308"/>
      <c r="AGR93" s="308"/>
      <c r="AGS93" s="308"/>
      <c r="AGT93" s="308"/>
      <c r="AGU93" s="308"/>
      <c r="AGV93" s="308"/>
      <c r="AGW93" s="308"/>
      <c r="AGX93" s="308"/>
      <c r="AGY93" s="308"/>
      <c r="AGZ93" s="308"/>
      <c r="AHA93" s="308"/>
      <c r="AHB93" s="308"/>
      <c r="AHC93" s="308"/>
      <c r="AHD93" s="308"/>
      <c r="AHE93" s="308"/>
      <c r="AHF93" s="308"/>
      <c r="AHG93" s="308"/>
      <c r="AHH93" s="308"/>
      <c r="AHI93" s="308"/>
      <c r="AHJ93" s="308"/>
      <c r="AHK93" s="308"/>
      <c r="AHL93" s="308"/>
      <c r="AHM93" s="308"/>
      <c r="AHN93" s="308"/>
      <c r="AHO93" s="308"/>
      <c r="AHP93" s="308"/>
      <c r="AHQ93" s="308"/>
      <c r="AHR93" s="308"/>
      <c r="AHS93" s="308"/>
      <c r="AHT93" s="308"/>
      <c r="AHU93" s="308"/>
      <c r="AHV93" s="308"/>
      <c r="AHW93" s="308"/>
      <c r="AHX93" s="308"/>
      <c r="AHY93" s="308"/>
      <c r="AHZ93" s="308"/>
      <c r="AIA93" s="308"/>
      <c r="AIB93" s="308"/>
      <c r="AIC93" s="308"/>
      <c r="AID93" s="308"/>
      <c r="AIE93" s="308"/>
      <c r="AIF93" s="308"/>
      <c r="AIG93" s="308"/>
      <c r="AIH93" s="308"/>
      <c r="AII93" s="308"/>
      <c r="AIJ93" s="308"/>
      <c r="AIK93" s="308"/>
      <c r="AIL93" s="308"/>
      <c r="AIM93" s="308"/>
      <c r="AIN93" s="308"/>
      <c r="AIO93" s="308"/>
      <c r="AIP93" s="308"/>
      <c r="AIQ93" s="308"/>
      <c r="AIR93" s="308"/>
      <c r="AIS93" s="308"/>
      <c r="AIT93" s="308"/>
      <c r="AIU93" s="308"/>
      <c r="AIV93" s="308"/>
      <c r="AIW93" s="308"/>
      <c r="AIX93" s="308"/>
      <c r="AIY93" s="308"/>
      <c r="AIZ93" s="308"/>
      <c r="AJA93" s="308"/>
      <c r="AJB93" s="308"/>
      <c r="AJC93" s="308"/>
    </row>
    <row r="94" spans="1:940" s="546" customFormat="1">
      <c r="A94" s="113">
        <f t="shared" si="55"/>
        <v>83</v>
      </c>
      <c r="B94" s="113">
        <v>1757</v>
      </c>
      <c r="C94" s="113" t="s">
        <v>26</v>
      </c>
      <c r="D94" s="117">
        <v>300000</v>
      </c>
      <c r="E94" s="117">
        <v>300000</v>
      </c>
      <c r="F94" s="117">
        <f t="shared" si="56"/>
        <v>0</v>
      </c>
      <c r="G94" s="117">
        <v>110000</v>
      </c>
      <c r="H94" s="117">
        <v>10908.07</v>
      </c>
      <c r="I94" s="117">
        <v>908.93</v>
      </c>
      <c r="J94" s="117"/>
      <c r="K94" s="117">
        <f t="shared" si="43"/>
        <v>908.93</v>
      </c>
      <c r="L94" s="117">
        <f t="shared" si="44"/>
        <v>11817</v>
      </c>
      <c r="M94" s="117">
        <f>P94+S94-50000</f>
        <v>48183</v>
      </c>
      <c r="N94" s="117">
        <v>100000</v>
      </c>
      <c r="O94" s="117">
        <f>D94-L94-M94-N94</f>
        <v>140000</v>
      </c>
      <c r="P94" s="117">
        <f t="shared" si="45"/>
        <v>98183</v>
      </c>
      <c r="Q94" s="117"/>
      <c r="R94" s="117"/>
      <c r="S94" s="117">
        <f t="shared" si="46"/>
        <v>0</v>
      </c>
      <c r="T94" s="117">
        <f t="shared" si="47"/>
        <v>50000</v>
      </c>
      <c r="U94" s="117">
        <f t="shared" si="48"/>
        <v>50000</v>
      </c>
      <c r="V94" s="117">
        <f t="shared" si="49"/>
        <v>50000</v>
      </c>
      <c r="W94" s="543"/>
      <c r="X94" s="117"/>
      <c r="Y94" s="117"/>
      <c r="Z94" s="113"/>
      <c r="AA94" s="113">
        <v>732000</v>
      </c>
      <c r="AB94" s="117"/>
      <c r="AC94" s="117"/>
      <c r="AD94" s="117"/>
      <c r="AE94" s="117"/>
      <c r="AF94" s="117"/>
      <c r="AG94" s="117"/>
      <c r="AH94" s="117"/>
      <c r="AI94" s="117"/>
      <c r="AJ94" s="117"/>
      <c r="AK94" s="117">
        <f t="shared" si="24"/>
        <v>0</v>
      </c>
      <c r="AL94" s="565"/>
      <c r="AM94" s="566">
        <f t="shared" si="50"/>
        <v>0</v>
      </c>
      <c r="AN94" s="117">
        <f t="shared" si="51"/>
        <v>50000</v>
      </c>
      <c r="AO94" s="117">
        <f t="shared" si="52"/>
        <v>0</v>
      </c>
      <c r="AP94" s="565"/>
      <c r="AQ94" s="565"/>
      <c r="AR94" s="565"/>
      <c r="AS94" s="565"/>
      <c r="AT94" s="117">
        <f t="shared" si="53"/>
        <v>0</v>
      </c>
      <c r="AU94" s="565"/>
      <c r="AV94" s="565"/>
      <c r="AW94" s="565"/>
      <c r="AX94" s="565"/>
      <c r="AY94" s="117">
        <f t="shared" si="54"/>
        <v>50000</v>
      </c>
      <c r="AZ94" s="565"/>
      <c r="BA94" s="565"/>
      <c r="BB94" s="565"/>
      <c r="BC94" s="565"/>
      <c r="BD94" s="308"/>
      <c r="BE94" s="308"/>
      <c r="BF94" s="308"/>
      <c r="BG94" s="308"/>
      <c r="BH94" s="308"/>
      <c r="BI94" s="308"/>
      <c r="BJ94" s="308"/>
      <c r="BK94" s="308"/>
      <c r="BL94" s="308"/>
      <c r="BM94" s="308"/>
      <c r="BN94" s="308"/>
      <c r="BO94" s="308"/>
      <c r="BP94" s="308"/>
      <c r="BQ94" s="308"/>
      <c r="BR94" s="308"/>
      <c r="BS94" s="308"/>
      <c r="BT94" s="308"/>
      <c r="BU94" s="308"/>
      <c r="BV94" s="308"/>
      <c r="BW94" s="308"/>
      <c r="BX94" s="308"/>
      <c r="BY94" s="308"/>
      <c r="BZ94" s="308"/>
      <c r="CA94" s="308"/>
      <c r="CB94" s="308"/>
      <c r="CC94" s="308"/>
      <c r="CD94" s="308"/>
      <c r="CE94" s="308"/>
      <c r="CF94" s="308"/>
      <c r="CG94" s="308"/>
      <c r="CH94" s="308"/>
      <c r="CI94" s="308"/>
      <c r="CJ94" s="308"/>
      <c r="CK94" s="308"/>
      <c r="CL94" s="308"/>
      <c r="CM94" s="308"/>
      <c r="CN94" s="308"/>
      <c r="CO94" s="308"/>
      <c r="CP94" s="308"/>
      <c r="CQ94" s="308"/>
      <c r="CR94" s="308"/>
      <c r="CS94" s="308"/>
      <c r="CT94" s="308"/>
      <c r="CU94" s="308"/>
      <c r="CV94" s="308"/>
      <c r="CW94" s="308"/>
      <c r="CX94" s="308"/>
      <c r="CY94" s="308"/>
      <c r="CZ94" s="308"/>
      <c r="DA94" s="308"/>
      <c r="DB94" s="308"/>
      <c r="DC94" s="308"/>
      <c r="DD94" s="308"/>
      <c r="DE94" s="308"/>
      <c r="DF94" s="308"/>
      <c r="DG94" s="308"/>
      <c r="DH94" s="308"/>
      <c r="DI94" s="308"/>
      <c r="DJ94" s="308"/>
      <c r="DK94" s="308"/>
      <c r="DL94" s="308"/>
      <c r="DM94" s="308"/>
      <c r="DN94" s="308"/>
      <c r="DO94" s="308"/>
      <c r="DP94" s="308"/>
      <c r="DQ94" s="308"/>
      <c r="DR94" s="308"/>
      <c r="DS94" s="308"/>
      <c r="DT94" s="308"/>
      <c r="DU94" s="308"/>
      <c r="DV94" s="308"/>
      <c r="DW94" s="308"/>
      <c r="DX94" s="308"/>
      <c r="DY94" s="308"/>
      <c r="DZ94" s="308"/>
      <c r="EA94" s="308"/>
      <c r="EB94" s="308"/>
      <c r="EC94" s="308"/>
      <c r="ED94" s="308"/>
      <c r="EE94" s="308"/>
      <c r="EF94" s="308"/>
      <c r="EG94" s="308"/>
      <c r="EH94" s="308"/>
      <c r="EI94" s="308"/>
      <c r="EJ94" s="308"/>
      <c r="EK94" s="308"/>
      <c r="EL94" s="308"/>
      <c r="EM94" s="308"/>
      <c r="EN94" s="308"/>
      <c r="EO94" s="308"/>
      <c r="EP94" s="308"/>
      <c r="EQ94" s="308"/>
      <c r="ER94" s="308"/>
      <c r="ES94" s="308"/>
      <c r="ET94" s="308"/>
      <c r="EU94" s="308"/>
      <c r="EV94" s="308"/>
      <c r="EW94" s="308"/>
      <c r="EX94" s="308"/>
      <c r="EY94" s="308"/>
      <c r="EZ94" s="308"/>
      <c r="FA94" s="308"/>
      <c r="FB94" s="308"/>
      <c r="FC94" s="308"/>
      <c r="FD94" s="308"/>
      <c r="FE94" s="308"/>
      <c r="FF94" s="308"/>
      <c r="FG94" s="308"/>
      <c r="FH94" s="308"/>
      <c r="FI94" s="308"/>
      <c r="FJ94" s="308"/>
      <c r="FK94" s="308"/>
      <c r="FL94" s="308"/>
      <c r="FM94" s="308"/>
      <c r="FN94" s="308"/>
      <c r="FO94" s="308"/>
      <c r="FP94" s="308"/>
      <c r="FQ94" s="308"/>
      <c r="FR94" s="308"/>
      <c r="FS94" s="308"/>
      <c r="FT94" s="308"/>
      <c r="FU94" s="308"/>
      <c r="FV94" s="308"/>
      <c r="FW94" s="308"/>
      <c r="FX94" s="308"/>
      <c r="FY94" s="308"/>
      <c r="FZ94" s="308"/>
      <c r="GA94" s="308"/>
      <c r="GB94" s="308"/>
      <c r="GC94" s="308"/>
      <c r="GD94" s="308"/>
      <c r="GE94" s="308"/>
      <c r="GF94" s="308"/>
      <c r="GG94" s="308"/>
      <c r="GH94" s="308"/>
      <c r="GI94" s="308"/>
      <c r="GJ94" s="308"/>
      <c r="GK94" s="308"/>
      <c r="GL94" s="308"/>
      <c r="GM94" s="308"/>
      <c r="GN94" s="308"/>
      <c r="GO94" s="308"/>
      <c r="GP94" s="308"/>
      <c r="GQ94" s="308"/>
      <c r="GR94" s="308"/>
      <c r="GS94" s="308"/>
      <c r="GT94" s="308"/>
      <c r="GU94" s="308"/>
      <c r="GV94" s="308"/>
      <c r="GW94" s="308"/>
      <c r="GX94" s="308"/>
      <c r="GY94" s="308"/>
      <c r="GZ94" s="308"/>
      <c r="HA94" s="308"/>
      <c r="HB94" s="308"/>
      <c r="HC94" s="308"/>
      <c r="HD94" s="308"/>
      <c r="HE94" s="308"/>
      <c r="HF94" s="308"/>
      <c r="HG94" s="308"/>
      <c r="HH94" s="308"/>
      <c r="HI94" s="308"/>
      <c r="HJ94" s="308"/>
      <c r="HK94" s="308"/>
      <c r="HL94" s="308"/>
      <c r="HM94" s="308"/>
      <c r="HN94" s="308"/>
      <c r="HO94" s="308"/>
      <c r="HP94" s="308"/>
      <c r="HQ94" s="308"/>
      <c r="HR94" s="308"/>
      <c r="HS94" s="308"/>
      <c r="HT94" s="308"/>
      <c r="HU94" s="308"/>
      <c r="HV94" s="308"/>
      <c r="HW94" s="308"/>
      <c r="HX94" s="308"/>
      <c r="HY94" s="308"/>
      <c r="HZ94" s="308"/>
      <c r="IA94" s="308"/>
      <c r="IB94" s="308"/>
      <c r="IC94" s="308"/>
      <c r="ID94" s="308"/>
      <c r="IE94" s="308"/>
      <c r="IF94" s="308"/>
      <c r="IG94" s="308"/>
      <c r="IH94" s="308"/>
      <c r="II94" s="308"/>
      <c r="IJ94" s="308"/>
      <c r="IK94" s="308"/>
      <c r="IL94" s="308"/>
      <c r="IM94" s="308"/>
      <c r="IN94" s="308"/>
      <c r="IO94" s="308"/>
      <c r="IP94" s="308"/>
      <c r="IQ94" s="308"/>
      <c r="IR94" s="308"/>
      <c r="IS94" s="308"/>
      <c r="IT94" s="308"/>
      <c r="IU94" s="308"/>
      <c r="IV94" s="308"/>
      <c r="IW94" s="308"/>
      <c r="IX94" s="308"/>
      <c r="IY94" s="308"/>
      <c r="IZ94" s="308"/>
      <c r="JA94" s="308"/>
      <c r="JB94" s="308"/>
      <c r="JC94" s="308"/>
      <c r="JD94" s="308"/>
      <c r="JE94" s="308"/>
      <c r="JF94" s="308"/>
      <c r="JG94" s="308"/>
      <c r="JH94" s="308"/>
      <c r="JI94" s="308"/>
      <c r="JJ94" s="308"/>
      <c r="JK94" s="308"/>
      <c r="JL94" s="308"/>
      <c r="JM94" s="308"/>
      <c r="JN94" s="308"/>
      <c r="JO94" s="308"/>
      <c r="JP94" s="308"/>
      <c r="JQ94" s="308"/>
      <c r="JR94" s="308"/>
      <c r="JS94" s="308"/>
      <c r="JT94" s="308"/>
      <c r="JU94" s="308"/>
      <c r="JV94" s="308"/>
      <c r="JW94" s="308"/>
      <c r="JX94" s="308"/>
      <c r="JY94" s="308"/>
      <c r="JZ94" s="308"/>
      <c r="KA94" s="308"/>
      <c r="KB94" s="308"/>
      <c r="KC94" s="308"/>
      <c r="KD94" s="308"/>
      <c r="KE94" s="308"/>
      <c r="KF94" s="308"/>
      <c r="KG94" s="308"/>
      <c r="KH94" s="308"/>
      <c r="KI94" s="308"/>
      <c r="KJ94" s="308"/>
      <c r="KK94" s="308"/>
      <c r="KL94" s="308"/>
      <c r="KM94" s="308"/>
      <c r="KN94" s="308"/>
      <c r="KO94" s="308"/>
      <c r="KP94" s="308"/>
      <c r="KQ94" s="308"/>
      <c r="KR94" s="308"/>
      <c r="KS94" s="308"/>
      <c r="KT94" s="308"/>
      <c r="KU94" s="308"/>
      <c r="KV94" s="308"/>
      <c r="KW94" s="308"/>
      <c r="KX94" s="308"/>
      <c r="KY94" s="308"/>
      <c r="KZ94" s="308"/>
      <c r="LA94" s="308"/>
      <c r="LB94" s="308"/>
      <c r="LC94" s="308"/>
      <c r="LD94" s="308"/>
      <c r="LE94" s="308"/>
      <c r="LF94" s="308"/>
      <c r="LG94" s="308"/>
      <c r="LH94" s="308"/>
      <c r="LI94" s="308"/>
      <c r="LJ94" s="308"/>
      <c r="LK94" s="308"/>
      <c r="LL94" s="308"/>
      <c r="LM94" s="308"/>
      <c r="LN94" s="308"/>
      <c r="LO94" s="308"/>
      <c r="LP94" s="308"/>
      <c r="LQ94" s="308"/>
      <c r="LR94" s="308"/>
      <c r="LS94" s="308"/>
      <c r="LT94" s="308"/>
      <c r="LU94" s="308"/>
      <c r="LV94" s="308"/>
      <c r="LW94" s="308"/>
      <c r="LX94" s="308"/>
      <c r="LY94" s="308"/>
      <c r="LZ94" s="308"/>
      <c r="MA94" s="308"/>
      <c r="MB94" s="308"/>
      <c r="MC94" s="308"/>
      <c r="MD94" s="308"/>
      <c r="ME94" s="308"/>
      <c r="MF94" s="308"/>
      <c r="MG94" s="308"/>
      <c r="MH94" s="308"/>
      <c r="MI94" s="308"/>
      <c r="MJ94" s="308"/>
      <c r="MK94" s="308"/>
      <c r="ML94" s="308"/>
      <c r="MM94" s="308"/>
      <c r="MN94" s="308"/>
      <c r="MO94" s="308"/>
      <c r="MP94" s="308"/>
      <c r="MQ94" s="308"/>
      <c r="MR94" s="308"/>
      <c r="MS94" s="308"/>
      <c r="MT94" s="308"/>
      <c r="MU94" s="308"/>
      <c r="MV94" s="308"/>
      <c r="MW94" s="308"/>
      <c r="MX94" s="308"/>
      <c r="MY94" s="308"/>
      <c r="MZ94" s="308"/>
      <c r="NA94" s="308"/>
      <c r="NB94" s="308"/>
      <c r="NC94" s="308"/>
      <c r="ND94" s="308"/>
      <c r="NE94" s="308"/>
      <c r="NF94" s="308"/>
      <c r="NG94" s="308"/>
      <c r="NH94" s="308"/>
      <c r="NI94" s="308"/>
      <c r="NJ94" s="308"/>
      <c r="NK94" s="308"/>
      <c r="NL94" s="308"/>
      <c r="NM94" s="308"/>
      <c r="NN94" s="308"/>
      <c r="NO94" s="308"/>
      <c r="NP94" s="308"/>
      <c r="NQ94" s="308"/>
      <c r="NR94" s="308"/>
      <c r="NS94" s="308"/>
      <c r="NT94" s="308"/>
      <c r="NU94" s="308"/>
      <c r="NV94" s="308"/>
      <c r="NW94" s="308"/>
      <c r="NX94" s="308"/>
      <c r="NY94" s="308"/>
      <c r="NZ94" s="308"/>
      <c r="OA94" s="308"/>
      <c r="OB94" s="308"/>
      <c r="OC94" s="308"/>
      <c r="OD94" s="308"/>
      <c r="OE94" s="308"/>
      <c r="OF94" s="308"/>
      <c r="OG94" s="308"/>
      <c r="OH94" s="308"/>
      <c r="OI94" s="308"/>
      <c r="OJ94" s="308"/>
      <c r="OK94" s="308"/>
      <c r="OL94" s="308"/>
      <c r="OM94" s="308"/>
      <c r="ON94" s="308"/>
      <c r="OO94" s="308"/>
      <c r="OP94" s="308"/>
      <c r="OQ94" s="308"/>
      <c r="OR94" s="308"/>
      <c r="OS94" s="308"/>
      <c r="OT94" s="308"/>
      <c r="OU94" s="308"/>
      <c r="OV94" s="308"/>
      <c r="OW94" s="308"/>
      <c r="OX94" s="308"/>
      <c r="OY94" s="308"/>
      <c r="OZ94" s="308"/>
      <c r="PA94" s="308"/>
      <c r="PB94" s="308"/>
      <c r="PC94" s="308"/>
      <c r="PD94" s="308"/>
      <c r="PE94" s="308"/>
      <c r="PF94" s="308"/>
      <c r="PG94" s="308"/>
      <c r="PH94" s="308"/>
      <c r="PI94" s="308"/>
      <c r="PJ94" s="308"/>
      <c r="PK94" s="308"/>
      <c r="PL94" s="308"/>
      <c r="PM94" s="308"/>
      <c r="PN94" s="308"/>
      <c r="PO94" s="308"/>
      <c r="PP94" s="308"/>
      <c r="PQ94" s="308"/>
      <c r="PR94" s="308"/>
      <c r="PS94" s="308"/>
      <c r="PT94" s="308"/>
      <c r="PU94" s="308"/>
      <c r="PV94" s="308"/>
      <c r="PW94" s="308"/>
      <c r="PX94" s="308"/>
      <c r="PY94" s="308"/>
      <c r="PZ94" s="308"/>
      <c r="QA94" s="308"/>
      <c r="QB94" s="308"/>
      <c r="QC94" s="308"/>
      <c r="QD94" s="308"/>
      <c r="QE94" s="308"/>
      <c r="QF94" s="308"/>
      <c r="QG94" s="308"/>
      <c r="QH94" s="308"/>
      <c r="QI94" s="308"/>
      <c r="QJ94" s="308"/>
      <c r="QK94" s="308"/>
      <c r="QL94" s="308"/>
      <c r="QM94" s="308"/>
      <c r="QN94" s="308"/>
      <c r="QO94" s="308"/>
      <c r="QP94" s="308"/>
      <c r="QQ94" s="308"/>
      <c r="QR94" s="308"/>
      <c r="QS94" s="308"/>
      <c r="QT94" s="308"/>
      <c r="QU94" s="308"/>
      <c r="QV94" s="308"/>
      <c r="QW94" s="308"/>
      <c r="QX94" s="308"/>
      <c r="QY94" s="308"/>
      <c r="QZ94" s="308"/>
      <c r="RA94" s="308"/>
      <c r="RB94" s="308"/>
      <c r="RC94" s="308"/>
      <c r="RD94" s="308"/>
      <c r="RE94" s="308"/>
      <c r="RF94" s="308"/>
      <c r="RG94" s="308"/>
      <c r="RH94" s="308"/>
      <c r="RI94" s="308"/>
      <c r="RJ94" s="308"/>
      <c r="RK94" s="308"/>
      <c r="RL94" s="308"/>
      <c r="RM94" s="308"/>
      <c r="RN94" s="308"/>
      <c r="RO94" s="308"/>
      <c r="RP94" s="308"/>
      <c r="RQ94" s="308"/>
      <c r="RR94" s="308"/>
      <c r="RS94" s="308"/>
      <c r="RT94" s="308"/>
      <c r="RU94" s="308"/>
      <c r="RV94" s="308"/>
      <c r="RW94" s="308"/>
      <c r="RX94" s="308"/>
      <c r="RY94" s="308"/>
      <c r="RZ94" s="308"/>
      <c r="SA94" s="308"/>
      <c r="SB94" s="308"/>
      <c r="SC94" s="308"/>
      <c r="SD94" s="308"/>
      <c r="SE94" s="308"/>
      <c r="SF94" s="308"/>
      <c r="SG94" s="308"/>
      <c r="SH94" s="308"/>
      <c r="SI94" s="308"/>
      <c r="SJ94" s="308"/>
      <c r="SK94" s="308"/>
      <c r="SL94" s="308"/>
      <c r="SM94" s="308"/>
      <c r="SN94" s="308"/>
      <c r="SO94" s="308"/>
      <c r="SP94" s="308"/>
      <c r="SQ94" s="308"/>
      <c r="SR94" s="308"/>
      <c r="SS94" s="308"/>
      <c r="ST94" s="308"/>
      <c r="SU94" s="308"/>
      <c r="SV94" s="308"/>
      <c r="SW94" s="308"/>
      <c r="SX94" s="308"/>
      <c r="SY94" s="308"/>
      <c r="SZ94" s="308"/>
      <c r="TA94" s="308"/>
      <c r="TB94" s="308"/>
      <c r="TC94" s="308"/>
      <c r="TD94" s="308"/>
      <c r="TE94" s="308"/>
      <c r="TF94" s="308"/>
      <c r="TG94" s="308"/>
      <c r="TH94" s="308"/>
      <c r="TI94" s="308"/>
      <c r="TJ94" s="308"/>
      <c r="TK94" s="308"/>
      <c r="TL94" s="308"/>
      <c r="TM94" s="308"/>
      <c r="TN94" s="308"/>
      <c r="TO94" s="308"/>
      <c r="TP94" s="308"/>
      <c r="TQ94" s="308"/>
      <c r="TR94" s="308"/>
      <c r="TS94" s="308"/>
      <c r="TT94" s="308"/>
      <c r="TU94" s="308"/>
      <c r="TV94" s="308"/>
      <c r="TW94" s="308"/>
      <c r="TX94" s="308"/>
      <c r="TY94" s="308"/>
      <c r="TZ94" s="308"/>
      <c r="UA94" s="308"/>
      <c r="UB94" s="308"/>
      <c r="UC94" s="308"/>
      <c r="UD94" s="308"/>
      <c r="UE94" s="308"/>
      <c r="UF94" s="308"/>
      <c r="UG94" s="308"/>
      <c r="UH94" s="308"/>
      <c r="UI94" s="308"/>
      <c r="UJ94" s="308"/>
      <c r="UK94" s="308"/>
      <c r="UL94" s="308"/>
      <c r="UM94" s="308"/>
      <c r="UN94" s="308"/>
      <c r="UO94" s="308"/>
      <c r="UP94" s="308"/>
      <c r="UQ94" s="308"/>
      <c r="UR94" s="308"/>
      <c r="US94" s="308"/>
      <c r="UT94" s="308"/>
      <c r="UU94" s="308"/>
      <c r="UV94" s="308"/>
      <c r="UW94" s="308"/>
      <c r="UX94" s="308"/>
      <c r="UY94" s="308"/>
      <c r="UZ94" s="308"/>
      <c r="VA94" s="308"/>
      <c r="VB94" s="308"/>
      <c r="VC94" s="308"/>
      <c r="VD94" s="308"/>
      <c r="VE94" s="308"/>
      <c r="VF94" s="308"/>
      <c r="VG94" s="308"/>
      <c r="VH94" s="308"/>
      <c r="VI94" s="308"/>
      <c r="VJ94" s="308"/>
      <c r="VK94" s="308"/>
      <c r="VL94" s="308"/>
      <c r="VM94" s="308"/>
      <c r="VN94" s="308"/>
      <c r="VO94" s="308"/>
      <c r="VP94" s="308"/>
      <c r="VQ94" s="308"/>
      <c r="VR94" s="308"/>
      <c r="VS94" s="308"/>
      <c r="VT94" s="308"/>
      <c r="VU94" s="308"/>
      <c r="VV94" s="308"/>
      <c r="VW94" s="308"/>
      <c r="VX94" s="308"/>
      <c r="VY94" s="308"/>
      <c r="VZ94" s="308"/>
      <c r="WA94" s="308"/>
      <c r="WB94" s="308"/>
      <c r="WC94" s="308"/>
      <c r="WD94" s="308"/>
      <c r="WE94" s="308"/>
      <c r="WF94" s="308"/>
      <c r="WG94" s="308"/>
      <c r="WH94" s="308"/>
      <c r="WI94" s="308"/>
      <c r="WJ94" s="308"/>
      <c r="WK94" s="308"/>
      <c r="WL94" s="308"/>
      <c r="WM94" s="308"/>
      <c r="WN94" s="308"/>
      <c r="WO94" s="308"/>
      <c r="WP94" s="308"/>
      <c r="WQ94" s="308"/>
      <c r="WR94" s="308"/>
      <c r="WS94" s="308"/>
      <c r="WT94" s="308"/>
      <c r="WU94" s="308"/>
      <c r="WV94" s="308"/>
      <c r="WW94" s="308"/>
      <c r="WX94" s="308"/>
      <c r="WY94" s="308"/>
      <c r="WZ94" s="308"/>
      <c r="XA94" s="308"/>
      <c r="XB94" s="308"/>
      <c r="XC94" s="308"/>
      <c r="XD94" s="308"/>
      <c r="XE94" s="308"/>
      <c r="XF94" s="308"/>
      <c r="XG94" s="308"/>
      <c r="XH94" s="308"/>
      <c r="XI94" s="308"/>
      <c r="XJ94" s="308"/>
      <c r="XK94" s="308"/>
      <c r="XL94" s="308"/>
      <c r="XM94" s="308"/>
      <c r="XN94" s="308"/>
      <c r="XO94" s="308"/>
      <c r="XP94" s="308"/>
      <c r="XQ94" s="308"/>
      <c r="XR94" s="308"/>
      <c r="XS94" s="308"/>
      <c r="XT94" s="308"/>
      <c r="XU94" s="308"/>
      <c r="XV94" s="308"/>
      <c r="XW94" s="308"/>
      <c r="XX94" s="308"/>
      <c r="XY94" s="308"/>
      <c r="XZ94" s="308"/>
      <c r="YA94" s="308"/>
      <c r="YB94" s="308"/>
      <c r="YC94" s="308"/>
      <c r="YD94" s="308"/>
      <c r="YE94" s="308"/>
      <c r="YF94" s="308"/>
      <c r="YG94" s="308"/>
      <c r="YH94" s="308"/>
      <c r="YI94" s="308"/>
      <c r="YJ94" s="308"/>
      <c r="YK94" s="308"/>
      <c r="YL94" s="308"/>
      <c r="YM94" s="308"/>
      <c r="YN94" s="308"/>
      <c r="YO94" s="308"/>
      <c r="YP94" s="308"/>
      <c r="YQ94" s="308"/>
      <c r="YR94" s="308"/>
      <c r="YS94" s="308"/>
      <c r="YT94" s="308"/>
      <c r="YU94" s="308"/>
      <c r="YV94" s="308"/>
      <c r="YW94" s="308"/>
      <c r="YX94" s="308"/>
      <c r="YY94" s="308"/>
      <c r="YZ94" s="308"/>
      <c r="ZA94" s="308"/>
      <c r="ZB94" s="308"/>
      <c r="ZC94" s="308"/>
      <c r="ZD94" s="308"/>
      <c r="ZE94" s="308"/>
      <c r="ZF94" s="308"/>
      <c r="ZG94" s="308"/>
      <c r="ZH94" s="308"/>
      <c r="ZI94" s="308"/>
      <c r="ZJ94" s="308"/>
      <c r="ZK94" s="308"/>
      <c r="ZL94" s="308"/>
      <c r="ZM94" s="308"/>
      <c r="ZN94" s="308"/>
      <c r="ZO94" s="308"/>
      <c r="ZP94" s="308"/>
      <c r="ZQ94" s="308"/>
      <c r="ZR94" s="308"/>
      <c r="ZS94" s="308"/>
      <c r="ZT94" s="308"/>
      <c r="ZU94" s="308"/>
      <c r="ZV94" s="308"/>
      <c r="ZW94" s="308"/>
      <c r="ZX94" s="308"/>
      <c r="ZY94" s="308"/>
      <c r="ZZ94" s="308"/>
      <c r="AAA94" s="308"/>
      <c r="AAB94" s="308"/>
      <c r="AAC94" s="308"/>
      <c r="AAD94" s="308"/>
      <c r="AAE94" s="308"/>
      <c r="AAF94" s="308"/>
      <c r="AAG94" s="308"/>
      <c r="AAH94" s="308"/>
      <c r="AAI94" s="308"/>
      <c r="AAJ94" s="308"/>
      <c r="AAK94" s="308"/>
      <c r="AAL94" s="308"/>
      <c r="AAM94" s="308"/>
      <c r="AAN94" s="308"/>
      <c r="AAO94" s="308"/>
      <c r="AAP94" s="308"/>
      <c r="AAQ94" s="308"/>
      <c r="AAR94" s="308"/>
      <c r="AAS94" s="308"/>
      <c r="AAT94" s="308"/>
      <c r="AAU94" s="308"/>
      <c r="AAV94" s="308"/>
      <c r="AAW94" s="308"/>
      <c r="AAX94" s="308"/>
      <c r="AAY94" s="308"/>
      <c r="AAZ94" s="308"/>
      <c r="ABA94" s="308"/>
      <c r="ABB94" s="308"/>
      <c r="ABC94" s="308"/>
      <c r="ABD94" s="308"/>
      <c r="ABE94" s="308"/>
      <c r="ABF94" s="308"/>
      <c r="ABG94" s="308"/>
      <c r="ABH94" s="308"/>
      <c r="ABI94" s="308"/>
      <c r="ABJ94" s="308"/>
      <c r="ABK94" s="308"/>
      <c r="ABL94" s="308"/>
      <c r="ABM94" s="308"/>
      <c r="ABN94" s="308"/>
      <c r="ABO94" s="308"/>
      <c r="ABP94" s="308"/>
      <c r="ABQ94" s="308"/>
      <c r="ABR94" s="308"/>
      <c r="ABS94" s="308"/>
      <c r="ABT94" s="308"/>
      <c r="ABU94" s="308"/>
      <c r="ABV94" s="308"/>
      <c r="ABW94" s="308"/>
      <c r="ABX94" s="308"/>
      <c r="ABY94" s="308"/>
      <c r="ABZ94" s="308"/>
      <c r="ACA94" s="308"/>
      <c r="ACB94" s="308"/>
      <c r="ACC94" s="308"/>
      <c r="ACD94" s="308"/>
      <c r="ACE94" s="308"/>
      <c r="ACF94" s="308"/>
      <c r="ACG94" s="308"/>
      <c r="ACH94" s="308"/>
      <c r="ACI94" s="308"/>
      <c r="ACJ94" s="308"/>
      <c r="ACK94" s="308"/>
      <c r="ACL94" s="308"/>
      <c r="ACM94" s="308"/>
      <c r="ACN94" s="308"/>
      <c r="ACO94" s="308"/>
      <c r="ACP94" s="308"/>
      <c r="ACQ94" s="308"/>
      <c r="ACR94" s="308"/>
      <c r="ACS94" s="308"/>
      <c r="ACT94" s="308"/>
      <c r="ACU94" s="308"/>
      <c r="ACV94" s="308"/>
      <c r="ACW94" s="308"/>
      <c r="ACX94" s="308"/>
      <c r="ACY94" s="308"/>
      <c r="ACZ94" s="308"/>
      <c r="ADA94" s="308"/>
      <c r="ADB94" s="308"/>
      <c r="ADC94" s="308"/>
      <c r="ADD94" s="308"/>
      <c r="ADE94" s="308"/>
      <c r="ADF94" s="308"/>
      <c r="ADG94" s="308"/>
      <c r="ADH94" s="308"/>
      <c r="ADI94" s="308"/>
      <c r="ADJ94" s="308"/>
      <c r="ADK94" s="308"/>
      <c r="ADL94" s="308"/>
      <c r="ADM94" s="308"/>
      <c r="ADN94" s="308"/>
      <c r="ADO94" s="308"/>
      <c r="ADP94" s="308"/>
      <c r="ADQ94" s="308"/>
      <c r="ADR94" s="308"/>
      <c r="ADS94" s="308"/>
      <c r="ADT94" s="308"/>
      <c r="ADU94" s="308"/>
      <c r="ADV94" s="308"/>
      <c r="ADW94" s="308"/>
      <c r="ADX94" s="308"/>
      <c r="ADY94" s="308"/>
      <c r="ADZ94" s="308"/>
      <c r="AEA94" s="308"/>
      <c r="AEB94" s="308"/>
      <c r="AEC94" s="308"/>
      <c r="AED94" s="308"/>
      <c r="AEE94" s="308"/>
      <c r="AEF94" s="308"/>
      <c r="AEG94" s="308"/>
      <c r="AEH94" s="308"/>
      <c r="AEI94" s="308"/>
      <c r="AEJ94" s="308"/>
      <c r="AEK94" s="308"/>
      <c r="AEL94" s="308"/>
      <c r="AEM94" s="308"/>
      <c r="AEN94" s="308"/>
      <c r="AEO94" s="308"/>
      <c r="AEP94" s="308"/>
      <c r="AEQ94" s="308"/>
      <c r="AER94" s="308"/>
      <c r="AES94" s="308"/>
      <c r="AET94" s="308"/>
      <c r="AEU94" s="308"/>
      <c r="AEV94" s="308"/>
      <c r="AEW94" s="308"/>
      <c r="AEX94" s="308"/>
      <c r="AEY94" s="308"/>
      <c r="AEZ94" s="308"/>
      <c r="AFA94" s="308"/>
      <c r="AFB94" s="308"/>
      <c r="AFC94" s="308"/>
      <c r="AFD94" s="308"/>
      <c r="AFE94" s="308"/>
      <c r="AFF94" s="308"/>
      <c r="AFG94" s="308"/>
      <c r="AFH94" s="308"/>
      <c r="AFI94" s="308"/>
      <c r="AFJ94" s="308"/>
      <c r="AFK94" s="308"/>
      <c r="AFL94" s="308"/>
      <c r="AFM94" s="308"/>
      <c r="AFN94" s="308"/>
      <c r="AFO94" s="308"/>
      <c r="AFP94" s="308"/>
      <c r="AFQ94" s="308"/>
      <c r="AFR94" s="308"/>
      <c r="AFS94" s="308"/>
      <c r="AFT94" s="308"/>
      <c r="AFU94" s="308"/>
      <c r="AFV94" s="308"/>
      <c r="AFW94" s="308"/>
      <c r="AFX94" s="308"/>
      <c r="AFY94" s="308"/>
      <c r="AFZ94" s="308"/>
      <c r="AGA94" s="308"/>
      <c r="AGB94" s="308"/>
      <c r="AGC94" s="308"/>
      <c r="AGD94" s="308"/>
      <c r="AGE94" s="308"/>
      <c r="AGF94" s="308"/>
      <c r="AGG94" s="308"/>
      <c r="AGH94" s="308"/>
      <c r="AGI94" s="308"/>
      <c r="AGJ94" s="308"/>
      <c r="AGK94" s="308"/>
      <c r="AGL94" s="308"/>
      <c r="AGM94" s="308"/>
      <c r="AGN94" s="308"/>
      <c r="AGO94" s="308"/>
      <c r="AGP94" s="308"/>
      <c r="AGQ94" s="308"/>
      <c r="AGR94" s="308"/>
      <c r="AGS94" s="308"/>
      <c r="AGT94" s="308"/>
      <c r="AGU94" s="308"/>
      <c r="AGV94" s="308"/>
      <c r="AGW94" s="308"/>
      <c r="AGX94" s="308"/>
      <c r="AGY94" s="308"/>
      <c r="AGZ94" s="308"/>
      <c r="AHA94" s="308"/>
      <c r="AHB94" s="308"/>
      <c r="AHC94" s="308"/>
      <c r="AHD94" s="308"/>
      <c r="AHE94" s="308"/>
      <c r="AHF94" s="308"/>
      <c r="AHG94" s="308"/>
      <c r="AHH94" s="308"/>
      <c r="AHI94" s="308"/>
      <c r="AHJ94" s="308"/>
      <c r="AHK94" s="308"/>
      <c r="AHL94" s="308"/>
      <c r="AHM94" s="308"/>
      <c r="AHN94" s="308"/>
      <c r="AHO94" s="308"/>
      <c r="AHP94" s="308"/>
      <c r="AHQ94" s="308"/>
      <c r="AHR94" s="308"/>
      <c r="AHS94" s="308"/>
      <c r="AHT94" s="308"/>
      <c r="AHU94" s="308"/>
      <c r="AHV94" s="308"/>
      <c r="AHW94" s="308"/>
      <c r="AHX94" s="308"/>
      <c r="AHY94" s="308"/>
      <c r="AHZ94" s="308"/>
      <c r="AIA94" s="308"/>
      <c r="AIB94" s="308"/>
      <c r="AIC94" s="308"/>
      <c r="AID94" s="308"/>
      <c r="AIE94" s="308"/>
      <c r="AIF94" s="308"/>
      <c r="AIG94" s="308"/>
      <c r="AIH94" s="308"/>
      <c r="AII94" s="308"/>
      <c r="AIJ94" s="308"/>
      <c r="AIK94" s="308"/>
      <c r="AIL94" s="308"/>
      <c r="AIM94" s="308"/>
      <c r="AIN94" s="308"/>
      <c r="AIO94" s="308"/>
      <c r="AIP94" s="308"/>
      <c r="AIQ94" s="308"/>
      <c r="AIR94" s="308"/>
      <c r="AIS94" s="308"/>
      <c r="AIT94" s="308"/>
      <c r="AIU94" s="308"/>
      <c r="AIV94" s="308"/>
      <c r="AIW94" s="308"/>
      <c r="AIX94" s="308"/>
      <c r="AIY94" s="308"/>
      <c r="AIZ94" s="308"/>
      <c r="AJA94" s="308"/>
      <c r="AJB94" s="308"/>
      <c r="AJC94" s="308"/>
    </row>
    <row r="95" spans="1:940" s="546" customFormat="1">
      <c r="A95" s="113">
        <f t="shared" si="55"/>
        <v>84</v>
      </c>
      <c r="B95" s="113">
        <v>1758</v>
      </c>
      <c r="C95" s="113" t="s">
        <v>165</v>
      </c>
      <c r="D95" s="117">
        <v>300000</v>
      </c>
      <c r="E95" s="117">
        <v>300000</v>
      </c>
      <c r="F95" s="117">
        <f t="shared" si="56"/>
        <v>0</v>
      </c>
      <c r="G95" s="117">
        <v>120000</v>
      </c>
      <c r="H95" s="117">
        <v>10908.07</v>
      </c>
      <c r="I95" s="117">
        <v>4828.43</v>
      </c>
      <c r="J95" s="117">
        <v>380.25</v>
      </c>
      <c r="K95" s="117">
        <f t="shared" si="43"/>
        <v>5208.68</v>
      </c>
      <c r="L95" s="117">
        <f t="shared" si="44"/>
        <v>16116.75</v>
      </c>
      <c r="M95" s="117">
        <f>P95+S95-50000</f>
        <v>53883.25</v>
      </c>
      <c r="N95" s="117">
        <v>100000</v>
      </c>
      <c r="O95" s="117">
        <f t="shared" si="57"/>
        <v>130000</v>
      </c>
      <c r="P95" s="117">
        <f t="shared" si="45"/>
        <v>103883.25</v>
      </c>
      <c r="Q95" s="117"/>
      <c r="R95" s="117"/>
      <c r="S95" s="117">
        <f t="shared" si="46"/>
        <v>0</v>
      </c>
      <c r="T95" s="117">
        <f t="shared" si="47"/>
        <v>50000</v>
      </c>
      <c r="U95" s="117">
        <f t="shared" si="48"/>
        <v>50000</v>
      </c>
      <c r="V95" s="117">
        <f t="shared" si="49"/>
        <v>50000</v>
      </c>
      <c r="W95" s="543"/>
      <c r="X95" s="117"/>
      <c r="Y95" s="117"/>
      <c r="Z95" s="113"/>
      <c r="AA95" s="113">
        <v>732000</v>
      </c>
      <c r="AB95" s="117"/>
      <c r="AC95" s="117"/>
      <c r="AD95" s="117"/>
      <c r="AE95" s="117"/>
      <c r="AF95" s="117"/>
      <c r="AG95" s="117"/>
      <c r="AH95" s="117"/>
      <c r="AI95" s="117"/>
      <c r="AJ95" s="117"/>
      <c r="AK95" s="117">
        <f t="shared" si="24"/>
        <v>0</v>
      </c>
      <c r="AL95" s="565"/>
      <c r="AM95" s="566">
        <f t="shared" si="50"/>
        <v>0</v>
      </c>
      <c r="AN95" s="117">
        <f t="shared" si="51"/>
        <v>50000</v>
      </c>
      <c r="AO95" s="117">
        <f t="shared" si="52"/>
        <v>0</v>
      </c>
      <c r="AP95" s="565"/>
      <c r="AQ95" s="565"/>
      <c r="AR95" s="565"/>
      <c r="AS95" s="565"/>
      <c r="AT95" s="117">
        <f t="shared" si="53"/>
        <v>0</v>
      </c>
      <c r="AU95" s="565"/>
      <c r="AV95" s="565"/>
      <c r="AW95" s="565"/>
      <c r="AX95" s="565"/>
      <c r="AY95" s="117">
        <f t="shared" si="54"/>
        <v>50000</v>
      </c>
      <c r="AZ95" s="565"/>
      <c r="BA95" s="565"/>
      <c r="BB95" s="565"/>
      <c r="BC95" s="565"/>
      <c r="BD95" s="308"/>
      <c r="BE95" s="308"/>
      <c r="BF95" s="308"/>
      <c r="BG95" s="308"/>
      <c r="BH95" s="308"/>
      <c r="BI95" s="308"/>
      <c r="BJ95" s="308"/>
      <c r="BK95" s="308"/>
      <c r="BL95" s="308"/>
      <c r="BM95" s="308"/>
      <c r="BN95" s="308"/>
      <c r="BO95" s="308"/>
      <c r="BP95" s="308"/>
      <c r="BQ95" s="308"/>
      <c r="BR95" s="308"/>
      <c r="BS95" s="308"/>
      <c r="BT95" s="308"/>
      <c r="BU95" s="308"/>
      <c r="BV95" s="308"/>
      <c r="BW95" s="308"/>
      <c r="BX95" s="308"/>
      <c r="BY95" s="308"/>
      <c r="BZ95" s="308"/>
      <c r="CA95" s="308"/>
      <c r="CB95" s="308"/>
      <c r="CC95" s="308"/>
      <c r="CD95" s="308"/>
      <c r="CE95" s="308"/>
      <c r="CF95" s="308"/>
      <c r="CG95" s="308"/>
      <c r="CH95" s="308"/>
      <c r="CI95" s="308"/>
      <c r="CJ95" s="308"/>
      <c r="CK95" s="308"/>
      <c r="CL95" s="308"/>
      <c r="CM95" s="308"/>
      <c r="CN95" s="308"/>
      <c r="CO95" s="308"/>
      <c r="CP95" s="308"/>
      <c r="CQ95" s="308"/>
      <c r="CR95" s="308"/>
      <c r="CS95" s="308"/>
      <c r="CT95" s="308"/>
      <c r="CU95" s="308"/>
      <c r="CV95" s="308"/>
      <c r="CW95" s="308"/>
      <c r="CX95" s="308"/>
      <c r="CY95" s="308"/>
      <c r="CZ95" s="308"/>
      <c r="DA95" s="308"/>
      <c r="DB95" s="308"/>
      <c r="DC95" s="308"/>
      <c r="DD95" s="308"/>
      <c r="DE95" s="308"/>
      <c r="DF95" s="308"/>
      <c r="DG95" s="308"/>
      <c r="DH95" s="308"/>
      <c r="DI95" s="308"/>
      <c r="DJ95" s="308"/>
      <c r="DK95" s="308"/>
      <c r="DL95" s="308"/>
      <c r="DM95" s="308"/>
      <c r="DN95" s="308"/>
      <c r="DO95" s="308"/>
      <c r="DP95" s="308"/>
      <c r="DQ95" s="308"/>
      <c r="DR95" s="308"/>
      <c r="DS95" s="308"/>
      <c r="DT95" s="308"/>
      <c r="DU95" s="308"/>
      <c r="DV95" s="308"/>
      <c r="DW95" s="308"/>
      <c r="DX95" s="308"/>
      <c r="DY95" s="308"/>
      <c r="DZ95" s="308"/>
      <c r="EA95" s="308"/>
      <c r="EB95" s="308"/>
      <c r="EC95" s="308"/>
      <c r="ED95" s="308"/>
      <c r="EE95" s="308"/>
      <c r="EF95" s="308"/>
      <c r="EG95" s="308"/>
      <c r="EH95" s="308"/>
      <c r="EI95" s="308"/>
      <c r="EJ95" s="308"/>
      <c r="EK95" s="308"/>
      <c r="EL95" s="308"/>
      <c r="EM95" s="308"/>
      <c r="EN95" s="308"/>
      <c r="EO95" s="308"/>
      <c r="EP95" s="308"/>
      <c r="EQ95" s="308"/>
      <c r="ER95" s="308"/>
      <c r="ES95" s="308"/>
      <c r="ET95" s="308"/>
      <c r="EU95" s="308"/>
      <c r="EV95" s="308"/>
      <c r="EW95" s="308"/>
      <c r="EX95" s="308"/>
      <c r="EY95" s="308"/>
      <c r="EZ95" s="308"/>
      <c r="FA95" s="308"/>
      <c r="FB95" s="308"/>
      <c r="FC95" s="308"/>
      <c r="FD95" s="308"/>
      <c r="FE95" s="308"/>
      <c r="FF95" s="308"/>
      <c r="FG95" s="308"/>
      <c r="FH95" s="308"/>
      <c r="FI95" s="308"/>
      <c r="FJ95" s="308"/>
      <c r="FK95" s="308"/>
      <c r="FL95" s="308"/>
      <c r="FM95" s="308"/>
      <c r="FN95" s="308"/>
      <c r="FO95" s="308"/>
      <c r="FP95" s="308"/>
      <c r="FQ95" s="308"/>
      <c r="FR95" s="308"/>
      <c r="FS95" s="308"/>
      <c r="FT95" s="308"/>
      <c r="FU95" s="308"/>
      <c r="FV95" s="308"/>
      <c r="FW95" s="308"/>
      <c r="FX95" s="308"/>
      <c r="FY95" s="308"/>
      <c r="FZ95" s="308"/>
      <c r="GA95" s="308"/>
      <c r="GB95" s="308"/>
      <c r="GC95" s="308"/>
      <c r="GD95" s="308"/>
      <c r="GE95" s="308"/>
      <c r="GF95" s="308"/>
      <c r="GG95" s="308"/>
      <c r="GH95" s="308"/>
      <c r="GI95" s="308"/>
      <c r="GJ95" s="308"/>
      <c r="GK95" s="308"/>
      <c r="GL95" s="308"/>
      <c r="GM95" s="308"/>
      <c r="GN95" s="308"/>
      <c r="GO95" s="308"/>
      <c r="GP95" s="308"/>
      <c r="GQ95" s="308"/>
      <c r="GR95" s="308"/>
      <c r="GS95" s="308"/>
      <c r="GT95" s="308"/>
      <c r="GU95" s="308"/>
      <c r="GV95" s="308"/>
      <c r="GW95" s="308"/>
      <c r="GX95" s="308"/>
      <c r="GY95" s="308"/>
      <c r="GZ95" s="308"/>
      <c r="HA95" s="308"/>
      <c r="HB95" s="308"/>
      <c r="HC95" s="308"/>
      <c r="HD95" s="308"/>
      <c r="HE95" s="308"/>
      <c r="HF95" s="308"/>
      <c r="HG95" s="308"/>
      <c r="HH95" s="308"/>
      <c r="HI95" s="308"/>
      <c r="HJ95" s="308"/>
      <c r="HK95" s="308"/>
      <c r="HL95" s="308"/>
      <c r="HM95" s="308"/>
      <c r="HN95" s="308"/>
      <c r="HO95" s="308"/>
      <c r="HP95" s="308"/>
      <c r="HQ95" s="308"/>
      <c r="HR95" s="308"/>
      <c r="HS95" s="308"/>
      <c r="HT95" s="308"/>
      <c r="HU95" s="308"/>
      <c r="HV95" s="308"/>
      <c r="HW95" s="308"/>
      <c r="HX95" s="308"/>
      <c r="HY95" s="308"/>
      <c r="HZ95" s="308"/>
      <c r="IA95" s="308"/>
      <c r="IB95" s="308"/>
      <c r="IC95" s="308"/>
      <c r="ID95" s="308"/>
      <c r="IE95" s="308"/>
      <c r="IF95" s="308"/>
      <c r="IG95" s="308"/>
      <c r="IH95" s="308"/>
      <c r="II95" s="308"/>
      <c r="IJ95" s="308"/>
      <c r="IK95" s="308"/>
      <c r="IL95" s="308"/>
      <c r="IM95" s="308"/>
      <c r="IN95" s="308"/>
      <c r="IO95" s="308"/>
      <c r="IP95" s="308"/>
      <c r="IQ95" s="308"/>
      <c r="IR95" s="308"/>
      <c r="IS95" s="308"/>
      <c r="IT95" s="308"/>
      <c r="IU95" s="308"/>
      <c r="IV95" s="308"/>
      <c r="IW95" s="308"/>
      <c r="IX95" s="308"/>
      <c r="IY95" s="308"/>
      <c r="IZ95" s="308"/>
      <c r="JA95" s="308"/>
      <c r="JB95" s="308"/>
      <c r="JC95" s="308"/>
      <c r="JD95" s="308"/>
      <c r="JE95" s="308"/>
      <c r="JF95" s="308"/>
      <c r="JG95" s="308"/>
      <c r="JH95" s="308"/>
      <c r="JI95" s="308"/>
      <c r="JJ95" s="308"/>
      <c r="JK95" s="308"/>
      <c r="JL95" s="308"/>
      <c r="JM95" s="308"/>
      <c r="JN95" s="308"/>
      <c r="JO95" s="308"/>
      <c r="JP95" s="308"/>
      <c r="JQ95" s="308"/>
      <c r="JR95" s="308"/>
      <c r="JS95" s="308"/>
      <c r="JT95" s="308"/>
      <c r="JU95" s="308"/>
      <c r="JV95" s="308"/>
      <c r="JW95" s="308"/>
      <c r="JX95" s="308"/>
      <c r="JY95" s="308"/>
      <c r="JZ95" s="308"/>
      <c r="KA95" s="308"/>
      <c r="KB95" s="308"/>
      <c r="KC95" s="308"/>
      <c r="KD95" s="308"/>
      <c r="KE95" s="308"/>
      <c r="KF95" s="308"/>
      <c r="KG95" s="308"/>
      <c r="KH95" s="308"/>
      <c r="KI95" s="308"/>
      <c r="KJ95" s="308"/>
      <c r="KK95" s="308"/>
      <c r="KL95" s="308"/>
      <c r="KM95" s="308"/>
      <c r="KN95" s="308"/>
      <c r="KO95" s="308"/>
      <c r="KP95" s="308"/>
      <c r="KQ95" s="308"/>
      <c r="KR95" s="308"/>
      <c r="KS95" s="308"/>
      <c r="KT95" s="308"/>
      <c r="KU95" s="308"/>
      <c r="KV95" s="308"/>
      <c r="KW95" s="308"/>
      <c r="KX95" s="308"/>
      <c r="KY95" s="308"/>
      <c r="KZ95" s="308"/>
      <c r="LA95" s="308"/>
      <c r="LB95" s="308"/>
      <c r="LC95" s="308"/>
      <c r="LD95" s="308"/>
      <c r="LE95" s="308"/>
      <c r="LF95" s="308"/>
      <c r="LG95" s="308"/>
      <c r="LH95" s="308"/>
      <c r="LI95" s="308"/>
      <c r="LJ95" s="308"/>
      <c r="LK95" s="308"/>
      <c r="LL95" s="308"/>
      <c r="LM95" s="308"/>
      <c r="LN95" s="308"/>
      <c r="LO95" s="308"/>
      <c r="LP95" s="308"/>
      <c r="LQ95" s="308"/>
      <c r="LR95" s="308"/>
      <c r="LS95" s="308"/>
      <c r="LT95" s="308"/>
      <c r="LU95" s="308"/>
      <c r="LV95" s="308"/>
      <c r="LW95" s="308"/>
      <c r="LX95" s="308"/>
      <c r="LY95" s="308"/>
      <c r="LZ95" s="308"/>
      <c r="MA95" s="308"/>
      <c r="MB95" s="308"/>
      <c r="MC95" s="308"/>
      <c r="MD95" s="308"/>
      <c r="ME95" s="308"/>
      <c r="MF95" s="308"/>
      <c r="MG95" s="308"/>
      <c r="MH95" s="308"/>
      <c r="MI95" s="308"/>
      <c r="MJ95" s="308"/>
      <c r="MK95" s="308"/>
      <c r="ML95" s="308"/>
      <c r="MM95" s="308"/>
      <c r="MN95" s="308"/>
      <c r="MO95" s="308"/>
      <c r="MP95" s="308"/>
      <c r="MQ95" s="308"/>
      <c r="MR95" s="308"/>
      <c r="MS95" s="308"/>
      <c r="MT95" s="308"/>
      <c r="MU95" s="308"/>
      <c r="MV95" s="308"/>
      <c r="MW95" s="308"/>
      <c r="MX95" s="308"/>
      <c r="MY95" s="308"/>
      <c r="MZ95" s="308"/>
      <c r="NA95" s="308"/>
      <c r="NB95" s="308"/>
      <c r="NC95" s="308"/>
      <c r="ND95" s="308"/>
      <c r="NE95" s="308"/>
      <c r="NF95" s="308"/>
      <c r="NG95" s="308"/>
      <c r="NH95" s="308"/>
      <c r="NI95" s="308"/>
      <c r="NJ95" s="308"/>
      <c r="NK95" s="308"/>
      <c r="NL95" s="308"/>
      <c r="NM95" s="308"/>
      <c r="NN95" s="308"/>
      <c r="NO95" s="308"/>
      <c r="NP95" s="308"/>
      <c r="NQ95" s="308"/>
      <c r="NR95" s="308"/>
      <c r="NS95" s="308"/>
      <c r="NT95" s="308"/>
      <c r="NU95" s="308"/>
      <c r="NV95" s="308"/>
      <c r="NW95" s="308"/>
      <c r="NX95" s="308"/>
      <c r="NY95" s="308"/>
      <c r="NZ95" s="308"/>
      <c r="OA95" s="308"/>
      <c r="OB95" s="308"/>
      <c r="OC95" s="308"/>
      <c r="OD95" s="308"/>
      <c r="OE95" s="308"/>
      <c r="OF95" s="308"/>
      <c r="OG95" s="308"/>
      <c r="OH95" s="308"/>
      <c r="OI95" s="308"/>
      <c r="OJ95" s="308"/>
      <c r="OK95" s="308"/>
      <c r="OL95" s="308"/>
      <c r="OM95" s="308"/>
      <c r="ON95" s="308"/>
      <c r="OO95" s="308"/>
      <c r="OP95" s="308"/>
      <c r="OQ95" s="308"/>
      <c r="OR95" s="308"/>
      <c r="OS95" s="308"/>
      <c r="OT95" s="308"/>
      <c r="OU95" s="308"/>
      <c r="OV95" s="308"/>
      <c r="OW95" s="308"/>
      <c r="OX95" s="308"/>
      <c r="OY95" s="308"/>
      <c r="OZ95" s="308"/>
      <c r="PA95" s="308"/>
      <c r="PB95" s="308"/>
      <c r="PC95" s="308"/>
      <c r="PD95" s="308"/>
      <c r="PE95" s="308"/>
      <c r="PF95" s="308"/>
      <c r="PG95" s="308"/>
      <c r="PH95" s="308"/>
      <c r="PI95" s="308"/>
      <c r="PJ95" s="308"/>
      <c r="PK95" s="308"/>
      <c r="PL95" s="308"/>
      <c r="PM95" s="308"/>
      <c r="PN95" s="308"/>
      <c r="PO95" s="308"/>
      <c r="PP95" s="308"/>
      <c r="PQ95" s="308"/>
      <c r="PR95" s="308"/>
      <c r="PS95" s="308"/>
      <c r="PT95" s="308"/>
      <c r="PU95" s="308"/>
      <c r="PV95" s="308"/>
      <c r="PW95" s="308"/>
      <c r="PX95" s="308"/>
      <c r="PY95" s="308"/>
      <c r="PZ95" s="308"/>
      <c r="QA95" s="308"/>
      <c r="QB95" s="308"/>
      <c r="QC95" s="308"/>
      <c r="QD95" s="308"/>
      <c r="QE95" s="308"/>
      <c r="QF95" s="308"/>
      <c r="QG95" s="308"/>
      <c r="QH95" s="308"/>
      <c r="QI95" s="308"/>
      <c r="QJ95" s="308"/>
      <c r="QK95" s="308"/>
      <c r="QL95" s="308"/>
      <c r="QM95" s="308"/>
      <c r="QN95" s="308"/>
      <c r="QO95" s="308"/>
      <c r="QP95" s="308"/>
      <c r="QQ95" s="308"/>
      <c r="QR95" s="308"/>
      <c r="QS95" s="308"/>
      <c r="QT95" s="308"/>
      <c r="QU95" s="308"/>
      <c r="QV95" s="308"/>
      <c r="QW95" s="308"/>
      <c r="QX95" s="308"/>
      <c r="QY95" s="308"/>
      <c r="QZ95" s="308"/>
      <c r="RA95" s="308"/>
      <c r="RB95" s="308"/>
      <c r="RC95" s="308"/>
      <c r="RD95" s="308"/>
      <c r="RE95" s="308"/>
      <c r="RF95" s="308"/>
      <c r="RG95" s="308"/>
      <c r="RH95" s="308"/>
      <c r="RI95" s="308"/>
      <c r="RJ95" s="308"/>
      <c r="RK95" s="308"/>
      <c r="RL95" s="308"/>
      <c r="RM95" s="308"/>
      <c r="RN95" s="308"/>
      <c r="RO95" s="308"/>
      <c r="RP95" s="308"/>
      <c r="RQ95" s="308"/>
      <c r="RR95" s="308"/>
      <c r="RS95" s="308"/>
      <c r="RT95" s="308"/>
      <c r="RU95" s="308"/>
      <c r="RV95" s="308"/>
      <c r="RW95" s="308"/>
      <c r="RX95" s="308"/>
      <c r="RY95" s="308"/>
      <c r="RZ95" s="308"/>
      <c r="SA95" s="308"/>
      <c r="SB95" s="308"/>
      <c r="SC95" s="308"/>
      <c r="SD95" s="308"/>
      <c r="SE95" s="308"/>
      <c r="SF95" s="308"/>
      <c r="SG95" s="308"/>
      <c r="SH95" s="308"/>
      <c r="SI95" s="308"/>
      <c r="SJ95" s="308"/>
      <c r="SK95" s="308"/>
      <c r="SL95" s="308"/>
      <c r="SM95" s="308"/>
      <c r="SN95" s="308"/>
      <c r="SO95" s="308"/>
      <c r="SP95" s="308"/>
      <c r="SQ95" s="308"/>
      <c r="SR95" s="308"/>
      <c r="SS95" s="308"/>
      <c r="ST95" s="308"/>
      <c r="SU95" s="308"/>
      <c r="SV95" s="308"/>
      <c r="SW95" s="308"/>
      <c r="SX95" s="308"/>
      <c r="SY95" s="308"/>
      <c r="SZ95" s="308"/>
      <c r="TA95" s="308"/>
      <c r="TB95" s="308"/>
      <c r="TC95" s="308"/>
      <c r="TD95" s="308"/>
      <c r="TE95" s="308"/>
      <c r="TF95" s="308"/>
      <c r="TG95" s="308"/>
      <c r="TH95" s="308"/>
      <c r="TI95" s="308"/>
      <c r="TJ95" s="308"/>
      <c r="TK95" s="308"/>
      <c r="TL95" s="308"/>
      <c r="TM95" s="308"/>
      <c r="TN95" s="308"/>
      <c r="TO95" s="308"/>
      <c r="TP95" s="308"/>
      <c r="TQ95" s="308"/>
      <c r="TR95" s="308"/>
      <c r="TS95" s="308"/>
      <c r="TT95" s="308"/>
      <c r="TU95" s="308"/>
      <c r="TV95" s="308"/>
      <c r="TW95" s="308"/>
      <c r="TX95" s="308"/>
      <c r="TY95" s="308"/>
      <c r="TZ95" s="308"/>
      <c r="UA95" s="308"/>
      <c r="UB95" s="308"/>
      <c r="UC95" s="308"/>
      <c r="UD95" s="308"/>
      <c r="UE95" s="308"/>
      <c r="UF95" s="308"/>
      <c r="UG95" s="308"/>
      <c r="UH95" s="308"/>
      <c r="UI95" s="308"/>
      <c r="UJ95" s="308"/>
      <c r="UK95" s="308"/>
      <c r="UL95" s="308"/>
      <c r="UM95" s="308"/>
      <c r="UN95" s="308"/>
      <c r="UO95" s="308"/>
      <c r="UP95" s="308"/>
      <c r="UQ95" s="308"/>
      <c r="UR95" s="308"/>
      <c r="US95" s="308"/>
      <c r="UT95" s="308"/>
      <c r="UU95" s="308"/>
      <c r="UV95" s="308"/>
      <c r="UW95" s="308"/>
      <c r="UX95" s="308"/>
      <c r="UY95" s="308"/>
      <c r="UZ95" s="308"/>
      <c r="VA95" s="308"/>
      <c r="VB95" s="308"/>
      <c r="VC95" s="308"/>
      <c r="VD95" s="308"/>
      <c r="VE95" s="308"/>
      <c r="VF95" s="308"/>
      <c r="VG95" s="308"/>
      <c r="VH95" s="308"/>
      <c r="VI95" s="308"/>
      <c r="VJ95" s="308"/>
      <c r="VK95" s="308"/>
      <c r="VL95" s="308"/>
      <c r="VM95" s="308"/>
      <c r="VN95" s="308"/>
      <c r="VO95" s="308"/>
      <c r="VP95" s="308"/>
      <c r="VQ95" s="308"/>
      <c r="VR95" s="308"/>
      <c r="VS95" s="308"/>
      <c r="VT95" s="308"/>
      <c r="VU95" s="308"/>
      <c r="VV95" s="308"/>
      <c r="VW95" s="308"/>
      <c r="VX95" s="308"/>
      <c r="VY95" s="308"/>
      <c r="VZ95" s="308"/>
      <c r="WA95" s="308"/>
      <c r="WB95" s="308"/>
      <c r="WC95" s="308"/>
      <c r="WD95" s="308"/>
      <c r="WE95" s="308"/>
      <c r="WF95" s="308"/>
      <c r="WG95" s="308"/>
      <c r="WH95" s="308"/>
      <c r="WI95" s="308"/>
      <c r="WJ95" s="308"/>
      <c r="WK95" s="308"/>
      <c r="WL95" s="308"/>
      <c r="WM95" s="308"/>
      <c r="WN95" s="308"/>
      <c r="WO95" s="308"/>
      <c r="WP95" s="308"/>
      <c r="WQ95" s="308"/>
      <c r="WR95" s="308"/>
      <c r="WS95" s="308"/>
      <c r="WT95" s="308"/>
      <c r="WU95" s="308"/>
      <c r="WV95" s="308"/>
      <c r="WW95" s="308"/>
      <c r="WX95" s="308"/>
      <c r="WY95" s="308"/>
      <c r="WZ95" s="308"/>
      <c r="XA95" s="308"/>
      <c r="XB95" s="308"/>
      <c r="XC95" s="308"/>
      <c r="XD95" s="308"/>
      <c r="XE95" s="308"/>
      <c r="XF95" s="308"/>
      <c r="XG95" s="308"/>
      <c r="XH95" s="308"/>
      <c r="XI95" s="308"/>
      <c r="XJ95" s="308"/>
      <c r="XK95" s="308"/>
      <c r="XL95" s="308"/>
      <c r="XM95" s="308"/>
      <c r="XN95" s="308"/>
      <c r="XO95" s="308"/>
      <c r="XP95" s="308"/>
      <c r="XQ95" s="308"/>
      <c r="XR95" s="308"/>
      <c r="XS95" s="308"/>
      <c r="XT95" s="308"/>
      <c r="XU95" s="308"/>
      <c r="XV95" s="308"/>
      <c r="XW95" s="308"/>
      <c r="XX95" s="308"/>
      <c r="XY95" s="308"/>
      <c r="XZ95" s="308"/>
      <c r="YA95" s="308"/>
      <c r="YB95" s="308"/>
      <c r="YC95" s="308"/>
      <c r="YD95" s="308"/>
      <c r="YE95" s="308"/>
      <c r="YF95" s="308"/>
      <c r="YG95" s="308"/>
      <c r="YH95" s="308"/>
      <c r="YI95" s="308"/>
      <c r="YJ95" s="308"/>
      <c r="YK95" s="308"/>
      <c r="YL95" s="308"/>
      <c r="YM95" s="308"/>
      <c r="YN95" s="308"/>
      <c r="YO95" s="308"/>
      <c r="YP95" s="308"/>
      <c r="YQ95" s="308"/>
      <c r="YR95" s="308"/>
      <c r="YS95" s="308"/>
      <c r="YT95" s="308"/>
      <c r="YU95" s="308"/>
      <c r="YV95" s="308"/>
      <c r="YW95" s="308"/>
      <c r="YX95" s="308"/>
      <c r="YY95" s="308"/>
      <c r="YZ95" s="308"/>
      <c r="ZA95" s="308"/>
      <c r="ZB95" s="308"/>
      <c r="ZC95" s="308"/>
      <c r="ZD95" s="308"/>
      <c r="ZE95" s="308"/>
      <c r="ZF95" s="308"/>
      <c r="ZG95" s="308"/>
      <c r="ZH95" s="308"/>
      <c r="ZI95" s="308"/>
      <c r="ZJ95" s="308"/>
      <c r="ZK95" s="308"/>
      <c r="ZL95" s="308"/>
      <c r="ZM95" s="308"/>
      <c r="ZN95" s="308"/>
      <c r="ZO95" s="308"/>
      <c r="ZP95" s="308"/>
      <c r="ZQ95" s="308"/>
      <c r="ZR95" s="308"/>
      <c r="ZS95" s="308"/>
      <c r="ZT95" s="308"/>
      <c r="ZU95" s="308"/>
      <c r="ZV95" s="308"/>
      <c r="ZW95" s="308"/>
      <c r="ZX95" s="308"/>
      <c r="ZY95" s="308"/>
      <c r="ZZ95" s="308"/>
      <c r="AAA95" s="308"/>
      <c r="AAB95" s="308"/>
      <c r="AAC95" s="308"/>
      <c r="AAD95" s="308"/>
      <c r="AAE95" s="308"/>
      <c r="AAF95" s="308"/>
      <c r="AAG95" s="308"/>
      <c r="AAH95" s="308"/>
      <c r="AAI95" s="308"/>
      <c r="AAJ95" s="308"/>
      <c r="AAK95" s="308"/>
      <c r="AAL95" s="308"/>
      <c r="AAM95" s="308"/>
      <c r="AAN95" s="308"/>
      <c r="AAO95" s="308"/>
      <c r="AAP95" s="308"/>
      <c r="AAQ95" s="308"/>
      <c r="AAR95" s="308"/>
      <c r="AAS95" s="308"/>
      <c r="AAT95" s="308"/>
      <c r="AAU95" s="308"/>
      <c r="AAV95" s="308"/>
      <c r="AAW95" s="308"/>
      <c r="AAX95" s="308"/>
      <c r="AAY95" s="308"/>
      <c r="AAZ95" s="308"/>
      <c r="ABA95" s="308"/>
      <c r="ABB95" s="308"/>
      <c r="ABC95" s="308"/>
      <c r="ABD95" s="308"/>
      <c r="ABE95" s="308"/>
      <c r="ABF95" s="308"/>
      <c r="ABG95" s="308"/>
      <c r="ABH95" s="308"/>
      <c r="ABI95" s="308"/>
      <c r="ABJ95" s="308"/>
      <c r="ABK95" s="308"/>
      <c r="ABL95" s="308"/>
      <c r="ABM95" s="308"/>
      <c r="ABN95" s="308"/>
      <c r="ABO95" s="308"/>
      <c r="ABP95" s="308"/>
      <c r="ABQ95" s="308"/>
      <c r="ABR95" s="308"/>
      <c r="ABS95" s="308"/>
      <c r="ABT95" s="308"/>
      <c r="ABU95" s="308"/>
      <c r="ABV95" s="308"/>
      <c r="ABW95" s="308"/>
      <c r="ABX95" s="308"/>
      <c r="ABY95" s="308"/>
      <c r="ABZ95" s="308"/>
      <c r="ACA95" s="308"/>
      <c r="ACB95" s="308"/>
      <c r="ACC95" s="308"/>
      <c r="ACD95" s="308"/>
      <c r="ACE95" s="308"/>
      <c r="ACF95" s="308"/>
      <c r="ACG95" s="308"/>
      <c r="ACH95" s="308"/>
      <c r="ACI95" s="308"/>
      <c r="ACJ95" s="308"/>
      <c r="ACK95" s="308"/>
      <c r="ACL95" s="308"/>
      <c r="ACM95" s="308"/>
      <c r="ACN95" s="308"/>
      <c r="ACO95" s="308"/>
      <c r="ACP95" s="308"/>
      <c r="ACQ95" s="308"/>
      <c r="ACR95" s="308"/>
      <c r="ACS95" s="308"/>
      <c r="ACT95" s="308"/>
      <c r="ACU95" s="308"/>
      <c r="ACV95" s="308"/>
      <c r="ACW95" s="308"/>
      <c r="ACX95" s="308"/>
      <c r="ACY95" s="308"/>
      <c r="ACZ95" s="308"/>
      <c r="ADA95" s="308"/>
      <c r="ADB95" s="308"/>
      <c r="ADC95" s="308"/>
      <c r="ADD95" s="308"/>
      <c r="ADE95" s="308"/>
      <c r="ADF95" s="308"/>
      <c r="ADG95" s="308"/>
      <c r="ADH95" s="308"/>
      <c r="ADI95" s="308"/>
      <c r="ADJ95" s="308"/>
      <c r="ADK95" s="308"/>
      <c r="ADL95" s="308"/>
      <c r="ADM95" s="308"/>
      <c r="ADN95" s="308"/>
      <c r="ADO95" s="308"/>
      <c r="ADP95" s="308"/>
      <c r="ADQ95" s="308"/>
      <c r="ADR95" s="308"/>
      <c r="ADS95" s="308"/>
      <c r="ADT95" s="308"/>
      <c r="ADU95" s="308"/>
      <c r="ADV95" s="308"/>
      <c r="ADW95" s="308"/>
      <c r="ADX95" s="308"/>
      <c r="ADY95" s="308"/>
      <c r="ADZ95" s="308"/>
      <c r="AEA95" s="308"/>
      <c r="AEB95" s="308"/>
      <c r="AEC95" s="308"/>
      <c r="AED95" s="308"/>
      <c r="AEE95" s="308"/>
      <c r="AEF95" s="308"/>
      <c r="AEG95" s="308"/>
      <c r="AEH95" s="308"/>
      <c r="AEI95" s="308"/>
      <c r="AEJ95" s="308"/>
      <c r="AEK95" s="308"/>
      <c r="AEL95" s="308"/>
      <c r="AEM95" s="308"/>
      <c r="AEN95" s="308"/>
      <c r="AEO95" s="308"/>
      <c r="AEP95" s="308"/>
      <c r="AEQ95" s="308"/>
      <c r="AER95" s="308"/>
      <c r="AES95" s="308"/>
      <c r="AET95" s="308"/>
      <c r="AEU95" s="308"/>
      <c r="AEV95" s="308"/>
      <c r="AEW95" s="308"/>
      <c r="AEX95" s="308"/>
      <c r="AEY95" s="308"/>
      <c r="AEZ95" s="308"/>
      <c r="AFA95" s="308"/>
      <c r="AFB95" s="308"/>
      <c r="AFC95" s="308"/>
      <c r="AFD95" s="308"/>
      <c r="AFE95" s="308"/>
      <c r="AFF95" s="308"/>
      <c r="AFG95" s="308"/>
      <c r="AFH95" s="308"/>
      <c r="AFI95" s="308"/>
      <c r="AFJ95" s="308"/>
      <c r="AFK95" s="308"/>
      <c r="AFL95" s="308"/>
      <c r="AFM95" s="308"/>
      <c r="AFN95" s="308"/>
      <c r="AFO95" s="308"/>
      <c r="AFP95" s="308"/>
      <c r="AFQ95" s="308"/>
      <c r="AFR95" s="308"/>
      <c r="AFS95" s="308"/>
      <c r="AFT95" s="308"/>
      <c r="AFU95" s="308"/>
      <c r="AFV95" s="308"/>
      <c r="AFW95" s="308"/>
      <c r="AFX95" s="308"/>
      <c r="AFY95" s="308"/>
      <c r="AFZ95" s="308"/>
      <c r="AGA95" s="308"/>
      <c r="AGB95" s="308"/>
      <c r="AGC95" s="308"/>
      <c r="AGD95" s="308"/>
      <c r="AGE95" s="308"/>
      <c r="AGF95" s="308"/>
      <c r="AGG95" s="308"/>
      <c r="AGH95" s="308"/>
      <c r="AGI95" s="308"/>
      <c r="AGJ95" s="308"/>
      <c r="AGK95" s="308"/>
      <c r="AGL95" s="308"/>
      <c r="AGM95" s="308"/>
      <c r="AGN95" s="308"/>
      <c r="AGO95" s="308"/>
      <c r="AGP95" s="308"/>
      <c r="AGQ95" s="308"/>
      <c r="AGR95" s="308"/>
      <c r="AGS95" s="308"/>
      <c r="AGT95" s="308"/>
      <c r="AGU95" s="308"/>
      <c r="AGV95" s="308"/>
      <c r="AGW95" s="308"/>
      <c r="AGX95" s="308"/>
      <c r="AGY95" s="308"/>
      <c r="AGZ95" s="308"/>
      <c r="AHA95" s="308"/>
      <c r="AHB95" s="308"/>
      <c r="AHC95" s="308"/>
      <c r="AHD95" s="308"/>
      <c r="AHE95" s="308"/>
      <c r="AHF95" s="308"/>
      <c r="AHG95" s="308"/>
      <c r="AHH95" s="308"/>
      <c r="AHI95" s="308"/>
      <c r="AHJ95" s="308"/>
      <c r="AHK95" s="308"/>
      <c r="AHL95" s="308"/>
      <c r="AHM95" s="308"/>
      <c r="AHN95" s="308"/>
      <c r="AHO95" s="308"/>
      <c r="AHP95" s="308"/>
      <c r="AHQ95" s="308"/>
      <c r="AHR95" s="308"/>
      <c r="AHS95" s="308"/>
      <c r="AHT95" s="308"/>
      <c r="AHU95" s="308"/>
      <c r="AHV95" s="308"/>
      <c r="AHW95" s="308"/>
      <c r="AHX95" s="308"/>
      <c r="AHY95" s="308"/>
      <c r="AHZ95" s="308"/>
      <c r="AIA95" s="308"/>
      <c r="AIB95" s="308"/>
      <c r="AIC95" s="308"/>
      <c r="AID95" s="308"/>
      <c r="AIE95" s="308"/>
      <c r="AIF95" s="308"/>
      <c r="AIG95" s="308"/>
      <c r="AIH95" s="308"/>
      <c r="AII95" s="308"/>
      <c r="AIJ95" s="308"/>
      <c r="AIK95" s="308"/>
      <c r="AIL95" s="308"/>
      <c r="AIM95" s="308"/>
      <c r="AIN95" s="308"/>
      <c r="AIO95" s="308"/>
      <c r="AIP95" s="308"/>
      <c r="AIQ95" s="308"/>
      <c r="AIR95" s="308"/>
      <c r="AIS95" s="308"/>
      <c r="AIT95" s="308"/>
      <c r="AIU95" s="308"/>
      <c r="AIV95" s="308"/>
      <c r="AIW95" s="308"/>
      <c r="AIX95" s="308"/>
      <c r="AIY95" s="308"/>
      <c r="AIZ95" s="308"/>
      <c r="AJA95" s="308"/>
      <c r="AJB95" s="308"/>
      <c r="AJC95" s="308"/>
    </row>
    <row r="96" spans="1:940" s="546" customFormat="1" ht="28">
      <c r="A96" s="113">
        <f t="shared" si="55"/>
        <v>85</v>
      </c>
      <c r="B96" s="113">
        <v>1759</v>
      </c>
      <c r="C96" s="113" t="s">
        <v>601</v>
      </c>
      <c r="D96" s="117">
        <v>600000</v>
      </c>
      <c r="E96" s="117">
        <v>600000</v>
      </c>
      <c r="F96" s="117">
        <f t="shared" si="56"/>
        <v>0</v>
      </c>
      <c r="G96" s="117">
        <v>500000</v>
      </c>
      <c r="H96" s="117">
        <v>478660</v>
      </c>
      <c r="I96" s="117">
        <v>600</v>
      </c>
      <c r="J96" s="117">
        <v>17151.75</v>
      </c>
      <c r="K96" s="117">
        <f t="shared" si="43"/>
        <v>17751.75</v>
      </c>
      <c r="L96" s="117">
        <f t="shared" si="44"/>
        <v>496411.75</v>
      </c>
      <c r="M96" s="117">
        <f>P96+S96</f>
        <v>3588.25</v>
      </c>
      <c r="N96" s="117"/>
      <c r="O96" s="117">
        <f t="shared" si="57"/>
        <v>100000</v>
      </c>
      <c r="P96" s="117">
        <f t="shared" si="45"/>
        <v>3588.25</v>
      </c>
      <c r="Q96" s="117"/>
      <c r="R96" s="117"/>
      <c r="S96" s="117">
        <f t="shared" si="46"/>
        <v>0</v>
      </c>
      <c r="T96" s="117">
        <f t="shared" si="47"/>
        <v>0</v>
      </c>
      <c r="U96" s="117">
        <f t="shared" si="48"/>
        <v>0</v>
      </c>
      <c r="V96" s="117">
        <f t="shared" si="49"/>
        <v>0</v>
      </c>
      <c r="W96" s="543"/>
      <c r="X96" s="117"/>
      <c r="Y96" s="117"/>
      <c r="Z96" s="113"/>
      <c r="AA96" s="113">
        <v>732000</v>
      </c>
      <c r="AB96" s="117"/>
      <c r="AC96" s="117"/>
      <c r="AD96" s="117"/>
      <c r="AE96" s="117"/>
      <c r="AF96" s="117"/>
      <c r="AG96" s="117"/>
      <c r="AH96" s="117"/>
      <c r="AI96" s="117"/>
      <c r="AJ96" s="117"/>
      <c r="AK96" s="117">
        <f t="shared" si="24"/>
        <v>0</v>
      </c>
      <c r="AL96" s="565"/>
      <c r="AM96" s="566">
        <f t="shared" si="50"/>
        <v>0</v>
      </c>
      <c r="AN96" s="117">
        <f t="shared" si="51"/>
        <v>0</v>
      </c>
      <c r="AO96" s="117">
        <f t="shared" si="52"/>
        <v>0</v>
      </c>
      <c r="AP96" s="565"/>
      <c r="AQ96" s="565"/>
      <c r="AR96" s="565"/>
      <c r="AS96" s="565"/>
      <c r="AT96" s="117">
        <f t="shared" si="53"/>
        <v>0</v>
      </c>
      <c r="AU96" s="565"/>
      <c r="AV96" s="565"/>
      <c r="AW96" s="565"/>
      <c r="AX96" s="565"/>
      <c r="AY96" s="117">
        <f t="shared" si="54"/>
        <v>0</v>
      </c>
      <c r="AZ96" s="565"/>
      <c r="BA96" s="565"/>
      <c r="BB96" s="565"/>
      <c r="BC96" s="565"/>
      <c r="BD96" s="308"/>
      <c r="BE96" s="308"/>
      <c r="BF96" s="308"/>
      <c r="BG96" s="308"/>
      <c r="BH96" s="308"/>
      <c r="BI96" s="308"/>
      <c r="BJ96" s="308"/>
      <c r="BK96" s="308"/>
      <c r="BL96" s="308"/>
      <c r="BM96" s="308"/>
      <c r="BN96" s="308"/>
      <c r="BO96" s="308"/>
      <c r="BP96" s="308"/>
      <c r="BQ96" s="308"/>
      <c r="BR96" s="308"/>
      <c r="BS96" s="308"/>
      <c r="BT96" s="308"/>
      <c r="BU96" s="308"/>
      <c r="BV96" s="308"/>
      <c r="BW96" s="308"/>
      <c r="BX96" s="308"/>
      <c r="BY96" s="308"/>
      <c r="BZ96" s="308"/>
      <c r="CA96" s="308"/>
      <c r="CB96" s="308"/>
      <c r="CC96" s="308"/>
      <c r="CD96" s="308"/>
      <c r="CE96" s="308"/>
      <c r="CF96" s="308"/>
      <c r="CG96" s="308"/>
      <c r="CH96" s="308"/>
      <c r="CI96" s="308"/>
      <c r="CJ96" s="308"/>
      <c r="CK96" s="308"/>
      <c r="CL96" s="308"/>
      <c r="CM96" s="308"/>
      <c r="CN96" s="308"/>
      <c r="CO96" s="308"/>
      <c r="CP96" s="308"/>
      <c r="CQ96" s="308"/>
      <c r="CR96" s="308"/>
      <c r="CS96" s="308"/>
      <c r="CT96" s="308"/>
      <c r="CU96" s="308"/>
      <c r="CV96" s="308"/>
      <c r="CW96" s="308"/>
      <c r="CX96" s="308"/>
      <c r="CY96" s="308"/>
      <c r="CZ96" s="308"/>
      <c r="DA96" s="308"/>
      <c r="DB96" s="308"/>
      <c r="DC96" s="308"/>
      <c r="DD96" s="308"/>
      <c r="DE96" s="308"/>
      <c r="DF96" s="308"/>
      <c r="DG96" s="308"/>
      <c r="DH96" s="308"/>
      <c r="DI96" s="308"/>
      <c r="DJ96" s="308"/>
      <c r="DK96" s="308"/>
      <c r="DL96" s="308"/>
      <c r="DM96" s="308"/>
      <c r="DN96" s="308"/>
      <c r="DO96" s="308"/>
      <c r="DP96" s="308"/>
      <c r="DQ96" s="308"/>
      <c r="DR96" s="308"/>
      <c r="DS96" s="308"/>
      <c r="DT96" s="308"/>
      <c r="DU96" s="308"/>
      <c r="DV96" s="308"/>
      <c r="DW96" s="308"/>
      <c r="DX96" s="308"/>
      <c r="DY96" s="308"/>
      <c r="DZ96" s="308"/>
      <c r="EA96" s="308"/>
      <c r="EB96" s="308"/>
      <c r="EC96" s="308"/>
      <c r="ED96" s="308"/>
      <c r="EE96" s="308"/>
      <c r="EF96" s="308"/>
      <c r="EG96" s="308"/>
      <c r="EH96" s="308"/>
      <c r="EI96" s="308"/>
      <c r="EJ96" s="308"/>
      <c r="EK96" s="308"/>
      <c r="EL96" s="308"/>
      <c r="EM96" s="308"/>
      <c r="EN96" s="308"/>
      <c r="EO96" s="308"/>
      <c r="EP96" s="308"/>
      <c r="EQ96" s="308"/>
      <c r="ER96" s="308"/>
      <c r="ES96" s="308"/>
      <c r="ET96" s="308"/>
      <c r="EU96" s="308"/>
      <c r="EV96" s="308"/>
      <c r="EW96" s="308"/>
      <c r="EX96" s="308"/>
      <c r="EY96" s="308"/>
      <c r="EZ96" s="308"/>
      <c r="FA96" s="308"/>
      <c r="FB96" s="308"/>
      <c r="FC96" s="308"/>
      <c r="FD96" s="308"/>
      <c r="FE96" s="308"/>
      <c r="FF96" s="308"/>
      <c r="FG96" s="308"/>
      <c r="FH96" s="308"/>
      <c r="FI96" s="308"/>
      <c r="FJ96" s="308"/>
      <c r="FK96" s="308"/>
      <c r="FL96" s="308"/>
      <c r="FM96" s="308"/>
      <c r="FN96" s="308"/>
      <c r="FO96" s="308"/>
      <c r="FP96" s="308"/>
      <c r="FQ96" s="308"/>
      <c r="FR96" s="308"/>
      <c r="FS96" s="308"/>
      <c r="FT96" s="308"/>
      <c r="FU96" s="308"/>
      <c r="FV96" s="308"/>
      <c r="FW96" s="308"/>
      <c r="FX96" s="308"/>
      <c r="FY96" s="308"/>
      <c r="FZ96" s="308"/>
      <c r="GA96" s="308"/>
      <c r="GB96" s="308"/>
      <c r="GC96" s="308"/>
      <c r="GD96" s="308"/>
      <c r="GE96" s="308"/>
      <c r="GF96" s="308"/>
      <c r="GG96" s="308"/>
      <c r="GH96" s="308"/>
      <c r="GI96" s="308"/>
      <c r="GJ96" s="308"/>
      <c r="GK96" s="308"/>
      <c r="GL96" s="308"/>
      <c r="GM96" s="308"/>
      <c r="GN96" s="308"/>
      <c r="GO96" s="308"/>
      <c r="GP96" s="308"/>
      <c r="GQ96" s="308"/>
      <c r="GR96" s="308"/>
      <c r="GS96" s="308"/>
      <c r="GT96" s="308"/>
      <c r="GU96" s="308"/>
      <c r="GV96" s="308"/>
      <c r="GW96" s="308"/>
      <c r="GX96" s="308"/>
      <c r="GY96" s="308"/>
      <c r="GZ96" s="308"/>
      <c r="HA96" s="308"/>
      <c r="HB96" s="308"/>
      <c r="HC96" s="308"/>
      <c r="HD96" s="308"/>
      <c r="HE96" s="308"/>
      <c r="HF96" s="308"/>
      <c r="HG96" s="308"/>
      <c r="HH96" s="308"/>
      <c r="HI96" s="308"/>
      <c r="HJ96" s="308"/>
      <c r="HK96" s="308"/>
      <c r="HL96" s="308"/>
      <c r="HM96" s="308"/>
      <c r="HN96" s="308"/>
      <c r="HO96" s="308"/>
      <c r="HP96" s="308"/>
      <c r="HQ96" s="308"/>
      <c r="HR96" s="308"/>
      <c r="HS96" s="308"/>
      <c r="HT96" s="308"/>
      <c r="HU96" s="308"/>
      <c r="HV96" s="308"/>
      <c r="HW96" s="308"/>
      <c r="HX96" s="308"/>
      <c r="HY96" s="308"/>
      <c r="HZ96" s="308"/>
      <c r="IA96" s="308"/>
      <c r="IB96" s="308"/>
      <c r="IC96" s="308"/>
      <c r="ID96" s="308"/>
      <c r="IE96" s="308"/>
      <c r="IF96" s="308"/>
      <c r="IG96" s="308"/>
      <c r="IH96" s="308"/>
      <c r="II96" s="308"/>
      <c r="IJ96" s="308"/>
      <c r="IK96" s="308"/>
      <c r="IL96" s="308"/>
      <c r="IM96" s="308"/>
      <c r="IN96" s="308"/>
      <c r="IO96" s="308"/>
      <c r="IP96" s="308"/>
      <c r="IQ96" s="308"/>
      <c r="IR96" s="308"/>
      <c r="IS96" s="308"/>
      <c r="IT96" s="308"/>
      <c r="IU96" s="308"/>
      <c r="IV96" s="308"/>
      <c r="IW96" s="308"/>
      <c r="IX96" s="308"/>
      <c r="IY96" s="308"/>
      <c r="IZ96" s="308"/>
      <c r="JA96" s="308"/>
      <c r="JB96" s="308"/>
      <c r="JC96" s="308"/>
      <c r="JD96" s="308"/>
      <c r="JE96" s="308"/>
      <c r="JF96" s="308"/>
      <c r="JG96" s="308"/>
      <c r="JH96" s="308"/>
      <c r="JI96" s="308"/>
      <c r="JJ96" s="308"/>
      <c r="JK96" s="308"/>
      <c r="JL96" s="308"/>
      <c r="JM96" s="308"/>
      <c r="JN96" s="308"/>
      <c r="JO96" s="308"/>
      <c r="JP96" s="308"/>
      <c r="JQ96" s="308"/>
      <c r="JR96" s="308"/>
      <c r="JS96" s="308"/>
      <c r="JT96" s="308"/>
      <c r="JU96" s="308"/>
      <c r="JV96" s="308"/>
      <c r="JW96" s="308"/>
      <c r="JX96" s="308"/>
      <c r="JY96" s="308"/>
      <c r="JZ96" s="308"/>
      <c r="KA96" s="308"/>
      <c r="KB96" s="308"/>
      <c r="KC96" s="308"/>
      <c r="KD96" s="308"/>
      <c r="KE96" s="308"/>
      <c r="KF96" s="308"/>
      <c r="KG96" s="308"/>
      <c r="KH96" s="308"/>
      <c r="KI96" s="308"/>
      <c r="KJ96" s="308"/>
      <c r="KK96" s="308"/>
      <c r="KL96" s="308"/>
      <c r="KM96" s="308"/>
      <c r="KN96" s="308"/>
      <c r="KO96" s="308"/>
      <c r="KP96" s="308"/>
      <c r="KQ96" s="308"/>
      <c r="KR96" s="308"/>
      <c r="KS96" s="308"/>
      <c r="KT96" s="308"/>
      <c r="KU96" s="308"/>
      <c r="KV96" s="308"/>
      <c r="KW96" s="308"/>
      <c r="KX96" s="308"/>
      <c r="KY96" s="308"/>
      <c r="KZ96" s="308"/>
      <c r="LA96" s="308"/>
      <c r="LB96" s="308"/>
      <c r="LC96" s="308"/>
      <c r="LD96" s="308"/>
      <c r="LE96" s="308"/>
      <c r="LF96" s="308"/>
      <c r="LG96" s="308"/>
      <c r="LH96" s="308"/>
      <c r="LI96" s="308"/>
      <c r="LJ96" s="308"/>
      <c r="LK96" s="308"/>
      <c r="LL96" s="308"/>
      <c r="LM96" s="308"/>
      <c r="LN96" s="308"/>
      <c r="LO96" s="308"/>
      <c r="LP96" s="308"/>
      <c r="LQ96" s="308"/>
      <c r="LR96" s="308"/>
      <c r="LS96" s="308"/>
      <c r="LT96" s="308"/>
      <c r="LU96" s="308"/>
      <c r="LV96" s="308"/>
      <c r="LW96" s="308"/>
      <c r="LX96" s="308"/>
      <c r="LY96" s="308"/>
      <c r="LZ96" s="308"/>
      <c r="MA96" s="308"/>
      <c r="MB96" s="308"/>
      <c r="MC96" s="308"/>
      <c r="MD96" s="308"/>
      <c r="ME96" s="308"/>
      <c r="MF96" s="308"/>
      <c r="MG96" s="308"/>
      <c r="MH96" s="308"/>
      <c r="MI96" s="308"/>
      <c r="MJ96" s="308"/>
      <c r="MK96" s="308"/>
      <c r="ML96" s="308"/>
      <c r="MM96" s="308"/>
      <c r="MN96" s="308"/>
      <c r="MO96" s="308"/>
      <c r="MP96" s="308"/>
      <c r="MQ96" s="308"/>
      <c r="MR96" s="308"/>
      <c r="MS96" s="308"/>
      <c r="MT96" s="308"/>
      <c r="MU96" s="308"/>
      <c r="MV96" s="308"/>
      <c r="MW96" s="308"/>
      <c r="MX96" s="308"/>
      <c r="MY96" s="308"/>
      <c r="MZ96" s="308"/>
      <c r="NA96" s="308"/>
      <c r="NB96" s="308"/>
      <c r="NC96" s="308"/>
      <c r="ND96" s="308"/>
      <c r="NE96" s="308"/>
      <c r="NF96" s="308"/>
      <c r="NG96" s="308"/>
      <c r="NH96" s="308"/>
      <c r="NI96" s="308"/>
      <c r="NJ96" s="308"/>
      <c r="NK96" s="308"/>
      <c r="NL96" s="308"/>
      <c r="NM96" s="308"/>
      <c r="NN96" s="308"/>
      <c r="NO96" s="308"/>
      <c r="NP96" s="308"/>
      <c r="NQ96" s="308"/>
      <c r="NR96" s="308"/>
      <c r="NS96" s="308"/>
      <c r="NT96" s="308"/>
      <c r="NU96" s="308"/>
      <c r="NV96" s="308"/>
      <c r="NW96" s="308"/>
      <c r="NX96" s="308"/>
      <c r="NY96" s="308"/>
      <c r="NZ96" s="308"/>
      <c r="OA96" s="308"/>
      <c r="OB96" s="308"/>
      <c r="OC96" s="308"/>
      <c r="OD96" s="308"/>
      <c r="OE96" s="308"/>
      <c r="OF96" s="308"/>
      <c r="OG96" s="308"/>
      <c r="OH96" s="308"/>
      <c r="OI96" s="308"/>
      <c r="OJ96" s="308"/>
      <c r="OK96" s="308"/>
      <c r="OL96" s="308"/>
      <c r="OM96" s="308"/>
      <c r="ON96" s="308"/>
      <c r="OO96" s="308"/>
      <c r="OP96" s="308"/>
      <c r="OQ96" s="308"/>
      <c r="OR96" s="308"/>
      <c r="OS96" s="308"/>
      <c r="OT96" s="308"/>
      <c r="OU96" s="308"/>
      <c r="OV96" s="308"/>
      <c r="OW96" s="308"/>
      <c r="OX96" s="308"/>
      <c r="OY96" s="308"/>
      <c r="OZ96" s="308"/>
      <c r="PA96" s="308"/>
      <c r="PB96" s="308"/>
      <c r="PC96" s="308"/>
      <c r="PD96" s="308"/>
      <c r="PE96" s="308"/>
      <c r="PF96" s="308"/>
      <c r="PG96" s="308"/>
      <c r="PH96" s="308"/>
      <c r="PI96" s="308"/>
      <c r="PJ96" s="308"/>
      <c r="PK96" s="308"/>
      <c r="PL96" s="308"/>
      <c r="PM96" s="308"/>
      <c r="PN96" s="308"/>
      <c r="PO96" s="308"/>
      <c r="PP96" s="308"/>
      <c r="PQ96" s="308"/>
      <c r="PR96" s="308"/>
      <c r="PS96" s="308"/>
      <c r="PT96" s="308"/>
      <c r="PU96" s="308"/>
      <c r="PV96" s="308"/>
      <c r="PW96" s="308"/>
      <c r="PX96" s="308"/>
      <c r="PY96" s="308"/>
      <c r="PZ96" s="308"/>
      <c r="QA96" s="308"/>
      <c r="QB96" s="308"/>
      <c r="QC96" s="308"/>
      <c r="QD96" s="308"/>
      <c r="QE96" s="308"/>
      <c r="QF96" s="308"/>
      <c r="QG96" s="308"/>
      <c r="QH96" s="308"/>
      <c r="QI96" s="308"/>
      <c r="QJ96" s="308"/>
      <c r="QK96" s="308"/>
      <c r="QL96" s="308"/>
      <c r="QM96" s="308"/>
      <c r="QN96" s="308"/>
      <c r="QO96" s="308"/>
      <c r="QP96" s="308"/>
      <c r="QQ96" s="308"/>
      <c r="QR96" s="308"/>
      <c r="QS96" s="308"/>
      <c r="QT96" s="308"/>
      <c r="QU96" s="308"/>
      <c r="QV96" s="308"/>
      <c r="QW96" s="308"/>
      <c r="QX96" s="308"/>
      <c r="QY96" s="308"/>
      <c r="QZ96" s="308"/>
      <c r="RA96" s="308"/>
      <c r="RB96" s="308"/>
      <c r="RC96" s="308"/>
      <c r="RD96" s="308"/>
      <c r="RE96" s="308"/>
      <c r="RF96" s="308"/>
      <c r="RG96" s="308"/>
      <c r="RH96" s="308"/>
      <c r="RI96" s="308"/>
      <c r="RJ96" s="308"/>
      <c r="RK96" s="308"/>
      <c r="RL96" s="308"/>
      <c r="RM96" s="308"/>
      <c r="RN96" s="308"/>
      <c r="RO96" s="308"/>
      <c r="RP96" s="308"/>
      <c r="RQ96" s="308"/>
      <c r="RR96" s="308"/>
      <c r="RS96" s="308"/>
      <c r="RT96" s="308"/>
      <c r="RU96" s="308"/>
      <c r="RV96" s="308"/>
      <c r="RW96" s="308"/>
      <c r="RX96" s="308"/>
      <c r="RY96" s="308"/>
      <c r="RZ96" s="308"/>
      <c r="SA96" s="308"/>
      <c r="SB96" s="308"/>
      <c r="SC96" s="308"/>
      <c r="SD96" s="308"/>
      <c r="SE96" s="308"/>
      <c r="SF96" s="308"/>
      <c r="SG96" s="308"/>
      <c r="SH96" s="308"/>
      <c r="SI96" s="308"/>
      <c r="SJ96" s="308"/>
      <c r="SK96" s="308"/>
      <c r="SL96" s="308"/>
      <c r="SM96" s="308"/>
      <c r="SN96" s="308"/>
      <c r="SO96" s="308"/>
      <c r="SP96" s="308"/>
      <c r="SQ96" s="308"/>
      <c r="SR96" s="308"/>
      <c r="SS96" s="308"/>
      <c r="ST96" s="308"/>
      <c r="SU96" s="308"/>
      <c r="SV96" s="308"/>
      <c r="SW96" s="308"/>
      <c r="SX96" s="308"/>
      <c r="SY96" s="308"/>
      <c r="SZ96" s="308"/>
      <c r="TA96" s="308"/>
      <c r="TB96" s="308"/>
      <c r="TC96" s="308"/>
      <c r="TD96" s="308"/>
      <c r="TE96" s="308"/>
      <c r="TF96" s="308"/>
      <c r="TG96" s="308"/>
      <c r="TH96" s="308"/>
      <c r="TI96" s="308"/>
      <c r="TJ96" s="308"/>
      <c r="TK96" s="308"/>
      <c r="TL96" s="308"/>
      <c r="TM96" s="308"/>
      <c r="TN96" s="308"/>
      <c r="TO96" s="308"/>
      <c r="TP96" s="308"/>
      <c r="TQ96" s="308"/>
      <c r="TR96" s="308"/>
      <c r="TS96" s="308"/>
      <c r="TT96" s="308"/>
      <c r="TU96" s="308"/>
      <c r="TV96" s="308"/>
      <c r="TW96" s="308"/>
      <c r="TX96" s="308"/>
      <c r="TY96" s="308"/>
      <c r="TZ96" s="308"/>
      <c r="UA96" s="308"/>
      <c r="UB96" s="308"/>
      <c r="UC96" s="308"/>
      <c r="UD96" s="308"/>
      <c r="UE96" s="308"/>
      <c r="UF96" s="308"/>
      <c r="UG96" s="308"/>
      <c r="UH96" s="308"/>
      <c r="UI96" s="308"/>
      <c r="UJ96" s="308"/>
      <c r="UK96" s="308"/>
      <c r="UL96" s="308"/>
      <c r="UM96" s="308"/>
      <c r="UN96" s="308"/>
      <c r="UO96" s="308"/>
      <c r="UP96" s="308"/>
      <c r="UQ96" s="308"/>
      <c r="UR96" s="308"/>
      <c r="US96" s="308"/>
      <c r="UT96" s="308"/>
      <c r="UU96" s="308"/>
      <c r="UV96" s="308"/>
      <c r="UW96" s="308"/>
      <c r="UX96" s="308"/>
      <c r="UY96" s="308"/>
      <c r="UZ96" s="308"/>
      <c r="VA96" s="308"/>
      <c r="VB96" s="308"/>
      <c r="VC96" s="308"/>
      <c r="VD96" s="308"/>
      <c r="VE96" s="308"/>
      <c r="VF96" s="308"/>
      <c r="VG96" s="308"/>
      <c r="VH96" s="308"/>
      <c r="VI96" s="308"/>
      <c r="VJ96" s="308"/>
      <c r="VK96" s="308"/>
      <c r="VL96" s="308"/>
      <c r="VM96" s="308"/>
      <c r="VN96" s="308"/>
      <c r="VO96" s="308"/>
      <c r="VP96" s="308"/>
      <c r="VQ96" s="308"/>
      <c r="VR96" s="308"/>
      <c r="VS96" s="308"/>
      <c r="VT96" s="308"/>
      <c r="VU96" s="308"/>
      <c r="VV96" s="308"/>
      <c r="VW96" s="308"/>
      <c r="VX96" s="308"/>
      <c r="VY96" s="308"/>
      <c r="VZ96" s="308"/>
      <c r="WA96" s="308"/>
      <c r="WB96" s="308"/>
      <c r="WC96" s="308"/>
      <c r="WD96" s="308"/>
      <c r="WE96" s="308"/>
      <c r="WF96" s="308"/>
      <c r="WG96" s="308"/>
      <c r="WH96" s="308"/>
      <c r="WI96" s="308"/>
      <c r="WJ96" s="308"/>
      <c r="WK96" s="308"/>
      <c r="WL96" s="308"/>
      <c r="WM96" s="308"/>
      <c r="WN96" s="308"/>
      <c r="WO96" s="308"/>
      <c r="WP96" s="308"/>
      <c r="WQ96" s="308"/>
      <c r="WR96" s="308"/>
      <c r="WS96" s="308"/>
      <c r="WT96" s="308"/>
      <c r="WU96" s="308"/>
      <c r="WV96" s="308"/>
      <c r="WW96" s="308"/>
      <c r="WX96" s="308"/>
      <c r="WY96" s="308"/>
      <c r="WZ96" s="308"/>
      <c r="XA96" s="308"/>
      <c r="XB96" s="308"/>
      <c r="XC96" s="308"/>
      <c r="XD96" s="308"/>
      <c r="XE96" s="308"/>
      <c r="XF96" s="308"/>
      <c r="XG96" s="308"/>
      <c r="XH96" s="308"/>
      <c r="XI96" s="308"/>
      <c r="XJ96" s="308"/>
      <c r="XK96" s="308"/>
      <c r="XL96" s="308"/>
      <c r="XM96" s="308"/>
      <c r="XN96" s="308"/>
      <c r="XO96" s="308"/>
      <c r="XP96" s="308"/>
      <c r="XQ96" s="308"/>
      <c r="XR96" s="308"/>
      <c r="XS96" s="308"/>
      <c r="XT96" s="308"/>
      <c r="XU96" s="308"/>
      <c r="XV96" s="308"/>
      <c r="XW96" s="308"/>
      <c r="XX96" s="308"/>
      <c r="XY96" s="308"/>
      <c r="XZ96" s="308"/>
      <c r="YA96" s="308"/>
      <c r="YB96" s="308"/>
      <c r="YC96" s="308"/>
      <c r="YD96" s="308"/>
      <c r="YE96" s="308"/>
      <c r="YF96" s="308"/>
      <c r="YG96" s="308"/>
      <c r="YH96" s="308"/>
      <c r="YI96" s="308"/>
      <c r="YJ96" s="308"/>
      <c r="YK96" s="308"/>
      <c r="YL96" s="308"/>
      <c r="YM96" s="308"/>
      <c r="YN96" s="308"/>
      <c r="YO96" s="308"/>
      <c r="YP96" s="308"/>
      <c r="YQ96" s="308"/>
      <c r="YR96" s="308"/>
      <c r="YS96" s="308"/>
      <c r="YT96" s="308"/>
      <c r="YU96" s="308"/>
      <c r="YV96" s="308"/>
      <c r="YW96" s="308"/>
      <c r="YX96" s="308"/>
      <c r="YY96" s="308"/>
      <c r="YZ96" s="308"/>
      <c r="ZA96" s="308"/>
      <c r="ZB96" s="308"/>
      <c r="ZC96" s="308"/>
      <c r="ZD96" s="308"/>
      <c r="ZE96" s="308"/>
      <c r="ZF96" s="308"/>
      <c r="ZG96" s="308"/>
      <c r="ZH96" s="308"/>
      <c r="ZI96" s="308"/>
      <c r="ZJ96" s="308"/>
      <c r="ZK96" s="308"/>
      <c r="ZL96" s="308"/>
      <c r="ZM96" s="308"/>
      <c r="ZN96" s="308"/>
      <c r="ZO96" s="308"/>
      <c r="ZP96" s="308"/>
      <c r="ZQ96" s="308"/>
      <c r="ZR96" s="308"/>
      <c r="ZS96" s="308"/>
      <c r="ZT96" s="308"/>
      <c r="ZU96" s="308"/>
      <c r="ZV96" s="308"/>
      <c r="ZW96" s="308"/>
      <c r="ZX96" s="308"/>
      <c r="ZY96" s="308"/>
      <c r="ZZ96" s="308"/>
      <c r="AAA96" s="308"/>
      <c r="AAB96" s="308"/>
      <c r="AAC96" s="308"/>
      <c r="AAD96" s="308"/>
      <c r="AAE96" s="308"/>
      <c r="AAF96" s="308"/>
      <c r="AAG96" s="308"/>
      <c r="AAH96" s="308"/>
      <c r="AAI96" s="308"/>
      <c r="AAJ96" s="308"/>
      <c r="AAK96" s="308"/>
      <c r="AAL96" s="308"/>
      <c r="AAM96" s="308"/>
      <c r="AAN96" s="308"/>
      <c r="AAO96" s="308"/>
      <c r="AAP96" s="308"/>
      <c r="AAQ96" s="308"/>
      <c r="AAR96" s="308"/>
      <c r="AAS96" s="308"/>
      <c r="AAT96" s="308"/>
      <c r="AAU96" s="308"/>
      <c r="AAV96" s="308"/>
      <c r="AAW96" s="308"/>
      <c r="AAX96" s="308"/>
      <c r="AAY96" s="308"/>
      <c r="AAZ96" s="308"/>
      <c r="ABA96" s="308"/>
      <c r="ABB96" s="308"/>
      <c r="ABC96" s="308"/>
      <c r="ABD96" s="308"/>
      <c r="ABE96" s="308"/>
      <c r="ABF96" s="308"/>
      <c r="ABG96" s="308"/>
      <c r="ABH96" s="308"/>
      <c r="ABI96" s="308"/>
      <c r="ABJ96" s="308"/>
      <c r="ABK96" s="308"/>
      <c r="ABL96" s="308"/>
      <c r="ABM96" s="308"/>
      <c r="ABN96" s="308"/>
      <c r="ABO96" s="308"/>
      <c r="ABP96" s="308"/>
      <c r="ABQ96" s="308"/>
      <c r="ABR96" s="308"/>
      <c r="ABS96" s="308"/>
      <c r="ABT96" s="308"/>
      <c r="ABU96" s="308"/>
      <c r="ABV96" s="308"/>
      <c r="ABW96" s="308"/>
      <c r="ABX96" s="308"/>
      <c r="ABY96" s="308"/>
      <c r="ABZ96" s="308"/>
      <c r="ACA96" s="308"/>
      <c r="ACB96" s="308"/>
      <c r="ACC96" s="308"/>
      <c r="ACD96" s="308"/>
      <c r="ACE96" s="308"/>
      <c r="ACF96" s="308"/>
      <c r="ACG96" s="308"/>
      <c r="ACH96" s="308"/>
      <c r="ACI96" s="308"/>
      <c r="ACJ96" s="308"/>
      <c r="ACK96" s="308"/>
      <c r="ACL96" s="308"/>
      <c r="ACM96" s="308"/>
      <c r="ACN96" s="308"/>
      <c r="ACO96" s="308"/>
      <c r="ACP96" s="308"/>
      <c r="ACQ96" s="308"/>
      <c r="ACR96" s="308"/>
      <c r="ACS96" s="308"/>
      <c r="ACT96" s="308"/>
      <c r="ACU96" s="308"/>
      <c r="ACV96" s="308"/>
      <c r="ACW96" s="308"/>
      <c r="ACX96" s="308"/>
      <c r="ACY96" s="308"/>
      <c r="ACZ96" s="308"/>
      <c r="ADA96" s="308"/>
      <c r="ADB96" s="308"/>
      <c r="ADC96" s="308"/>
      <c r="ADD96" s="308"/>
      <c r="ADE96" s="308"/>
      <c r="ADF96" s="308"/>
      <c r="ADG96" s="308"/>
      <c r="ADH96" s="308"/>
      <c r="ADI96" s="308"/>
      <c r="ADJ96" s="308"/>
      <c r="ADK96" s="308"/>
      <c r="ADL96" s="308"/>
      <c r="ADM96" s="308"/>
      <c r="ADN96" s="308"/>
      <c r="ADO96" s="308"/>
      <c r="ADP96" s="308"/>
      <c r="ADQ96" s="308"/>
      <c r="ADR96" s="308"/>
      <c r="ADS96" s="308"/>
      <c r="ADT96" s="308"/>
      <c r="ADU96" s="308"/>
      <c r="ADV96" s="308"/>
      <c r="ADW96" s="308"/>
      <c r="ADX96" s="308"/>
      <c r="ADY96" s="308"/>
      <c r="ADZ96" s="308"/>
      <c r="AEA96" s="308"/>
      <c r="AEB96" s="308"/>
      <c r="AEC96" s="308"/>
      <c r="AED96" s="308"/>
      <c r="AEE96" s="308"/>
      <c r="AEF96" s="308"/>
      <c r="AEG96" s="308"/>
      <c r="AEH96" s="308"/>
      <c r="AEI96" s="308"/>
      <c r="AEJ96" s="308"/>
      <c r="AEK96" s="308"/>
      <c r="AEL96" s="308"/>
      <c r="AEM96" s="308"/>
      <c r="AEN96" s="308"/>
      <c r="AEO96" s="308"/>
      <c r="AEP96" s="308"/>
      <c r="AEQ96" s="308"/>
      <c r="AER96" s="308"/>
      <c r="AES96" s="308"/>
      <c r="AET96" s="308"/>
      <c r="AEU96" s="308"/>
      <c r="AEV96" s="308"/>
      <c r="AEW96" s="308"/>
      <c r="AEX96" s="308"/>
      <c r="AEY96" s="308"/>
      <c r="AEZ96" s="308"/>
      <c r="AFA96" s="308"/>
      <c r="AFB96" s="308"/>
      <c r="AFC96" s="308"/>
      <c r="AFD96" s="308"/>
      <c r="AFE96" s="308"/>
      <c r="AFF96" s="308"/>
      <c r="AFG96" s="308"/>
      <c r="AFH96" s="308"/>
      <c r="AFI96" s="308"/>
      <c r="AFJ96" s="308"/>
      <c r="AFK96" s="308"/>
      <c r="AFL96" s="308"/>
      <c r="AFM96" s="308"/>
      <c r="AFN96" s="308"/>
      <c r="AFO96" s="308"/>
      <c r="AFP96" s="308"/>
      <c r="AFQ96" s="308"/>
      <c r="AFR96" s="308"/>
      <c r="AFS96" s="308"/>
      <c r="AFT96" s="308"/>
      <c r="AFU96" s="308"/>
      <c r="AFV96" s="308"/>
      <c r="AFW96" s="308"/>
      <c r="AFX96" s="308"/>
      <c r="AFY96" s="308"/>
      <c r="AFZ96" s="308"/>
      <c r="AGA96" s="308"/>
      <c r="AGB96" s="308"/>
      <c r="AGC96" s="308"/>
      <c r="AGD96" s="308"/>
      <c r="AGE96" s="308"/>
      <c r="AGF96" s="308"/>
      <c r="AGG96" s="308"/>
      <c r="AGH96" s="308"/>
      <c r="AGI96" s="308"/>
      <c r="AGJ96" s="308"/>
      <c r="AGK96" s="308"/>
      <c r="AGL96" s="308"/>
      <c r="AGM96" s="308"/>
      <c r="AGN96" s="308"/>
      <c r="AGO96" s="308"/>
      <c r="AGP96" s="308"/>
      <c r="AGQ96" s="308"/>
      <c r="AGR96" s="308"/>
      <c r="AGS96" s="308"/>
      <c r="AGT96" s="308"/>
      <c r="AGU96" s="308"/>
      <c r="AGV96" s="308"/>
      <c r="AGW96" s="308"/>
      <c r="AGX96" s="308"/>
      <c r="AGY96" s="308"/>
      <c r="AGZ96" s="308"/>
      <c r="AHA96" s="308"/>
      <c r="AHB96" s="308"/>
      <c r="AHC96" s="308"/>
      <c r="AHD96" s="308"/>
      <c r="AHE96" s="308"/>
      <c r="AHF96" s="308"/>
      <c r="AHG96" s="308"/>
      <c r="AHH96" s="308"/>
      <c r="AHI96" s="308"/>
      <c r="AHJ96" s="308"/>
      <c r="AHK96" s="308"/>
      <c r="AHL96" s="308"/>
      <c r="AHM96" s="308"/>
      <c r="AHN96" s="308"/>
      <c r="AHO96" s="308"/>
      <c r="AHP96" s="308"/>
      <c r="AHQ96" s="308"/>
      <c r="AHR96" s="308"/>
      <c r="AHS96" s="308"/>
      <c r="AHT96" s="308"/>
      <c r="AHU96" s="308"/>
      <c r="AHV96" s="308"/>
      <c r="AHW96" s="308"/>
      <c r="AHX96" s="308"/>
      <c r="AHY96" s="308"/>
      <c r="AHZ96" s="308"/>
      <c r="AIA96" s="308"/>
      <c r="AIB96" s="308"/>
      <c r="AIC96" s="308"/>
      <c r="AID96" s="308"/>
      <c r="AIE96" s="308"/>
      <c r="AIF96" s="308"/>
      <c r="AIG96" s="308"/>
      <c r="AIH96" s="308"/>
      <c r="AII96" s="308"/>
      <c r="AIJ96" s="308"/>
      <c r="AIK96" s="308"/>
      <c r="AIL96" s="308"/>
      <c r="AIM96" s="308"/>
      <c r="AIN96" s="308"/>
      <c r="AIO96" s="308"/>
      <c r="AIP96" s="308"/>
      <c r="AIQ96" s="308"/>
      <c r="AIR96" s="308"/>
      <c r="AIS96" s="308"/>
      <c r="AIT96" s="308"/>
      <c r="AIU96" s="308"/>
      <c r="AIV96" s="308"/>
      <c r="AIW96" s="308"/>
      <c r="AIX96" s="308"/>
      <c r="AIY96" s="308"/>
      <c r="AIZ96" s="308"/>
      <c r="AJA96" s="308"/>
      <c r="AJB96" s="308"/>
      <c r="AJC96" s="308"/>
    </row>
    <row r="97" spans="1:940" s="545" customFormat="1" ht="28">
      <c r="A97" s="113">
        <f t="shared" si="55"/>
        <v>86</v>
      </c>
      <c r="B97" s="244">
        <v>1761</v>
      </c>
      <c r="C97" s="244" t="s">
        <v>1143</v>
      </c>
      <c r="D97" s="117">
        <v>400000</v>
      </c>
      <c r="E97" s="117">
        <v>400000</v>
      </c>
      <c r="F97" s="117">
        <f t="shared" si="56"/>
        <v>0</v>
      </c>
      <c r="G97" s="117">
        <v>150000</v>
      </c>
      <c r="H97" s="117"/>
      <c r="I97" s="117"/>
      <c r="J97" s="117"/>
      <c r="K97" s="117">
        <f t="shared" si="43"/>
        <v>0</v>
      </c>
      <c r="L97" s="117">
        <f t="shared" si="44"/>
        <v>0</v>
      </c>
      <c r="M97" s="117">
        <f>P97+S97-150000</f>
        <v>0</v>
      </c>
      <c r="N97" s="117">
        <v>150000</v>
      </c>
      <c r="O97" s="117">
        <f t="shared" si="57"/>
        <v>250000</v>
      </c>
      <c r="P97" s="117">
        <f t="shared" si="45"/>
        <v>150000</v>
      </c>
      <c r="Q97" s="117"/>
      <c r="R97" s="117"/>
      <c r="S97" s="117">
        <f t="shared" si="46"/>
        <v>0</v>
      </c>
      <c r="T97" s="117">
        <f t="shared" si="47"/>
        <v>150000</v>
      </c>
      <c r="U97" s="117">
        <f t="shared" si="48"/>
        <v>0</v>
      </c>
      <c r="V97" s="117">
        <f t="shared" si="49"/>
        <v>0</v>
      </c>
      <c r="W97" s="543"/>
      <c r="X97" s="117"/>
      <c r="Y97" s="117"/>
      <c r="Z97" s="113"/>
      <c r="AA97" s="113">
        <v>732000</v>
      </c>
      <c r="AB97" s="117"/>
      <c r="AC97" s="117"/>
      <c r="AD97" s="117"/>
      <c r="AE97" s="117"/>
      <c r="AF97" s="117"/>
      <c r="AG97" s="117"/>
      <c r="AH97" s="117"/>
      <c r="AI97" s="117"/>
      <c r="AJ97" s="117"/>
      <c r="AK97" s="117">
        <f t="shared" si="24"/>
        <v>0</v>
      </c>
      <c r="AL97" s="117"/>
      <c r="AM97" s="566">
        <f t="shared" si="50"/>
        <v>0</v>
      </c>
      <c r="AN97" s="117">
        <f t="shared" si="51"/>
        <v>0</v>
      </c>
      <c r="AO97" s="117">
        <f t="shared" si="52"/>
        <v>0</v>
      </c>
      <c r="AP97" s="565"/>
      <c r="AQ97" s="565"/>
      <c r="AR97" s="565"/>
      <c r="AS97" s="565"/>
      <c r="AT97" s="117">
        <f t="shared" si="53"/>
        <v>0</v>
      </c>
      <c r="AU97" s="565"/>
      <c r="AV97" s="565"/>
      <c r="AW97" s="565"/>
      <c r="AX97" s="565"/>
      <c r="AY97" s="117">
        <f t="shared" si="54"/>
        <v>0</v>
      </c>
      <c r="AZ97" s="565"/>
      <c r="BA97" s="565"/>
      <c r="BB97" s="565"/>
      <c r="BC97" s="565"/>
      <c r="BD97" s="544"/>
      <c r="BE97" s="544"/>
      <c r="BF97" s="544"/>
      <c r="BG97" s="544"/>
      <c r="BH97" s="544"/>
      <c r="AJD97" s="546"/>
    </row>
    <row r="98" spans="1:940" s="545" customFormat="1">
      <c r="A98" s="113">
        <f t="shared" si="55"/>
        <v>87</v>
      </c>
      <c r="B98" s="113">
        <v>1811</v>
      </c>
      <c r="C98" s="113" t="s">
        <v>184</v>
      </c>
      <c r="D98" s="117">
        <v>250000</v>
      </c>
      <c r="E98" s="117">
        <v>250000</v>
      </c>
      <c r="F98" s="117">
        <f t="shared" si="56"/>
        <v>0</v>
      </c>
      <c r="G98" s="117">
        <v>250000</v>
      </c>
      <c r="H98" s="117"/>
      <c r="I98" s="117"/>
      <c r="J98" s="117"/>
      <c r="K98" s="117">
        <f t="shared" si="43"/>
        <v>0</v>
      </c>
      <c r="L98" s="117">
        <f t="shared" si="44"/>
        <v>0</v>
      </c>
      <c r="M98" s="117">
        <f>P98+S98-200000</f>
        <v>50000</v>
      </c>
      <c r="N98" s="117">
        <v>200000</v>
      </c>
      <c r="O98" s="117">
        <f t="shared" si="57"/>
        <v>0</v>
      </c>
      <c r="P98" s="117">
        <f t="shared" si="45"/>
        <v>250000</v>
      </c>
      <c r="Q98" s="117"/>
      <c r="R98" s="117"/>
      <c r="S98" s="117">
        <f t="shared" si="46"/>
        <v>0</v>
      </c>
      <c r="T98" s="117">
        <f t="shared" si="47"/>
        <v>200000</v>
      </c>
      <c r="U98" s="117">
        <f t="shared" si="48"/>
        <v>0</v>
      </c>
      <c r="V98" s="117">
        <f t="shared" si="49"/>
        <v>0</v>
      </c>
      <c r="W98" s="543"/>
      <c r="X98" s="117"/>
      <c r="Y98" s="117"/>
      <c r="Z98" s="113"/>
      <c r="AA98" s="113">
        <v>732000</v>
      </c>
      <c r="AB98" s="117"/>
      <c r="AC98" s="117"/>
      <c r="AD98" s="117"/>
      <c r="AE98" s="117"/>
      <c r="AF98" s="117"/>
      <c r="AG98" s="117"/>
      <c r="AH98" s="117"/>
      <c r="AI98" s="117"/>
      <c r="AJ98" s="117"/>
      <c r="AK98" s="117">
        <f t="shared" si="24"/>
        <v>0</v>
      </c>
      <c r="AL98" s="117"/>
      <c r="AM98" s="566">
        <f t="shared" si="50"/>
        <v>0</v>
      </c>
      <c r="AN98" s="117">
        <f t="shared" si="51"/>
        <v>0</v>
      </c>
      <c r="AO98" s="117">
        <f t="shared" si="52"/>
        <v>0</v>
      </c>
      <c r="AP98" s="565"/>
      <c r="AQ98" s="565"/>
      <c r="AR98" s="565"/>
      <c r="AS98" s="565"/>
      <c r="AT98" s="117">
        <f t="shared" si="53"/>
        <v>0</v>
      </c>
      <c r="AU98" s="565"/>
      <c r="AV98" s="565"/>
      <c r="AW98" s="565"/>
      <c r="AX98" s="565"/>
      <c r="AY98" s="117">
        <f t="shared" si="54"/>
        <v>0</v>
      </c>
      <c r="AZ98" s="565"/>
      <c r="BA98" s="565"/>
      <c r="BB98" s="565"/>
      <c r="BC98" s="565"/>
      <c r="BD98" s="544"/>
      <c r="BE98" s="544"/>
      <c r="BF98" s="544"/>
      <c r="BG98" s="544"/>
      <c r="BH98" s="544"/>
      <c r="AJD98" s="546"/>
    </row>
    <row r="99" spans="1:940" s="546" customFormat="1">
      <c r="A99" s="113">
        <f t="shared" si="55"/>
        <v>88</v>
      </c>
      <c r="B99" s="113">
        <v>1843</v>
      </c>
      <c r="C99" s="113" t="s">
        <v>196</v>
      </c>
      <c r="D99" s="117">
        <f>70000+310000</f>
        <v>380000</v>
      </c>
      <c r="E99" s="117">
        <v>70000</v>
      </c>
      <c r="F99" s="117">
        <f t="shared" si="56"/>
        <v>310000</v>
      </c>
      <c r="G99" s="117">
        <v>70000</v>
      </c>
      <c r="H99" s="117"/>
      <c r="I99" s="117">
        <v>1.17</v>
      </c>
      <c r="J99" s="117"/>
      <c r="K99" s="117">
        <f t="shared" si="43"/>
        <v>1.17</v>
      </c>
      <c r="L99" s="117">
        <f t="shared" si="44"/>
        <v>1.17</v>
      </c>
      <c r="M99" s="117">
        <f>P99+S99</f>
        <v>69998.83</v>
      </c>
      <c r="N99" s="117">
        <f>310000-210000</f>
        <v>100000</v>
      </c>
      <c r="O99" s="117">
        <f t="shared" si="57"/>
        <v>210000</v>
      </c>
      <c r="P99" s="117">
        <f t="shared" si="45"/>
        <v>69998.83</v>
      </c>
      <c r="Q99" s="117"/>
      <c r="R99" s="117"/>
      <c r="S99" s="117">
        <f t="shared" si="46"/>
        <v>0</v>
      </c>
      <c r="T99" s="117">
        <f t="shared" si="47"/>
        <v>0</v>
      </c>
      <c r="U99" s="117">
        <f t="shared" si="48"/>
        <v>100000</v>
      </c>
      <c r="V99" s="117">
        <f t="shared" si="49"/>
        <v>100000</v>
      </c>
      <c r="W99" s="543"/>
      <c r="X99" s="117"/>
      <c r="Y99" s="117"/>
      <c r="Z99" s="113"/>
      <c r="AA99" s="113">
        <v>732000</v>
      </c>
      <c r="AB99" s="117"/>
      <c r="AC99" s="117"/>
      <c r="AD99" s="117"/>
      <c r="AE99" s="117"/>
      <c r="AF99" s="117"/>
      <c r="AG99" s="117"/>
      <c r="AH99" s="117"/>
      <c r="AI99" s="117"/>
      <c r="AJ99" s="117"/>
      <c r="AK99" s="117">
        <f t="shared" si="24"/>
        <v>0</v>
      </c>
      <c r="AL99" s="565"/>
      <c r="AM99" s="566">
        <f t="shared" si="50"/>
        <v>0</v>
      </c>
      <c r="AN99" s="117">
        <f t="shared" si="51"/>
        <v>100000</v>
      </c>
      <c r="AO99" s="117">
        <f t="shared" si="52"/>
        <v>0</v>
      </c>
      <c r="AP99" s="565"/>
      <c r="AQ99" s="565"/>
      <c r="AR99" s="565"/>
      <c r="AS99" s="565"/>
      <c r="AT99" s="117">
        <f t="shared" si="53"/>
        <v>0</v>
      </c>
      <c r="AU99" s="565"/>
      <c r="AV99" s="565"/>
      <c r="AW99" s="565"/>
      <c r="AX99" s="565"/>
      <c r="AY99" s="117">
        <f t="shared" si="54"/>
        <v>100000</v>
      </c>
      <c r="AZ99" s="565"/>
      <c r="BA99" s="565"/>
      <c r="BB99" s="565"/>
      <c r="BC99" s="565"/>
      <c r="BD99" s="308"/>
      <c r="BE99" s="308"/>
      <c r="BF99" s="308"/>
      <c r="BG99" s="308"/>
      <c r="BH99" s="308"/>
      <c r="BI99" s="308"/>
      <c r="BJ99" s="308"/>
      <c r="BK99" s="308"/>
      <c r="BL99" s="308"/>
      <c r="BM99" s="308"/>
      <c r="BN99" s="308"/>
      <c r="BO99" s="308"/>
      <c r="BP99" s="308"/>
      <c r="BQ99" s="308"/>
      <c r="BR99" s="308"/>
      <c r="BS99" s="308"/>
      <c r="BT99" s="308"/>
      <c r="BU99" s="308"/>
      <c r="BV99" s="308"/>
      <c r="BW99" s="308"/>
      <c r="BX99" s="308"/>
      <c r="BY99" s="308"/>
      <c r="BZ99" s="308"/>
      <c r="CA99" s="308"/>
      <c r="CB99" s="308"/>
      <c r="CC99" s="308"/>
      <c r="CD99" s="308"/>
      <c r="CE99" s="308"/>
      <c r="CF99" s="308"/>
      <c r="CG99" s="308"/>
      <c r="CH99" s="308"/>
      <c r="CI99" s="308"/>
      <c r="CJ99" s="308"/>
      <c r="CK99" s="308"/>
      <c r="CL99" s="308"/>
      <c r="CM99" s="308"/>
      <c r="CN99" s="308"/>
      <c r="CO99" s="308"/>
      <c r="CP99" s="308"/>
      <c r="CQ99" s="308"/>
      <c r="CR99" s="308"/>
      <c r="CS99" s="308"/>
      <c r="CT99" s="308"/>
      <c r="CU99" s="308"/>
      <c r="CV99" s="308"/>
      <c r="CW99" s="308"/>
      <c r="CX99" s="308"/>
      <c r="CY99" s="308"/>
      <c r="CZ99" s="308"/>
      <c r="DA99" s="308"/>
      <c r="DB99" s="308"/>
      <c r="DC99" s="308"/>
      <c r="DD99" s="308"/>
      <c r="DE99" s="308"/>
      <c r="DF99" s="308"/>
      <c r="DG99" s="308"/>
      <c r="DH99" s="308"/>
      <c r="DI99" s="308"/>
      <c r="DJ99" s="308"/>
      <c r="DK99" s="308"/>
      <c r="DL99" s="308"/>
      <c r="DM99" s="308"/>
      <c r="DN99" s="308"/>
      <c r="DO99" s="308"/>
      <c r="DP99" s="308"/>
      <c r="DQ99" s="308"/>
      <c r="DR99" s="308"/>
      <c r="DS99" s="308"/>
      <c r="DT99" s="308"/>
      <c r="DU99" s="308"/>
      <c r="DV99" s="308"/>
      <c r="DW99" s="308"/>
      <c r="DX99" s="308"/>
      <c r="DY99" s="308"/>
      <c r="DZ99" s="308"/>
      <c r="EA99" s="308"/>
      <c r="EB99" s="308"/>
      <c r="EC99" s="308"/>
      <c r="ED99" s="308"/>
      <c r="EE99" s="308"/>
      <c r="EF99" s="308"/>
      <c r="EG99" s="308"/>
      <c r="EH99" s="308"/>
      <c r="EI99" s="308"/>
      <c r="EJ99" s="308"/>
      <c r="EK99" s="308"/>
      <c r="EL99" s="308"/>
      <c r="EM99" s="308"/>
      <c r="EN99" s="308"/>
      <c r="EO99" s="308"/>
      <c r="EP99" s="308"/>
      <c r="EQ99" s="308"/>
      <c r="ER99" s="308"/>
      <c r="ES99" s="308"/>
      <c r="ET99" s="308"/>
      <c r="EU99" s="308"/>
      <c r="EV99" s="308"/>
      <c r="EW99" s="308"/>
      <c r="EX99" s="308"/>
      <c r="EY99" s="308"/>
      <c r="EZ99" s="308"/>
      <c r="FA99" s="308"/>
      <c r="FB99" s="308"/>
      <c r="FC99" s="308"/>
      <c r="FD99" s="308"/>
      <c r="FE99" s="308"/>
      <c r="FF99" s="308"/>
      <c r="FG99" s="308"/>
      <c r="FH99" s="308"/>
      <c r="FI99" s="308"/>
      <c r="FJ99" s="308"/>
      <c r="FK99" s="308"/>
      <c r="FL99" s="308"/>
      <c r="FM99" s="308"/>
      <c r="FN99" s="308"/>
      <c r="FO99" s="308"/>
      <c r="FP99" s="308"/>
      <c r="FQ99" s="308"/>
      <c r="FR99" s="308"/>
      <c r="FS99" s="308"/>
      <c r="FT99" s="308"/>
      <c r="FU99" s="308"/>
      <c r="FV99" s="308"/>
      <c r="FW99" s="308"/>
      <c r="FX99" s="308"/>
      <c r="FY99" s="308"/>
      <c r="FZ99" s="308"/>
      <c r="GA99" s="308"/>
      <c r="GB99" s="308"/>
      <c r="GC99" s="308"/>
      <c r="GD99" s="308"/>
      <c r="GE99" s="308"/>
      <c r="GF99" s="308"/>
      <c r="GG99" s="308"/>
      <c r="GH99" s="308"/>
      <c r="GI99" s="308"/>
      <c r="GJ99" s="308"/>
      <c r="GK99" s="308"/>
      <c r="GL99" s="308"/>
      <c r="GM99" s="308"/>
      <c r="GN99" s="308"/>
      <c r="GO99" s="308"/>
      <c r="GP99" s="308"/>
      <c r="GQ99" s="308"/>
      <c r="GR99" s="308"/>
      <c r="GS99" s="308"/>
      <c r="GT99" s="308"/>
      <c r="GU99" s="308"/>
      <c r="GV99" s="308"/>
      <c r="GW99" s="308"/>
      <c r="GX99" s="308"/>
      <c r="GY99" s="308"/>
      <c r="GZ99" s="308"/>
      <c r="HA99" s="308"/>
      <c r="HB99" s="308"/>
      <c r="HC99" s="308"/>
      <c r="HD99" s="308"/>
      <c r="HE99" s="308"/>
      <c r="HF99" s="308"/>
      <c r="HG99" s="308"/>
      <c r="HH99" s="308"/>
      <c r="HI99" s="308"/>
      <c r="HJ99" s="308"/>
      <c r="HK99" s="308"/>
      <c r="HL99" s="308"/>
      <c r="HM99" s="308"/>
      <c r="HN99" s="308"/>
      <c r="HO99" s="308"/>
      <c r="HP99" s="308"/>
      <c r="HQ99" s="308"/>
      <c r="HR99" s="308"/>
      <c r="HS99" s="308"/>
      <c r="HT99" s="308"/>
      <c r="HU99" s="308"/>
      <c r="HV99" s="308"/>
      <c r="HW99" s="308"/>
      <c r="HX99" s="308"/>
      <c r="HY99" s="308"/>
      <c r="HZ99" s="308"/>
      <c r="IA99" s="308"/>
      <c r="IB99" s="308"/>
      <c r="IC99" s="308"/>
      <c r="ID99" s="308"/>
      <c r="IE99" s="308"/>
      <c r="IF99" s="308"/>
      <c r="IG99" s="308"/>
      <c r="IH99" s="308"/>
      <c r="II99" s="308"/>
      <c r="IJ99" s="308"/>
      <c r="IK99" s="308"/>
      <c r="IL99" s="308"/>
      <c r="IM99" s="308"/>
      <c r="IN99" s="308"/>
      <c r="IO99" s="308"/>
      <c r="IP99" s="308"/>
      <c r="IQ99" s="308"/>
      <c r="IR99" s="308"/>
      <c r="IS99" s="308"/>
      <c r="IT99" s="308"/>
      <c r="IU99" s="308"/>
      <c r="IV99" s="308"/>
      <c r="IW99" s="308"/>
      <c r="IX99" s="308"/>
      <c r="IY99" s="308"/>
      <c r="IZ99" s="308"/>
      <c r="JA99" s="308"/>
      <c r="JB99" s="308"/>
      <c r="JC99" s="308"/>
      <c r="JD99" s="308"/>
      <c r="JE99" s="308"/>
      <c r="JF99" s="308"/>
      <c r="JG99" s="308"/>
      <c r="JH99" s="308"/>
      <c r="JI99" s="308"/>
      <c r="JJ99" s="308"/>
      <c r="JK99" s="308"/>
      <c r="JL99" s="308"/>
      <c r="JM99" s="308"/>
      <c r="JN99" s="308"/>
      <c r="JO99" s="308"/>
      <c r="JP99" s="308"/>
      <c r="JQ99" s="308"/>
      <c r="JR99" s="308"/>
      <c r="JS99" s="308"/>
      <c r="JT99" s="308"/>
      <c r="JU99" s="308"/>
      <c r="JV99" s="308"/>
      <c r="JW99" s="308"/>
      <c r="JX99" s="308"/>
      <c r="JY99" s="308"/>
      <c r="JZ99" s="308"/>
      <c r="KA99" s="308"/>
      <c r="KB99" s="308"/>
      <c r="KC99" s="308"/>
      <c r="KD99" s="308"/>
      <c r="KE99" s="308"/>
      <c r="KF99" s="308"/>
      <c r="KG99" s="308"/>
      <c r="KH99" s="308"/>
      <c r="KI99" s="308"/>
      <c r="KJ99" s="308"/>
      <c r="KK99" s="308"/>
      <c r="KL99" s="308"/>
      <c r="KM99" s="308"/>
      <c r="KN99" s="308"/>
      <c r="KO99" s="308"/>
      <c r="KP99" s="308"/>
      <c r="KQ99" s="308"/>
      <c r="KR99" s="308"/>
      <c r="KS99" s="308"/>
      <c r="KT99" s="308"/>
      <c r="KU99" s="308"/>
      <c r="KV99" s="308"/>
      <c r="KW99" s="308"/>
      <c r="KX99" s="308"/>
      <c r="KY99" s="308"/>
      <c r="KZ99" s="308"/>
      <c r="LA99" s="308"/>
      <c r="LB99" s="308"/>
      <c r="LC99" s="308"/>
      <c r="LD99" s="308"/>
      <c r="LE99" s="308"/>
      <c r="LF99" s="308"/>
      <c r="LG99" s="308"/>
      <c r="LH99" s="308"/>
      <c r="LI99" s="308"/>
      <c r="LJ99" s="308"/>
      <c r="LK99" s="308"/>
      <c r="LL99" s="308"/>
      <c r="LM99" s="308"/>
      <c r="LN99" s="308"/>
      <c r="LO99" s="308"/>
      <c r="LP99" s="308"/>
      <c r="LQ99" s="308"/>
      <c r="LR99" s="308"/>
      <c r="LS99" s="308"/>
      <c r="LT99" s="308"/>
      <c r="LU99" s="308"/>
      <c r="LV99" s="308"/>
      <c r="LW99" s="308"/>
      <c r="LX99" s="308"/>
      <c r="LY99" s="308"/>
      <c r="LZ99" s="308"/>
      <c r="MA99" s="308"/>
      <c r="MB99" s="308"/>
      <c r="MC99" s="308"/>
      <c r="MD99" s="308"/>
      <c r="ME99" s="308"/>
      <c r="MF99" s="308"/>
      <c r="MG99" s="308"/>
      <c r="MH99" s="308"/>
      <c r="MI99" s="308"/>
      <c r="MJ99" s="308"/>
      <c r="MK99" s="308"/>
      <c r="ML99" s="308"/>
      <c r="MM99" s="308"/>
      <c r="MN99" s="308"/>
      <c r="MO99" s="308"/>
      <c r="MP99" s="308"/>
      <c r="MQ99" s="308"/>
      <c r="MR99" s="308"/>
      <c r="MS99" s="308"/>
      <c r="MT99" s="308"/>
      <c r="MU99" s="308"/>
      <c r="MV99" s="308"/>
      <c r="MW99" s="308"/>
      <c r="MX99" s="308"/>
      <c r="MY99" s="308"/>
      <c r="MZ99" s="308"/>
      <c r="NA99" s="308"/>
      <c r="NB99" s="308"/>
      <c r="NC99" s="308"/>
      <c r="ND99" s="308"/>
      <c r="NE99" s="308"/>
      <c r="NF99" s="308"/>
      <c r="NG99" s="308"/>
      <c r="NH99" s="308"/>
      <c r="NI99" s="308"/>
      <c r="NJ99" s="308"/>
      <c r="NK99" s="308"/>
      <c r="NL99" s="308"/>
      <c r="NM99" s="308"/>
      <c r="NN99" s="308"/>
      <c r="NO99" s="308"/>
      <c r="NP99" s="308"/>
      <c r="NQ99" s="308"/>
      <c r="NR99" s="308"/>
      <c r="NS99" s="308"/>
      <c r="NT99" s="308"/>
      <c r="NU99" s="308"/>
      <c r="NV99" s="308"/>
      <c r="NW99" s="308"/>
      <c r="NX99" s="308"/>
      <c r="NY99" s="308"/>
      <c r="NZ99" s="308"/>
      <c r="OA99" s="308"/>
      <c r="OB99" s="308"/>
      <c r="OC99" s="308"/>
      <c r="OD99" s="308"/>
      <c r="OE99" s="308"/>
      <c r="OF99" s="308"/>
      <c r="OG99" s="308"/>
      <c r="OH99" s="308"/>
      <c r="OI99" s="308"/>
      <c r="OJ99" s="308"/>
      <c r="OK99" s="308"/>
      <c r="OL99" s="308"/>
      <c r="OM99" s="308"/>
      <c r="ON99" s="308"/>
      <c r="OO99" s="308"/>
      <c r="OP99" s="308"/>
      <c r="OQ99" s="308"/>
      <c r="OR99" s="308"/>
      <c r="OS99" s="308"/>
      <c r="OT99" s="308"/>
      <c r="OU99" s="308"/>
      <c r="OV99" s="308"/>
      <c r="OW99" s="308"/>
      <c r="OX99" s="308"/>
      <c r="OY99" s="308"/>
      <c r="OZ99" s="308"/>
      <c r="PA99" s="308"/>
      <c r="PB99" s="308"/>
      <c r="PC99" s="308"/>
      <c r="PD99" s="308"/>
      <c r="PE99" s="308"/>
      <c r="PF99" s="308"/>
      <c r="PG99" s="308"/>
      <c r="PH99" s="308"/>
      <c r="PI99" s="308"/>
      <c r="PJ99" s="308"/>
      <c r="PK99" s="308"/>
      <c r="PL99" s="308"/>
      <c r="PM99" s="308"/>
      <c r="PN99" s="308"/>
      <c r="PO99" s="308"/>
      <c r="PP99" s="308"/>
      <c r="PQ99" s="308"/>
      <c r="PR99" s="308"/>
      <c r="PS99" s="308"/>
      <c r="PT99" s="308"/>
      <c r="PU99" s="308"/>
      <c r="PV99" s="308"/>
      <c r="PW99" s="308"/>
      <c r="PX99" s="308"/>
      <c r="PY99" s="308"/>
      <c r="PZ99" s="308"/>
      <c r="QA99" s="308"/>
      <c r="QB99" s="308"/>
      <c r="QC99" s="308"/>
      <c r="QD99" s="308"/>
      <c r="QE99" s="308"/>
      <c r="QF99" s="308"/>
      <c r="QG99" s="308"/>
      <c r="QH99" s="308"/>
      <c r="QI99" s="308"/>
      <c r="QJ99" s="308"/>
      <c r="QK99" s="308"/>
      <c r="QL99" s="308"/>
      <c r="QM99" s="308"/>
      <c r="QN99" s="308"/>
      <c r="QO99" s="308"/>
      <c r="QP99" s="308"/>
      <c r="QQ99" s="308"/>
      <c r="QR99" s="308"/>
      <c r="QS99" s="308"/>
      <c r="QT99" s="308"/>
      <c r="QU99" s="308"/>
      <c r="QV99" s="308"/>
      <c r="QW99" s="308"/>
      <c r="QX99" s="308"/>
      <c r="QY99" s="308"/>
      <c r="QZ99" s="308"/>
      <c r="RA99" s="308"/>
      <c r="RB99" s="308"/>
      <c r="RC99" s="308"/>
      <c r="RD99" s="308"/>
      <c r="RE99" s="308"/>
      <c r="RF99" s="308"/>
      <c r="RG99" s="308"/>
      <c r="RH99" s="308"/>
      <c r="RI99" s="308"/>
      <c r="RJ99" s="308"/>
      <c r="RK99" s="308"/>
      <c r="RL99" s="308"/>
      <c r="RM99" s="308"/>
      <c r="RN99" s="308"/>
      <c r="RO99" s="308"/>
      <c r="RP99" s="308"/>
      <c r="RQ99" s="308"/>
      <c r="RR99" s="308"/>
      <c r="RS99" s="308"/>
      <c r="RT99" s="308"/>
      <c r="RU99" s="308"/>
      <c r="RV99" s="308"/>
      <c r="RW99" s="308"/>
      <c r="RX99" s="308"/>
      <c r="RY99" s="308"/>
      <c r="RZ99" s="308"/>
      <c r="SA99" s="308"/>
      <c r="SB99" s="308"/>
      <c r="SC99" s="308"/>
      <c r="SD99" s="308"/>
      <c r="SE99" s="308"/>
      <c r="SF99" s="308"/>
      <c r="SG99" s="308"/>
      <c r="SH99" s="308"/>
      <c r="SI99" s="308"/>
      <c r="SJ99" s="308"/>
      <c r="SK99" s="308"/>
      <c r="SL99" s="308"/>
      <c r="SM99" s="308"/>
      <c r="SN99" s="308"/>
      <c r="SO99" s="308"/>
      <c r="SP99" s="308"/>
      <c r="SQ99" s="308"/>
      <c r="SR99" s="308"/>
      <c r="SS99" s="308"/>
      <c r="ST99" s="308"/>
      <c r="SU99" s="308"/>
      <c r="SV99" s="308"/>
      <c r="SW99" s="308"/>
      <c r="SX99" s="308"/>
      <c r="SY99" s="308"/>
      <c r="SZ99" s="308"/>
      <c r="TA99" s="308"/>
      <c r="TB99" s="308"/>
      <c r="TC99" s="308"/>
      <c r="TD99" s="308"/>
      <c r="TE99" s="308"/>
      <c r="TF99" s="308"/>
      <c r="TG99" s="308"/>
      <c r="TH99" s="308"/>
      <c r="TI99" s="308"/>
      <c r="TJ99" s="308"/>
      <c r="TK99" s="308"/>
      <c r="TL99" s="308"/>
      <c r="TM99" s="308"/>
      <c r="TN99" s="308"/>
      <c r="TO99" s="308"/>
      <c r="TP99" s="308"/>
      <c r="TQ99" s="308"/>
      <c r="TR99" s="308"/>
      <c r="TS99" s="308"/>
      <c r="TT99" s="308"/>
      <c r="TU99" s="308"/>
      <c r="TV99" s="308"/>
      <c r="TW99" s="308"/>
      <c r="TX99" s="308"/>
      <c r="TY99" s="308"/>
      <c r="TZ99" s="308"/>
      <c r="UA99" s="308"/>
      <c r="UB99" s="308"/>
      <c r="UC99" s="308"/>
      <c r="UD99" s="308"/>
      <c r="UE99" s="308"/>
      <c r="UF99" s="308"/>
      <c r="UG99" s="308"/>
      <c r="UH99" s="308"/>
      <c r="UI99" s="308"/>
      <c r="UJ99" s="308"/>
      <c r="UK99" s="308"/>
      <c r="UL99" s="308"/>
      <c r="UM99" s="308"/>
      <c r="UN99" s="308"/>
      <c r="UO99" s="308"/>
      <c r="UP99" s="308"/>
      <c r="UQ99" s="308"/>
      <c r="UR99" s="308"/>
      <c r="US99" s="308"/>
      <c r="UT99" s="308"/>
      <c r="UU99" s="308"/>
      <c r="UV99" s="308"/>
      <c r="UW99" s="308"/>
      <c r="UX99" s="308"/>
      <c r="UY99" s="308"/>
      <c r="UZ99" s="308"/>
      <c r="VA99" s="308"/>
      <c r="VB99" s="308"/>
      <c r="VC99" s="308"/>
      <c r="VD99" s="308"/>
      <c r="VE99" s="308"/>
      <c r="VF99" s="308"/>
      <c r="VG99" s="308"/>
      <c r="VH99" s="308"/>
      <c r="VI99" s="308"/>
      <c r="VJ99" s="308"/>
      <c r="VK99" s="308"/>
      <c r="VL99" s="308"/>
      <c r="VM99" s="308"/>
      <c r="VN99" s="308"/>
      <c r="VO99" s="308"/>
      <c r="VP99" s="308"/>
      <c r="VQ99" s="308"/>
      <c r="VR99" s="308"/>
      <c r="VS99" s="308"/>
      <c r="VT99" s="308"/>
      <c r="VU99" s="308"/>
      <c r="VV99" s="308"/>
      <c r="VW99" s="308"/>
      <c r="VX99" s="308"/>
      <c r="VY99" s="308"/>
      <c r="VZ99" s="308"/>
      <c r="WA99" s="308"/>
      <c r="WB99" s="308"/>
      <c r="WC99" s="308"/>
      <c r="WD99" s="308"/>
      <c r="WE99" s="308"/>
      <c r="WF99" s="308"/>
      <c r="WG99" s="308"/>
      <c r="WH99" s="308"/>
      <c r="WI99" s="308"/>
      <c r="WJ99" s="308"/>
      <c r="WK99" s="308"/>
      <c r="WL99" s="308"/>
      <c r="WM99" s="308"/>
      <c r="WN99" s="308"/>
      <c r="WO99" s="308"/>
      <c r="WP99" s="308"/>
      <c r="WQ99" s="308"/>
      <c r="WR99" s="308"/>
      <c r="WS99" s="308"/>
      <c r="WT99" s="308"/>
      <c r="WU99" s="308"/>
      <c r="WV99" s="308"/>
      <c r="WW99" s="308"/>
      <c r="WX99" s="308"/>
      <c r="WY99" s="308"/>
      <c r="WZ99" s="308"/>
      <c r="XA99" s="308"/>
      <c r="XB99" s="308"/>
      <c r="XC99" s="308"/>
      <c r="XD99" s="308"/>
      <c r="XE99" s="308"/>
      <c r="XF99" s="308"/>
      <c r="XG99" s="308"/>
      <c r="XH99" s="308"/>
      <c r="XI99" s="308"/>
      <c r="XJ99" s="308"/>
      <c r="XK99" s="308"/>
      <c r="XL99" s="308"/>
      <c r="XM99" s="308"/>
      <c r="XN99" s="308"/>
      <c r="XO99" s="308"/>
      <c r="XP99" s="308"/>
      <c r="XQ99" s="308"/>
      <c r="XR99" s="308"/>
      <c r="XS99" s="308"/>
      <c r="XT99" s="308"/>
      <c r="XU99" s="308"/>
      <c r="XV99" s="308"/>
      <c r="XW99" s="308"/>
      <c r="XX99" s="308"/>
      <c r="XY99" s="308"/>
      <c r="XZ99" s="308"/>
      <c r="YA99" s="308"/>
      <c r="YB99" s="308"/>
      <c r="YC99" s="308"/>
      <c r="YD99" s="308"/>
      <c r="YE99" s="308"/>
      <c r="YF99" s="308"/>
      <c r="YG99" s="308"/>
      <c r="YH99" s="308"/>
      <c r="YI99" s="308"/>
      <c r="YJ99" s="308"/>
      <c r="YK99" s="308"/>
      <c r="YL99" s="308"/>
      <c r="YM99" s="308"/>
      <c r="YN99" s="308"/>
      <c r="YO99" s="308"/>
      <c r="YP99" s="308"/>
      <c r="YQ99" s="308"/>
      <c r="YR99" s="308"/>
      <c r="YS99" s="308"/>
      <c r="YT99" s="308"/>
      <c r="YU99" s="308"/>
      <c r="YV99" s="308"/>
      <c r="YW99" s="308"/>
      <c r="YX99" s="308"/>
      <c r="YY99" s="308"/>
      <c r="YZ99" s="308"/>
      <c r="ZA99" s="308"/>
      <c r="ZB99" s="308"/>
      <c r="ZC99" s="308"/>
      <c r="ZD99" s="308"/>
      <c r="ZE99" s="308"/>
      <c r="ZF99" s="308"/>
      <c r="ZG99" s="308"/>
      <c r="ZH99" s="308"/>
      <c r="ZI99" s="308"/>
      <c r="ZJ99" s="308"/>
      <c r="ZK99" s="308"/>
      <c r="ZL99" s="308"/>
      <c r="ZM99" s="308"/>
      <c r="ZN99" s="308"/>
      <c r="ZO99" s="308"/>
      <c r="ZP99" s="308"/>
      <c r="ZQ99" s="308"/>
      <c r="ZR99" s="308"/>
      <c r="ZS99" s="308"/>
      <c r="ZT99" s="308"/>
      <c r="ZU99" s="308"/>
      <c r="ZV99" s="308"/>
      <c r="ZW99" s="308"/>
      <c r="ZX99" s="308"/>
      <c r="ZY99" s="308"/>
      <c r="ZZ99" s="308"/>
      <c r="AAA99" s="308"/>
      <c r="AAB99" s="308"/>
      <c r="AAC99" s="308"/>
      <c r="AAD99" s="308"/>
      <c r="AAE99" s="308"/>
      <c r="AAF99" s="308"/>
      <c r="AAG99" s="308"/>
      <c r="AAH99" s="308"/>
      <c r="AAI99" s="308"/>
      <c r="AAJ99" s="308"/>
      <c r="AAK99" s="308"/>
      <c r="AAL99" s="308"/>
      <c r="AAM99" s="308"/>
      <c r="AAN99" s="308"/>
      <c r="AAO99" s="308"/>
      <c r="AAP99" s="308"/>
      <c r="AAQ99" s="308"/>
      <c r="AAR99" s="308"/>
      <c r="AAS99" s="308"/>
      <c r="AAT99" s="308"/>
      <c r="AAU99" s="308"/>
      <c r="AAV99" s="308"/>
      <c r="AAW99" s="308"/>
      <c r="AAX99" s="308"/>
      <c r="AAY99" s="308"/>
      <c r="AAZ99" s="308"/>
      <c r="ABA99" s="308"/>
      <c r="ABB99" s="308"/>
      <c r="ABC99" s="308"/>
      <c r="ABD99" s="308"/>
      <c r="ABE99" s="308"/>
      <c r="ABF99" s="308"/>
      <c r="ABG99" s="308"/>
      <c r="ABH99" s="308"/>
      <c r="ABI99" s="308"/>
      <c r="ABJ99" s="308"/>
      <c r="ABK99" s="308"/>
      <c r="ABL99" s="308"/>
      <c r="ABM99" s="308"/>
      <c r="ABN99" s="308"/>
      <c r="ABO99" s="308"/>
      <c r="ABP99" s="308"/>
      <c r="ABQ99" s="308"/>
      <c r="ABR99" s="308"/>
      <c r="ABS99" s="308"/>
      <c r="ABT99" s="308"/>
      <c r="ABU99" s="308"/>
      <c r="ABV99" s="308"/>
      <c r="ABW99" s="308"/>
      <c r="ABX99" s="308"/>
      <c r="ABY99" s="308"/>
      <c r="ABZ99" s="308"/>
      <c r="ACA99" s="308"/>
      <c r="ACB99" s="308"/>
      <c r="ACC99" s="308"/>
      <c r="ACD99" s="308"/>
      <c r="ACE99" s="308"/>
      <c r="ACF99" s="308"/>
      <c r="ACG99" s="308"/>
      <c r="ACH99" s="308"/>
      <c r="ACI99" s="308"/>
      <c r="ACJ99" s="308"/>
      <c r="ACK99" s="308"/>
      <c r="ACL99" s="308"/>
      <c r="ACM99" s="308"/>
      <c r="ACN99" s="308"/>
      <c r="ACO99" s="308"/>
      <c r="ACP99" s="308"/>
      <c r="ACQ99" s="308"/>
      <c r="ACR99" s="308"/>
      <c r="ACS99" s="308"/>
      <c r="ACT99" s="308"/>
      <c r="ACU99" s="308"/>
      <c r="ACV99" s="308"/>
      <c r="ACW99" s="308"/>
      <c r="ACX99" s="308"/>
      <c r="ACY99" s="308"/>
      <c r="ACZ99" s="308"/>
      <c r="ADA99" s="308"/>
      <c r="ADB99" s="308"/>
      <c r="ADC99" s="308"/>
      <c r="ADD99" s="308"/>
      <c r="ADE99" s="308"/>
      <c r="ADF99" s="308"/>
      <c r="ADG99" s="308"/>
      <c r="ADH99" s="308"/>
      <c r="ADI99" s="308"/>
      <c r="ADJ99" s="308"/>
      <c r="ADK99" s="308"/>
      <c r="ADL99" s="308"/>
      <c r="ADM99" s="308"/>
      <c r="ADN99" s="308"/>
      <c r="ADO99" s="308"/>
      <c r="ADP99" s="308"/>
      <c r="ADQ99" s="308"/>
      <c r="ADR99" s="308"/>
      <c r="ADS99" s="308"/>
      <c r="ADT99" s="308"/>
      <c r="ADU99" s="308"/>
      <c r="ADV99" s="308"/>
      <c r="ADW99" s="308"/>
      <c r="ADX99" s="308"/>
      <c r="ADY99" s="308"/>
      <c r="ADZ99" s="308"/>
      <c r="AEA99" s="308"/>
      <c r="AEB99" s="308"/>
      <c r="AEC99" s="308"/>
      <c r="AED99" s="308"/>
      <c r="AEE99" s="308"/>
      <c r="AEF99" s="308"/>
      <c r="AEG99" s="308"/>
      <c r="AEH99" s="308"/>
      <c r="AEI99" s="308"/>
      <c r="AEJ99" s="308"/>
      <c r="AEK99" s="308"/>
      <c r="AEL99" s="308"/>
      <c r="AEM99" s="308"/>
      <c r="AEN99" s="308"/>
      <c r="AEO99" s="308"/>
      <c r="AEP99" s="308"/>
      <c r="AEQ99" s="308"/>
      <c r="AER99" s="308"/>
      <c r="AES99" s="308"/>
      <c r="AET99" s="308"/>
      <c r="AEU99" s="308"/>
      <c r="AEV99" s="308"/>
      <c r="AEW99" s="308"/>
      <c r="AEX99" s="308"/>
      <c r="AEY99" s="308"/>
      <c r="AEZ99" s="308"/>
      <c r="AFA99" s="308"/>
      <c r="AFB99" s="308"/>
      <c r="AFC99" s="308"/>
      <c r="AFD99" s="308"/>
      <c r="AFE99" s="308"/>
      <c r="AFF99" s="308"/>
      <c r="AFG99" s="308"/>
      <c r="AFH99" s="308"/>
      <c r="AFI99" s="308"/>
      <c r="AFJ99" s="308"/>
      <c r="AFK99" s="308"/>
      <c r="AFL99" s="308"/>
      <c r="AFM99" s="308"/>
      <c r="AFN99" s="308"/>
      <c r="AFO99" s="308"/>
      <c r="AFP99" s="308"/>
      <c r="AFQ99" s="308"/>
      <c r="AFR99" s="308"/>
      <c r="AFS99" s="308"/>
      <c r="AFT99" s="308"/>
      <c r="AFU99" s="308"/>
      <c r="AFV99" s="308"/>
      <c r="AFW99" s="308"/>
      <c r="AFX99" s="308"/>
      <c r="AFY99" s="308"/>
      <c r="AFZ99" s="308"/>
      <c r="AGA99" s="308"/>
      <c r="AGB99" s="308"/>
      <c r="AGC99" s="308"/>
      <c r="AGD99" s="308"/>
      <c r="AGE99" s="308"/>
      <c r="AGF99" s="308"/>
      <c r="AGG99" s="308"/>
      <c r="AGH99" s="308"/>
      <c r="AGI99" s="308"/>
      <c r="AGJ99" s="308"/>
      <c r="AGK99" s="308"/>
      <c r="AGL99" s="308"/>
      <c r="AGM99" s="308"/>
      <c r="AGN99" s="308"/>
      <c r="AGO99" s="308"/>
      <c r="AGP99" s="308"/>
      <c r="AGQ99" s="308"/>
      <c r="AGR99" s="308"/>
      <c r="AGS99" s="308"/>
      <c r="AGT99" s="308"/>
      <c r="AGU99" s="308"/>
      <c r="AGV99" s="308"/>
      <c r="AGW99" s="308"/>
      <c r="AGX99" s="308"/>
      <c r="AGY99" s="308"/>
      <c r="AGZ99" s="308"/>
      <c r="AHA99" s="308"/>
      <c r="AHB99" s="308"/>
      <c r="AHC99" s="308"/>
      <c r="AHD99" s="308"/>
      <c r="AHE99" s="308"/>
      <c r="AHF99" s="308"/>
      <c r="AHG99" s="308"/>
      <c r="AHH99" s="308"/>
      <c r="AHI99" s="308"/>
      <c r="AHJ99" s="308"/>
      <c r="AHK99" s="308"/>
      <c r="AHL99" s="308"/>
      <c r="AHM99" s="308"/>
      <c r="AHN99" s="308"/>
      <c r="AHO99" s="308"/>
      <c r="AHP99" s="308"/>
      <c r="AHQ99" s="308"/>
      <c r="AHR99" s="308"/>
      <c r="AHS99" s="308"/>
      <c r="AHT99" s="308"/>
      <c r="AHU99" s="308"/>
      <c r="AHV99" s="308"/>
      <c r="AHW99" s="308"/>
      <c r="AHX99" s="308"/>
      <c r="AHY99" s="308"/>
      <c r="AHZ99" s="308"/>
      <c r="AIA99" s="308"/>
      <c r="AIB99" s="308"/>
      <c r="AIC99" s="308"/>
      <c r="AID99" s="308"/>
      <c r="AIE99" s="308"/>
      <c r="AIF99" s="308"/>
      <c r="AIG99" s="308"/>
      <c r="AIH99" s="308"/>
      <c r="AII99" s="308"/>
      <c r="AIJ99" s="308"/>
      <c r="AIK99" s="308"/>
      <c r="AIL99" s="308"/>
      <c r="AIM99" s="308"/>
      <c r="AIN99" s="308"/>
      <c r="AIO99" s="308"/>
      <c r="AIP99" s="308"/>
      <c r="AIQ99" s="308"/>
      <c r="AIR99" s="308"/>
      <c r="AIS99" s="308"/>
      <c r="AIT99" s="308"/>
      <c r="AIU99" s="308"/>
      <c r="AIV99" s="308"/>
      <c r="AIW99" s="308"/>
      <c r="AIX99" s="308"/>
      <c r="AIY99" s="308"/>
      <c r="AIZ99" s="308"/>
      <c r="AJA99" s="308"/>
      <c r="AJB99" s="308"/>
      <c r="AJC99" s="308"/>
    </row>
    <row r="100" spans="1:940" s="546" customFormat="1">
      <c r="A100" s="113">
        <f t="shared" si="55"/>
        <v>89</v>
      </c>
      <c r="B100" s="113">
        <v>1844</v>
      </c>
      <c r="C100" s="113" t="s">
        <v>197</v>
      </c>
      <c r="D100" s="117">
        <v>732000</v>
      </c>
      <c r="E100" s="117">
        <v>732000</v>
      </c>
      <c r="F100" s="117">
        <f t="shared" si="56"/>
        <v>0</v>
      </c>
      <c r="G100" s="117">
        <v>70000</v>
      </c>
      <c r="H100" s="117">
        <v>0</v>
      </c>
      <c r="I100" s="117"/>
      <c r="J100" s="117">
        <v>19171.62</v>
      </c>
      <c r="K100" s="117">
        <f t="shared" si="43"/>
        <v>19171.62</v>
      </c>
      <c r="L100" s="117">
        <f t="shared" si="44"/>
        <v>19171.62</v>
      </c>
      <c r="M100" s="117">
        <f>P100+S100</f>
        <v>50828.380000000005</v>
      </c>
      <c r="N100" s="117">
        <f>250000-150000</f>
        <v>100000</v>
      </c>
      <c r="O100" s="117">
        <f t="shared" si="57"/>
        <v>562000</v>
      </c>
      <c r="P100" s="117">
        <f t="shared" si="45"/>
        <v>50828.380000000005</v>
      </c>
      <c r="Q100" s="117"/>
      <c r="R100" s="117"/>
      <c r="S100" s="117">
        <f t="shared" si="46"/>
        <v>0</v>
      </c>
      <c r="T100" s="117">
        <f t="shared" si="47"/>
        <v>0</v>
      </c>
      <c r="U100" s="117">
        <f t="shared" si="48"/>
        <v>100000</v>
      </c>
      <c r="V100" s="117">
        <f t="shared" si="49"/>
        <v>100000</v>
      </c>
      <c r="W100" s="543"/>
      <c r="X100" s="117"/>
      <c r="Y100" s="117"/>
      <c r="Z100" s="113"/>
      <c r="AA100" s="113">
        <v>732000</v>
      </c>
      <c r="AB100" s="117"/>
      <c r="AC100" s="117"/>
      <c r="AD100" s="117"/>
      <c r="AE100" s="117"/>
      <c r="AF100" s="117"/>
      <c r="AG100" s="117"/>
      <c r="AH100" s="117"/>
      <c r="AI100" s="117"/>
      <c r="AJ100" s="117"/>
      <c r="AK100" s="117">
        <f t="shared" si="24"/>
        <v>0</v>
      </c>
      <c r="AL100" s="565"/>
      <c r="AM100" s="566">
        <f t="shared" si="50"/>
        <v>0</v>
      </c>
      <c r="AN100" s="117">
        <f t="shared" si="51"/>
        <v>100000</v>
      </c>
      <c r="AO100" s="117">
        <f t="shared" si="52"/>
        <v>0</v>
      </c>
      <c r="AP100" s="565"/>
      <c r="AQ100" s="565"/>
      <c r="AR100" s="565"/>
      <c r="AS100" s="565"/>
      <c r="AT100" s="117">
        <f t="shared" si="53"/>
        <v>0</v>
      </c>
      <c r="AU100" s="565"/>
      <c r="AV100" s="565"/>
      <c r="AW100" s="565"/>
      <c r="AX100" s="565"/>
      <c r="AY100" s="117">
        <f t="shared" si="54"/>
        <v>100000</v>
      </c>
      <c r="AZ100" s="565"/>
      <c r="BA100" s="565"/>
      <c r="BB100" s="565"/>
      <c r="BC100" s="565"/>
      <c r="BD100" s="308"/>
      <c r="BE100" s="308"/>
      <c r="BF100" s="308"/>
      <c r="BG100" s="308"/>
      <c r="BH100" s="308"/>
      <c r="BI100" s="308"/>
      <c r="BJ100" s="308"/>
      <c r="BK100" s="308"/>
      <c r="BL100" s="308"/>
      <c r="BM100" s="308"/>
      <c r="BN100" s="308"/>
      <c r="BO100" s="308"/>
      <c r="BP100" s="308"/>
      <c r="BQ100" s="308"/>
      <c r="BR100" s="308"/>
      <c r="BS100" s="308"/>
      <c r="BT100" s="308"/>
      <c r="BU100" s="308"/>
      <c r="BV100" s="308"/>
      <c r="BW100" s="308"/>
      <c r="BX100" s="308"/>
      <c r="BY100" s="308"/>
      <c r="BZ100" s="308"/>
      <c r="CA100" s="308"/>
      <c r="CB100" s="308"/>
      <c r="CC100" s="308"/>
      <c r="CD100" s="308"/>
      <c r="CE100" s="308"/>
      <c r="CF100" s="308"/>
      <c r="CG100" s="308"/>
      <c r="CH100" s="308"/>
      <c r="CI100" s="308"/>
      <c r="CJ100" s="308"/>
      <c r="CK100" s="308"/>
      <c r="CL100" s="308"/>
      <c r="CM100" s="308"/>
      <c r="CN100" s="308"/>
      <c r="CO100" s="308"/>
      <c r="CP100" s="308"/>
      <c r="CQ100" s="308"/>
      <c r="CR100" s="308"/>
      <c r="CS100" s="308"/>
      <c r="CT100" s="308"/>
      <c r="CU100" s="308"/>
      <c r="CV100" s="308"/>
      <c r="CW100" s="308"/>
      <c r="CX100" s="308"/>
      <c r="CY100" s="308"/>
      <c r="CZ100" s="308"/>
      <c r="DA100" s="308"/>
      <c r="DB100" s="308"/>
      <c r="DC100" s="308"/>
      <c r="DD100" s="308"/>
      <c r="DE100" s="308"/>
      <c r="DF100" s="308"/>
      <c r="DG100" s="308"/>
      <c r="DH100" s="308"/>
      <c r="DI100" s="308"/>
      <c r="DJ100" s="308"/>
      <c r="DK100" s="308"/>
      <c r="DL100" s="308"/>
      <c r="DM100" s="308"/>
      <c r="DN100" s="308"/>
      <c r="DO100" s="308"/>
      <c r="DP100" s="308"/>
      <c r="DQ100" s="308"/>
      <c r="DR100" s="308"/>
      <c r="DS100" s="308"/>
      <c r="DT100" s="308"/>
      <c r="DU100" s="308"/>
      <c r="DV100" s="308"/>
      <c r="DW100" s="308"/>
      <c r="DX100" s="308"/>
      <c r="DY100" s="308"/>
      <c r="DZ100" s="308"/>
      <c r="EA100" s="308"/>
      <c r="EB100" s="308"/>
      <c r="EC100" s="308"/>
      <c r="ED100" s="308"/>
      <c r="EE100" s="308"/>
      <c r="EF100" s="308"/>
      <c r="EG100" s="308"/>
      <c r="EH100" s="308"/>
      <c r="EI100" s="308"/>
      <c r="EJ100" s="308"/>
      <c r="EK100" s="308"/>
      <c r="EL100" s="308"/>
      <c r="EM100" s="308"/>
      <c r="EN100" s="308"/>
      <c r="EO100" s="308"/>
      <c r="EP100" s="308"/>
      <c r="EQ100" s="308"/>
      <c r="ER100" s="308"/>
      <c r="ES100" s="308"/>
      <c r="ET100" s="308"/>
      <c r="EU100" s="308"/>
      <c r="EV100" s="308"/>
      <c r="EW100" s="308"/>
      <c r="EX100" s="308"/>
      <c r="EY100" s="308"/>
      <c r="EZ100" s="308"/>
      <c r="FA100" s="308"/>
      <c r="FB100" s="308"/>
      <c r="FC100" s="308"/>
      <c r="FD100" s="308"/>
      <c r="FE100" s="308"/>
      <c r="FF100" s="308"/>
      <c r="FG100" s="308"/>
      <c r="FH100" s="308"/>
      <c r="FI100" s="308"/>
      <c r="FJ100" s="308"/>
      <c r="FK100" s="308"/>
      <c r="FL100" s="308"/>
      <c r="FM100" s="308"/>
      <c r="FN100" s="308"/>
      <c r="FO100" s="308"/>
      <c r="FP100" s="308"/>
      <c r="FQ100" s="308"/>
      <c r="FR100" s="308"/>
      <c r="FS100" s="308"/>
      <c r="FT100" s="308"/>
      <c r="FU100" s="308"/>
      <c r="FV100" s="308"/>
      <c r="FW100" s="308"/>
      <c r="FX100" s="308"/>
      <c r="FY100" s="308"/>
      <c r="FZ100" s="308"/>
      <c r="GA100" s="308"/>
      <c r="GB100" s="308"/>
      <c r="GC100" s="308"/>
      <c r="GD100" s="308"/>
      <c r="GE100" s="308"/>
      <c r="GF100" s="308"/>
      <c r="GG100" s="308"/>
      <c r="GH100" s="308"/>
      <c r="GI100" s="308"/>
      <c r="GJ100" s="308"/>
      <c r="GK100" s="308"/>
      <c r="GL100" s="308"/>
      <c r="GM100" s="308"/>
      <c r="GN100" s="308"/>
      <c r="GO100" s="308"/>
      <c r="GP100" s="308"/>
      <c r="GQ100" s="308"/>
      <c r="GR100" s="308"/>
      <c r="GS100" s="308"/>
      <c r="GT100" s="308"/>
      <c r="GU100" s="308"/>
      <c r="GV100" s="308"/>
      <c r="GW100" s="308"/>
      <c r="GX100" s="308"/>
      <c r="GY100" s="308"/>
      <c r="GZ100" s="308"/>
      <c r="HA100" s="308"/>
      <c r="HB100" s="308"/>
      <c r="HC100" s="308"/>
      <c r="HD100" s="308"/>
      <c r="HE100" s="308"/>
      <c r="HF100" s="308"/>
      <c r="HG100" s="308"/>
      <c r="HH100" s="308"/>
      <c r="HI100" s="308"/>
      <c r="HJ100" s="308"/>
      <c r="HK100" s="308"/>
      <c r="HL100" s="308"/>
      <c r="HM100" s="308"/>
      <c r="HN100" s="308"/>
      <c r="HO100" s="308"/>
      <c r="HP100" s="308"/>
      <c r="HQ100" s="308"/>
      <c r="HR100" s="308"/>
      <c r="HS100" s="308"/>
      <c r="HT100" s="308"/>
      <c r="HU100" s="308"/>
      <c r="HV100" s="308"/>
      <c r="HW100" s="308"/>
      <c r="HX100" s="308"/>
      <c r="HY100" s="308"/>
      <c r="HZ100" s="308"/>
      <c r="IA100" s="308"/>
      <c r="IB100" s="308"/>
      <c r="IC100" s="308"/>
      <c r="ID100" s="308"/>
      <c r="IE100" s="308"/>
      <c r="IF100" s="308"/>
      <c r="IG100" s="308"/>
      <c r="IH100" s="308"/>
      <c r="II100" s="308"/>
      <c r="IJ100" s="308"/>
      <c r="IK100" s="308"/>
      <c r="IL100" s="308"/>
      <c r="IM100" s="308"/>
      <c r="IN100" s="308"/>
      <c r="IO100" s="308"/>
      <c r="IP100" s="308"/>
      <c r="IQ100" s="308"/>
      <c r="IR100" s="308"/>
      <c r="IS100" s="308"/>
      <c r="IT100" s="308"/>
      <c r="IU100" s="308"/>
      <c r="IV100" s="308"/>
      <c r="IW100" s="308"/>
      <c r="IX100" s="308"/>
      <c r="IY100" s="308"/>
      <c r="IZ100" s="308"/>
      <c r="JA100" s="308"/>
      <c r="JB100" s="308"/>
      <c r="JC100" s="308"/>
      <c r="JD100" s="308"/>
      <c r="JE100" s="308"/>
      <c r="JF100" s="308"/>
      <c r="JG100" s="308"/>
      <c r="JH100" s="308"/>
      <c r="JI100" s="308"/>
      <c r="JJ100" s="308"/>
      <c r="JK100" s="308"/>
      <c r="JL100" s="308"/>
      <c r="JM100" s="308"/>
      <c r="JN100" s="308"/>
      <c r="JO100" s="308"/>
      <c r="JP100" s="308"/>
      <c r="JQ100" s="308"/>
      <c r="JR100" s="308"/>
      <c r="JS100" s="308"/>
      <c r="JT100" s="308"/>
      <c r="JU100" s="308"/>
      <c r="JV100" s="308"/>
      <c r="JW100" s="308"/>
      <c r="JX100" s="308"/>
      <c r="JY100" s="308"/>
      <c r="JZ100" s="308"/>
      <c r="KA100" s="308"/>
      <c r="KB100" s="308"/>
      <c r="KC100" s="308"/>
      <c r="KD100" s="308"/>
      <c r="KE100" s="308"/>
      <c r="KF100" s="308"/>
      <c r="KG100" s="308"/>
      <c r="KH100" s="308"/>
      <c r="KI100" s="308"/>
      <c r="KJ100" s="308"/>
      <c r="KK100" s="308"/>
      <c r="KL100" s="308"/>
      <c r="KM100" s="308"/>
      <c r="KN100" s="308"/>
      <c r="KO100" s="308"/>
      <c r="KP100" s="308"/>
      <c r="KQ100" s="308"/>
      <c r="KR100" s="308"/>
      <c r="KS100" s="308"/>
      <c r="KT100" s="308"/>
      <c r="KU100" s="308"/>
      <c r="KV100" s="308"/>
      <c r="KW100" s="308"/>
      <c r="KX100" s="308"/>
      <c r="KY100" s="308"/>
      <c r="KZ100" s="308"/>
      <c r="LA100" s="308"/>
      <c r="LB100" s="308"/>
      <c r="LC100" s="308"/>
      <c r="LD100" s="308"/>
      <c r="LE100" s="308"/>
      <c r="LF100" s="308"/>
      <c r="LG100" s="308"/>
      <c r="LH100" s="308"/>
      <c r="LI100" s="308"/>
      <c r="LJ100" s="308"/>
      <c r="LK100" s="308"/>
      <c r="LL100" s="308"/>
      <c r="LM100" s="308"/>
      <c r="LN100" s="308"/>
      <c r="LO100" s="308"/>
      <c r="LP100" s="308"/>
      <c r="LQ100" s="308"/>
      <c r="LR100" s="308"/>
      <c r="LS100" s="308"/>
      <c r="LT100" s="308"/>
      <c r="LU100" s="308"/>
      <c r="LV100" s="308"/>
      <c r="LW100" s="308"/>
      <c r="LX100" s="308"/>
      <c r="LY100" s="308"/>
      <c r="LZ100" s="308"/>
      <c r="MA100" s="308"/>
      <c r="MB100" s="308"/>
      <c r="MC100" s="308"/>
      <c r="MD100" s="308"/>
      <c r="ME100" s="308"/>
      <c r="MF100" s="308"/>
      <c r="MG100" s="308"/>
      <c r="MH100" s="308"/>
      <c r="MI100" s="308"/>
      <c r="MJ100" s="308"/>
      <c r="MK100" s="308"/>
      <c r="ML100" s="308"/>
      <c r="MM100" s="308"/>
      <c r="MN100" s="308"/>
      <c r="MO100" s="308"/>
      <c r="MP100" s="308"/>
      <c r="MQ100" s="308"/>
      <c r="MR100" s="308"/>
      <c r="MS100" s="308"/>
      <c r="MT100" s="308"/>
      <c r="MU100" s="308"/>
      <c r="MV100" s="308"/>
      <c r="MW100" s="308"/>
      <c r="MX100" s="308"/>
      <c r="MY100" s="308"/>
      <c r="MZ100" s="308"/>
      <c r="NA100" s="308"/>
      <c r="NB100" s="308"/>
      <c r="NC100" s="308"/>
      <c r="ND100" s="308"/>
      <c r="NE100" s="308"/>
      <c r="NF100" s="308"/>
      <c r="NG100" s="308"/>
      <c r="NH100" s="308"/>
      <c r="NI100" s="308"/>
      <c r="NJ100" s="308"/>
      <c r="NK100" s="308"/>
      <c r="NL100" s="308"/>
      <c r="NM100" s="308"/>
      <c r="NN100" s="308"/>
      <c r="NO100" s="308"/>
      <c r="NP100" s="308"/>
      <c r="NQ100" s="308"/>
      <c r="NR100" s="308"/>
      <c r="NS100" s="308"/>
      <c r="NT100" s="308"/>
      <c r="NU100" s="308"/>
      <c r="NV100" s="308"/>
      <c r="NW100" s="308"/>
      <c r="NX100" s="308"/>
      <c r="NY100" s="308"/>
      <c r="NZ100" s="308"/>
      <c r="OA100" s="308"/>
      <c r="OB100" s="308"/>
      <c r="OC100" s="308"/>
      <c r="OD100" s="308"/>
      <c r="OE100" s="308"/>
      <c r="OF100" s="308"/>
      <c r="OG100" s="308"/>
      <c r="OH100" s="308"/>
      <c r="OI100" s="308"/>
      <c r="OJ100" s="308"/>
      <c r="OK100" s="308"/>
      <c r="OL100" s="308"/>
      <c r="OM100" s="308"/>
      <c r="ON100" s="308"/>
      <c r="OO100" s="308"/>
      <c r="OP100" s="308"/>
      <c r="OQ100" s="308"/>
      <c r="OR100" s="308"/>
      <c r="OS100" s="308"/>
      <c r="OT100" s="308"/>
      <c r="OU100" s="308"/>
      <c r="OV100" s="308"/>
      <c r="OW100" s="308"/>
      <c r="OX100" s="308"/>
      <c r="OY100" s="308"/>
      <c r="OZ100" s="308"/>
      <c r="PA100" s="308"/>
      <c r="PB100" s="308"/>
      <c r="PC100" s="308"/>
      <c r="PD100" s="308"/>
      <c r="PE100" s="308"/>
      <c r="PF100" s="308"/>
      <c r="PG100" s="308"/>
      <c r="PH100" s="308"/>
      <c r="PI100" s="308"/>
      <c r="PJ100" s="308"/>
      <c r="PK100" s="308"/>
      <c r="PL100" s="308"/>
      <c r="PM100" s="308"/>
      <c r="PN100" s="308"/>
      <c r="PO100" s="308"/>
      <c r="PP100" s="308"/>
      <c r="PQ100" s="308"/>
      <c r="PR100" s="308"/>
      <c r="PS100" s="308"/>
      <c r="PT100" s="308"/>
      <c r="PU100" s="308"/>
      <c r="PV100" s="308"/>
      <c r="PW100" s="308"/>
      <c r="PX100" s="308"/>
      <c r="PY100" s="308"/>
      <c r="PZ100" s="308"/>
      <c r="QA100" s="308"/>
      <c r="QB100" s="308"/>
      <c r="QC100" s="308"/>
      <c r="QD100" s="308"/>
      <c r="QE100" s="308"/>
      <c r="QF100" s="308"/>
      <c r="QG100" s="308"/>
      <c r="QH100" s="308"/>
      <c r="QI100" s="308"/>
      <c r="QJ100" s="308"/>
      <c r="QK100" s="308"/>
      <c r="QL100" s="308"/>
      <c r="QM100" s="308"/>
      <c r="QN100" s="308"/>
      <c r="QO100" s="308"/>
      <c r="QP100" s="308"/>
      <c r="QQ100" s="308"/>
      <c r="QR100" s="308"/>
      <c r="QS100" s="308"/>
      <c r="QT100" s="308"/>
      <c r="QU100" s="308"/>
      <c r="QV100" s="308"/>
      <c r="QW100" s="308"/>
      <c r="QX100" s="308"/>
      <c r="QY100" s="308"/>
      <c r="QZ100" s="308"/>
      <c r="RA100" s="308"/>
      <c r="RB100" s="308"/>
      <c r="RC100" s="308"/>
      <c r="RD100" s="308"/>
      <c r="RE100" s="308"/>
      <c r="RF100" s="308"/>
      <c r="RG100" s="308"/>
      <c r="RH100" s="308"/>
      <c r="RI100" s="308"/>
      <c r="RJ100" s="308"/>
      <c r="RK100" s="308"/>
      <c r="RL100" s="308"/>
      <c r="RM100" s="308"/>
      <c r="RN100" s="308"/>
      <c r="RO100" s="308"/>
      <c r="RP100" s="308"/>
      <c r="RQ100" s="308"/>
      <c r="RR100" s="308"/>
      <c r="RS100" s="308"/>
      <c r="RT100" s="308"/>
      <c r="RU100" s="308"/>
      <c r="RV100" s="308"/>
      <c r="RW100" s="308"/>
      <c r="RX100" s="308"/>
      <c r="RY100" s="308"/>
      <c r="RZ100" s="308"/>
      <c r="SA100" s="308"/>
      <c r="SB100" s="308"/>
      <c r="SC100" s="308"/>
      <c r="SD100" s="308"/>
      <c r="SE100" s="308"/>
      <c r="SF100" s="308"/>
      <c r="SG100" s="308"/>
      <c r="SH100" s="308"/>
      <c r="SI100" s="308"/>
      <c r="SJ100" s="308"/>
      <c r="SK100" s="308"/>
      <c r="SL100" s="308"/>
      <c r="SM100" s="308"/>
      <c r="SN100" s="308"/>
      <c r="SO100" s="308"/>
      <c r="SP100" s="308"/>
      <c r="SQ100" s="308"/>
      <c r="SR100" s="308"/>
      <c r="SS100" s="308"/>
      <c r="ST100" s="308"/>
      <c r="SU100" s="308"/>
      <c r="SV100" s="308"/>
      <c r="SW100" s="308"/>
      <c r="SX100" s="308"/>
      <c r="SY100" s="308"/>
      <c r="SZ100" s="308"/>
      <c r="TA100" s="308"/>
      <c r="TB100" s="308"/>
      <c r="TC100" s="308"/>
      <c r="TD100" s="308"/>
      <c r="TE100" s="308"/>
      <c r="TF100" s="308"/>
      <c r="TG100" s="308"/>
      <c r="TH100" s="308"/>
      <c r="TI100" s="308"/>
      <c r="TJ100" s="308"/>
      <c r="TK100" s="308"/>
      <c r="TL100" s="308"/>
      <c r="TM100" s="308"/>
      <c r="TN100" s="308"/>
      <c r="TO100" s="308"/>
      <c r="TP100" s="308"/>
      <c r="TQ100" s="308"/>
      <c r="TR100" s="308"/>
      <c r="TS100" s="308"/>
      <c r="TT100" s="308"/>
      <c r="TU100" s="308"/>
      <c r="TV100" s="308"/>
      <c r="TW100" s="308"/>
      <c r="TX100" s="308"/>
      <c r="TY100" s="308"/>
      <c r="TZ100" s="308"/>
      <c r="UA100" s="308"/>
      <c r="UB100" s="308"/>
      <c r="UC100" s="308"/>
      <c r="UD100" s="308"/>
      <c r="UE100" s="308"/>
      <c r="UF100" s="308"/>
      <c r="UG100" s="308"/>
      <c r="UH100" s="308"/>
      <c r="UI100" s="308"/>
      <c r="UJ100" s="308"/>
      <c r="UK100" s="308"/>
      <c r="UL100" s="308"/>
      <c r="UM100" s="308"/>
      <c r="UN100" s="308"/>
      <c r="UO100" s="308"/>
      <c r="UP100" s="308"/>
      <c r="UQ100" s="308"/>
      <c r="UR100" s="308"/>
      <c r="US100" s="308"/>
      <c r="UT100" s="308"/>
      <c r="UU100" s="308"/>
      <c r="UV100" s="308"/>
      <c r="UW100" s="308"/>
      <c r="UX100" s="308"/>
      <c r="UY100" s="308"/>
      <c r="UZ100" s="308"/>
      <c r="VA100" s="308"/>
      <c r="VB100" s="308"/>
      <c r="VC100" s="308"/>
      <c r="VD100" s="308"/>
      <c r="VE100" s="308"/>
      <c r="VF100" s="308"/>
      <c r="VG100" s="308"/>
      <c r="VH100" s="308"/>
      <c r="VI100" s="308"/>
      <c r="VJ100" s="308"/>
      <c r="VK100" s="308"/>
      <c r="VL100" s="308"/>
      <c r="VM100" s="308"/>
      <c r="VN100" s="308"/>
      <c r="VO100" s="308"/>
      <c r="VP100" s="308"/>
      <c r="VQ100" s="308"/>
      <c r="VR100" s="308"/>
      <c r="VS100" s="308"/>
      <c r="VT100" s="308"/>
      <c r="VU100" s="308"/>
      <c r="VV100" s="308"/>
      <c r="VW100" s="308"/>
      <c r="VX100" s="308"/>
      <c r="VY100" s="308"/>
      <c r="VZ100" s="308"/>
      <c r="WA100" s="308"/>
      <c r="WB100" s="308"/>
      <c r="WC100" s="308"/>
      <c r="WD100" s="308"/>
      <c r="WE100" s="308"/>
      <c r="WF100" s="308"/>
      <c r="WG100" s="308"/>
      <c r="WH100" s="308"/>
      <c r="WI100" s="308"/>
      <c r="WJ100" s="308"/>
      <c r="WK100" s="308"/>
      <c r="WL100" s="308"/>
      <c r="WM100" s="308"/>
      <c r="WN100" s="308"/>
      <c r="WO100" s="308"/>
      <c r="WP100" s="308"/>
      <c r="WQ100" s="308"/>
      <c r="WR100" s="308"/>
      <c r="WS100" s="308"/>
      <c r="WT100" s="308"/>
      <c r="WU100" s="308"/>
      <c r="WV100" s="308"/>
      <c r="WW100" s="308"/>
      <c r="WX100" s="308"/>
      <c r="WY100" s="308"/>
      <c r="WZ100" s="308"/>
      <c r="XA100" s="308"/>
      <c r="XB100" s="308"/>
      <c r="XC100" s="308"/>
      <c r="XD100" s="308"/>
      <c r="XE100" s="308"/>
      <c r="XF100" s="308"/>
      <c r="XG100" s="308"/>
      <c r="XH100" s="308"/>
      <c r="XI100" s="308"/>
      <c r="XJ100" s="308"/>
      <c r="XK100" s="308"/>
      <c r="XL100" s="308"/>
      <c r="XM100" s="308"/>
      <c r="XN100" s="308"/>
      <c r="XO100" s="308"/>
      <c r="XP100" s="308"/>
      <c r="XQ100" s="308"/>
      <c r="XR100" s="308"/>
      <c r="XS100" s="308"/>
      <c r="XT100" s="308"/>
      <c r="XU100" s="308"/>
      <c r="XV100" s="308"/>
      <c r="XW100" s="308"/>
      <c r="XX100" s="308"/>
      <c r="XY100" s="308"/>
      <c r="XZ100" s="308"/>
      <c r="YA100" s="308"/>
      <c r="YB100" s="308"/>
      <c r="YC100" s="308"/>
      <c r="YD100" s="308"/>
      <c r="YE100" s="308"/>
      <c r="YF100" s="308"/>
      <c r="YG100" s="308"/>
      <c r="YH100" s="308"/>
      <c r="YI100" s="308"/>
      <c r="YJ100" s="308"/>
      <c r="YK100" s="308"/>
      <c r="YL100" s="308"/>
      <c r="YM100" s="308"/>
      <c r="YN100" s="308"/>
      <c r="YO100" s="308"/>
      <c r="YP100" s="308"/>
      <c r="YQ100" s="308"/>
      <c r="YR100" s="308"/>
      <c r="YS100" s="308"/>
      <c r="YT100" s="308"/>
      <c r="YU100" s="308"/>
      <c r="YV100" s="308"/>
      <c r="YW100" s="308"/>
      <c r="YX100" s="308"/>
      <c r="YY100" s="308"/>
      <c r="YZ100" s="308"/>
      <c r="ZA100" s="308"/>
      <c r="ZB100" s="308"/>
      <c r="ZC100" s="308"/>
      <c r="ZD100" s="308"/>
      <c r="ZE100" s="308"/>
      <c r="ZF100" s="308"/>
      <c r="ZG100" s="308"/>
      <c r="ZH100" s="308"/>
      <c r="ZI100" s="308"/>
      <c r="ZJ100" s="308"/>
      <c r="ZK100" s="308"/>
      <c r="ZL100" s="308"/>
      <c r="ZM100" s="308"/>
      <c r="ZN100" s="308"/>
      <c r="ZO100" s="308"/>
      <c r="ZP100" s="308"/>
      <c r="ZQ100" s="308"/>
      <c r="ZR100" s="308"/>
      <c r="ZS100" s="308"/>
      <c r="ZT100" s="308"/>
      <c r="ZU100" s="308"/>
      <c r="ZV100" s="308"/>
      <c r="ZW100" s="308"/>
      <c r="ZX100" s="308"/>
      <c r="ZY100" s="308"/>
      <c r="ZZ100" s="308"/>
      <c r="AAA100" s="308"/>
      <c r="AAB100" s="308"/>
      <c r="AAC100" s="308"/>
      <c r="AAD100" s="308"/>
      <c r="AAE100" s="308"/>
      <c r="AAF100" s="308"/>
      <c r="AAG100" s="308"/>
      <c r="AAH100" s="308"/>
      <c r="AAI100" s="308"/>
      <c r="AAJ100" s="308"/>
      <c r="AAK100" s="308"/>
      <c r="AAL100" s="308"/>
      <c r="AAM100" s="308"/>
      <c r="AAN100" s="308"/>
      <c r="AAO100" s="308"/>
      <c r="AAP100" s="308"/>
      <c r="AAQ100" s="308"/>
      <c r="AAR100" s="308"/>
      <c r="AAS100" s="308"/>
      <c r="AAT100" s="308"/>
      <c r="AAU100" s="308"/>
      <c r="AAV100" s="308"/>
      <c r="AAW100" s="308"/>
      <c r="AAX100" s="308"/>
      <c r="AAY100" s="308"/>
      <c r="AAZ100" s="308"/>
      <c r="ABA100" s="308"/>
      <c r="ABB100" s="308"/>
      <c r="ABC100" s="308"/>
      <c r="ABD100" s="308"/>
      <c r="ABE100" s="308"/>
      <c r="ABF100" s="308"/>
      <c r="ABG100" s="308"/>
      <c r="ABH100" s="308"/>
      <c r="ABI100" s="308"/>
      <c r="ABJ100" s="308"/>
      <c r="ABK100" s="308"/>
      <c r="ABL100" s="308"/>
      <c r="ABM100" s="308"/>
      <c r="ABN100" s="308"/>
      <c r="ABO100" s="308"/>
      <c r="ABP100" s="308"/>
      <c r="ABQ100" s="308"/>
      <c r="ABR100" s="308"/>
      <c r="ABS100" s="308"/>
      <c r="ABT100" s="308"/>
      <c r="ABU100" s="308"/>
      <c r="ABV100" s="308"/>
      <c r="ABW100" s="308"/>
      <c r="ABX100" s="308"/>
      <c r="ABY100" s="308"/>
      <c r="ABZ100" s="308"/>
      <c r="ACA100" s="308"/>
      <c r="ACB100" s="308"/>
      <c r="ACC100" s="308"/>
      <c r="ACD100" s="308"/>
      <c r="ACE100" s="308"/>
      <c r="ACF100" s="308"/>
      <c r="ACG100" s="308"/>
      <c r="ACH100" s="308"/>
      <c r="ACI100" s="308"/>
      <c r="ACJ100" s="308"/>
      <c r="ACK100" s="308"/>
      <c r="ACL100" s="308"/>
      <c r="ACM100" s="308"/>
      <c r="ACN100" s="308"/>
      <c r="ACO100" s="308"/>
      <c r="ACP100" s="308"/>
      <c r="ACQ100" s="308"/>
      <c r="ACR100" s="308"/>
      <c r="ACS100" s="308"/>
      <c r="ACT100" s="308"/>
      <c r="ACU100" s="308"/>
      <c r="ACV100" s="308"/>
      <c r="ACW100" s="308"/>
      <c r="ACX100" s="308"/>
      <c r="ACY100" s="308"/>
      <c r="ACZ100" s="308"/>
      <c r="ADA100" s="308"/>
      <c r="ADB100" s="308"/>
      <c r="ADC100" s="308"/>
      <c r="ADD100" s="308"/>
      <c r="ADE100" s="308"/>
      <c r="ADF100" s="308"/>
      <c r="ADG100" s="308"/>
      <c r="ADH100" s="308"/>
      <c r="ADI100" s="308"/>
      <c r="ADJ100" s="308"/>
      <c r="ADK100" s="308"/>
      <c r="ADL100" s="308"/>
      <c r="ADM100" s="308"/>
      <c r="ADN100" s="308"/>
      <c r="ADO100" s="308"/>
      <c r="ADP100" s="308"/>
      <c r="ADQ100" s="308"/>
      <c r="ADR100" s="308"/>
      <c r="ADS100" s="308"/>
      <c r="ADT100" s="308"/>
      <c r="ADU100" s="308"/>
      <c r="ADV100" s="308"/>
      <c r="ADW100" s="308"/>
      <c r="ADX100" s="308"/>
      <c r="ADY100" s="308"/>
      <c r="ADZ100" s="308"/>
      <c r="AEA100" s="308"/>
      <c r="AEB100" s="308"/>
      <c r="AEC100" s="308"/>
      <c r="AED100" s="308"/>
      <c r="AEE100" s="308"/>
      <c r="AEF100" s="308"/>
      <c r="AEG100" s="308"/>
      <c r="AEH100" s="308"/>
      <c r="AEI100" s="308"/>
      <c r="AEJ100" s="308"/>
      <c r="AEK100" s="308"/>
      <c r="AEL100" s="308"/>
      <c r="AEM100" s="308"/>
      <c r="AEN100" s="308"/>
      <c r="AEO100" s="308"/>
      <c r="AEP100" s="308"/>
      <c r="AEQ100" s="308"/>
      <c r="AER100" s="308"/>
      <c r="AES100" s="308"/>
      <c r="AET100" s="308"/>
      <c r="AEU100" s="308"/>
      <c r="AEV100" s="308"/>
      <c r="AEW100" s="308"/>
      <c r="AEX100" s="308"/>
      <c r="AEY100" s="308"/>
      <c r="AEZ100" s="308"/>
      <c r="AFA100" s="308"/>
      <c r="AFB100" s="308"/>
      <c r="AFC100" s="308"/>
      <c r="AFD100" s="308"/>
      <c r="AFE100" s="308"/>
      <c r="AFF100" s="308"/>
      <c r="AFG100" s="308"/>
      <c r="AFH100" s="308"/>
      <c r="AFI100" s="308"/>
      <c r="AFJ100" s="308"/>
      <c r="AFK100" s="308"/>
      <c r="AFL100" s="308"/>
      <c r="AFM100" s="308"/>
      <c r="AFN100" s="308"/>
      <c r="AFO100" s="308"/>
      <c r="AFP100" s="308"/>
      <c r="AFQ100" s="308"/>
      <c r="AFR100" s="308"/>
      <c r="AFS100" s="308"/>
      <c r="AFT100" s="308"/>
      <c r="AFU100" s="308"/>
      <c r="AFV100" s="308"/>
      <c r="AFW100" s="308"/>
      <c r="AFX100" s="308"/>
      <c r="AFY100" s="308"/>
      <c r="AFZ100" s="308"/>
      <c r="AGA100" s="308"/>
      <c r="AGB100" s="308"/>
      <c r="AGC100" s="308"/>
      <c r="AGD100" s="308"/>
      <c r="AGE100" s="308"/>
      <c r="AGF100" s="308"/>
      <c r="AGG100" s="308"/>
      <c r="AGH100" s="308"/>
      <c r="AGI100" s="308"/>
      <c r="AGJ100" s="308"/>
      <c r="AGK100" s="308"/>
      <c r="AGL100" s="308"/>
      <c r="AGM100" s="308"/>
      <c r="AGN100" s="308"/>
      <c r="AGO100" s="308"/>
      <c r="AGP100" s="308"/>
      <c r="AGQ100" s="308"/>
      <c r="AGR100" s="308"/>
      <c r="AGS100" s="308"/>
      <c r="AGT100" s="308"/>
      <c r="AGU100" s="308"/>
      <c r="AGV100" s="308"/>
      <c r="AGW100" s="308"/>
      <c r="AGX100" s="308"/>
      <c r="AGY100" s="308"/>
      <c r="AGZ100" s="308"/>
      <c r="AHA100" s="308"/>
      <c r="AHB100" s="308"/>
      <c r="AHC100" s="308"/>
      <c r="AHD100" s="308"/>
      <c r="AHE100" s="308"/>
      <c r="AHF100" s="308"/>
      <c r="AHG100" s="308"/>
      <c r="AHH100" s="308"/>
      <c r="AHI100" s="308"/>
      <c r="AHJ100" s="308"/>
      <c r="AHK100" s="308"/>
      <c r="AHL100" s="308"/>
      <c r="AHM100" s="308"/>
      <c r="AHN100" s="308"/>
      <c r="AHO100" s="308"/>
      <c r="AHP100" s="308"/>
      <c r="AHQ100" s="308"/>
      <c r="AHR100" s="308"/>
      <c r="AHS100" s="308"/>
      <c r="AHT100" s="308"/>
      <c r="AHU100" s="308"/>
      <c r="AHV100" s="308"/>
      <c r="AHW100" s="308"/>
      <c r="AHX100" s="308"/>
      <c r="AHY100" s="308"/>
      <c r="AHZ100" s="308"/>
      <c r="AIA100" s="308"/>
      <c r="AIB100" s="308"/>
      <c r="AIC100" s="308"/>
      <c r="AID100" s="308"/>
      <c r="AIE100" s="308"/>
      <c r="AIF100" s="308"/>
      <c r="AIG100" s="308"/>
      <c r="AIH100" s="308"/>
      <c r="AII100" s="308"/>
      <c r="AIJ100" s="308"/>
      <c r="AIK100" s="308"/>
      <c r="AIL100" s="308"/>
      <c r="AIM100" s="308"/>
      <c r="AIN100" s="308"/>
      <c r="AIO100" s="308"/>
      <c r="AIP100" s="308"/>
      <c r="AIQ100" s="308"/>
      <c r="AIR100" s="308"/>
      <c r="AIS100" s="308"/>
      <c r="AIT100" s="308"/>
      <c r="AIU100" s="308"/>
      <c r="AIV100" s="308"/>
      <c r="AIW100" s="308"/>
      <c r="AIX100" s="308"/>
      <c r="AIY100" s="308"/>
      <c r="AIZ100" s="308"/>
      <c r="AJA100" s="308"/>
      <c r="AJB100" s="308"/>
      <c r="AJC100" s="308"/>
    </row>
    <row r="101" spans="1:940" s="567" customFormat="1">
      <c r="A101" s="115">
        <f>A100</f>
        <v>89</v>
      </c>
      <c r="B101" s="115"/>
      <c r="C101" s="115" t="s">
        <v>433</v>
      </c>
      <c r="D101" s="311">
        <f t="shared" ref="D101:AX101" si="58">SUM(D86:D100)</f>
        <v>24312000</v>
      </c>
      <c r="E101" s="311">
        <f t="shared" si="58"/>
        <v>21952000</v>
      </c>
      <c r="F101" s="311">
        <f t="shared" si="58"/>
        <v>2360000</v>
      </c>
      <c r="G101" s="311">
        <f t="shared" si="58"/>
        <v>11826664</v>
      </c>
      <c r="H101" s="311">
        <f t="shared" si="58"/>
        <v>6380701.0300000012</v>
      </c>
      <c r="I101" s="311">
        <f t="shared" si="58"/>
        <v>1358189.63</v>
      </c>
      <c r="J101" s="311">
        <f t="shared" si="58"/>
        <v>550080.9</v>
      </c>
      <c r="K101" s="311">
        <f t="shared" si="58"/>
        <v>1908270.5300000003</v>
      </c>
      <c r="L101" s="311">
        <f t="shared" si="58"/>
        <v>8288971.5600000005</v>
      </c>
      <c r="M101" s="311">
        <f t="shared" si="58"/>
        <v>2087692.44</v>
      </c>
      <c r="N101" s="311">
        <f t="shared" si="58"/>
        <v>3870000</v>
      </c>
      <c r="O101" s="311">
        <f t="shared" si="58"/>
        <v>10065336</v>
      </c>
      <c r="P101" s="311">
        <f t="shared" si="58"/>
        <v>3537692.44</v>
      </c>
      <c r="Q101" s="311">
        <f t="shared" si="58"/>
        <v>0</v>
      </c>
      <c r="R101" s="311">
        <f t="shared" si="58"/>
        <v>0</v>
      </c>
      <c r="S101" s="311">
        <f t="shared" si="58"/>
        <v>0</v>
      </c>
      <c r="T101" s="311">
        <f t="shared" si="58"/>
        <v>1450000</v>
      </c>
      <c r="U101" s="311">
        <f t="shared" si="58"/>
        <v>2420000</v>
      </c>
      <c r="V101" s="311">
        <f t="shared" si="58"/>
        <v>2420000</v>
      </c>
      <c r="W101" s="311">
        <f t="shared" si="58"/>
        <v>0</v>
      </c>
      <c r="X101" s="311">
        <f t="shared" si="58"/>
        <v>0</v>
      </c>
      <c r="Y101" s="311">
        <f t="shared" si="58"/>
        <v>0</v>
      </c>
      <c r="Z101" s="311">
        <f t="shared" si="58"/>
        <v>0</v>
      </c>
      <c r="AA101" s="311">
        <f t="shared" si="58"/>
        <v>10980000</v>
      </c>
      <c r="AB101" s="311">
        <f t="shared" si="58"/>
        <v>0</v>
      </c>
      <c r="AC101" s="311">
        <f t="shared" si="58"/>
        <v>0</v>
      </c>
      <c r="AD101" s="311">
        <f t="shared" ref="AD101:AJ101" si="59">SUM(AD86:AD100)</f>
        <v>-500000</v>
      </c>
      <c r="AE101" s="311">
        <f t="shared" si="59"/>
        <v>300000</v>
      </c>
      <c r="AF101" s="311">
        <f t="shared" si="59"/>
        <v>550000</v>
      </c>
      <c r="AG101" s="311">
        <f t="shared" si="59"/>
        <v>350000</v>
      </c>
      <c r="AH101" s="311">
        <f t="shared" si="59"/>
        <v>0</v>
      </c>
      <c r="AI101" s="311">
        <f t="shared" si="59"/>
        <v>0</v>
      </c>
      <c r="AJ101" s="311">
        <f t="shared" si="59"/>
        <v>0</v>
      </c>
      <c r="AK101" s="311">
        <f t="shared" si="58"/>
        <v>700000</v>
      </c>
      <c r="AL101" s="311">
        <f t="shared" si="58"/>
        <v>0</v>
      </c>
      <c r="AM101" s="311">
        <f t="shared" si="58"/>
        <v>700000</v>
      </c>
      <c r="AN101" s="311">
        <f t="shared" si="58"/>
        <v>1720000</v>
      </c>
      <c r="AO101" s="311">
        <f t="shared" si="58"/>
        <v>700000</v>
      </c>
      <c r="AP101" s="311">
        <f t="shared" si="58"/>
        <v>0</v>
      </c>
      <c r="AQ101" s="311">
        <f t="shared" si="58"/>
        <v>0</v>
      </c>
      <c r="AR101" s="311">
        <f t="shared" si="58"/>
        <v>0</v>
      </c>
      <c r="AS101" s="311">
        <f t="shared" si="58"/>
        <v>0</v>
      </c>
      <c r="AT101" s="311">
        <f t="shared" si="58"/>
        <v>0</v>
      </c>
      <c r="AU101" s="311">
        <f t="shared" si="58"/>
        <v>0</v>
      </c>
      <c r="AV101" s="311">
        <f t="shared" si="58"/>
        <v>0</v>
      </c>
      <c r="AW101" s="311">
        <f t="shared" si="58"/>
        <v>0</v>
      </c>
      <c r="AX101" s="311">
        <f t="shared" si="58"/>
        <v>0</v>
      </c>
      <c r="AY101" s="311">
        <f>SUM(AY86:AY100)</f>
        <v>1720000</v>
      </c>
      <c r="AZ101" s="311">
        <f>SUM(AZ86:AZ100)</f>
        <v>0</v>
      </c>
      <c r="BA101" s="311">
        <f>SUM(BA86:BA100)</f>
        <v>0</v>
      </c>
      <c r="BB101" s="311">
        <f>SUM(BB86:BB100)</f>
        <v>0</v>
      </c>
      <c r="BC101" s="311">
        <f>SUM(BC86:BC100)</f>
        <v>0</v>
      </c>
      <c r="AJD101" s="570"/>
    </row>
    <row r="102" spans="1:940" s="570" customFormat="1" ht="15.5">
      <c r="A102" s="309">
        <f>A101</f>
        <v>89</v>
      </c>
      <c r="B102" s="309"/>
      <c r="C102" s="573" t="s">
        <v>1413</v>
      </c>
      <c r="D102" s="309">
        <f t="shared" ref="D102:AI102" si="60">D60+D84+D101</f>
        <v>726771115</v>
      </c>
      <c r="E102" s="309">
        <f t="shared" si="60"/>
        <v>597414769</v>
      </c>
      <c r="F102" s="309">
        <f t="shared" si="60"/>
        <v>129356346</v>
      </c>
      <c r="G102" s="309">
        <f t="shared" si="60"/>
        <v>347647694</v>
      </c>
      <c r="H102" s="309">
        <f t="shared" si="60"/>
        <v>257406622.65000007</v>
      </c>
      <c r="I102" s="309">
        <f t="shared" si="60"/>
        <v>36404399.939999998</v>
      </c>
      <c r="J102" s="309">
        <f t="shared" si="60"/>
        <v>16005031.029999999</v>
      </c>
      <c r="K102" s="309">
        <f t="shared" si="60"/>
        <v>52409430.969999999</v>
      </c>
      <c r="L102" s="309">
        <f t="shared" si="60"/>
        <v>309816053.62000012</v>
      </c>
      <c r="M102" s="309">
        <f t="shared" si="60"/>
        <v>22043640.379999999</v>
      </c>
      <c r="N102" s="309">
        <f t="shared" si="60"/>
        <v>32930000</v>
      </c>
      <c r="O102" s="309">
        <f t="shared" si="60"/>
        <v>361981421</v>
      </c>
      <c r="P102" s="309">
        <f t="shared" si="60"/>
        <v>37831640.380000003</v>
      </c>
      <c r="Q102" s="309">
        <f t="shared" si="60"/>
        <v>0</v>
      </c>
      <c r="R102" s="309">
        <f t="shared" si="60"/>
        <v>0</v>
      </c>
      <c r="S102" s="309">
        <f t="shared" si="60"/>
        <v>0</v>
      </c>
      <c r="T102" s="309">
        <f t="shared" si="60"/>
        <v>15788000</v>
      </c>
      <c r="U102" s="309">
        <f t="shared" si="60"/>
        <v>17142000</v>
      </c>
      <c r="V102" s="309">
        <f t="shared" si="60"/>
        <v>16653173</v>
      </c>
      <c r="W102" s="309">
        <f t="shared" si="60"/>
        <v>0</v>
      </c>
      <c r="X102" s="309">
        <f t="shared" si="60"/>
        <v>0</v>
      </c>
      <c r="Y102" s="309">
        <f t="shared" si="60"/>
        <v>0</v>
      </c>
      <c r="Z102" s="309">
        <f t="shared" si="60"/>
        <v>488827</v>
      </c>
      <c r="AA102" s="309">
        <f t="shared" si="60"/>
        <v>66002200</v>
      </c>
      <c r="AB102" s="309">
        <f t="shared" si="60"/>
        <v>0</v>
      </c>
      <c r="AC102" s="309">
        <f t="shared" si="60"/>
        <v>0</v>
      </c>
      <c r="AD102" s="309">
        <f t="shared" si="60"/>
        <v>-3348000</v>
      </c>
      <c r="AE102" s="309">
        <f t="shared" si="60"/>
        <v>300000</v>
      </c>
      <c r="AF102" s="309">
        <f t="shared" si="60"/>
        <v>2900000</v>
      </c>
      <c r="AG102" s="309">
        <f t="shared" si="60"/>
        <v>1200000</v>
      </c>
      <c r="AH102" s="309">
        <f t="shared" si="60"/>
        <v>500000</v>
      </c>
      <c r="AI102" s="309">
        <f t="shared" si="60"/>
        <v>1850000</v>
      </c>
      <c r="AJ102" s="309">
        <f t="shared" ref="AJ102:BC102" si="61">AJ60+AJ84+AJ101</f>
        <v>500000</v>
      </c>
      <c r="AK102" s="309">
        <f t="shared" si="61"/>
        <v>3902000</v>
      </c>
      <c r="AL102" s="309">
        <f t="shared" si="61"/>
        <v>0</v>
      </c>
      <c r="AM102" s="309">
        <f t="shared" si="61"/>
        <v>3902000</v>
      </c>
      <c r="AN102" s="309">
        <f t="shared" si="61"/>
        <v>13240000</v>
      </c>
      <c r="AO102" s="309">
        <f t="shared" si="61"/>
        <v>3902000</v>
      </c>
      <c r="AP102" s="309">
        <f t="shared" si="61"/>
        <v>0</v>
      </c>
      <c r="AQ102" s="309">
        <f t="shared" si="61"/>
        <v>0</v>
      </c>
      <c r="AR102" s="309">
        <f t="shared" si="61"/>
        <v>0</v>
      </c>
      <c r="AS102" s="309">
        <f t="shared" si="61"/>
        <v>0</v>
      </c>
      <c r="AT102" s="309">
        <f t="shared" si="61"/>
        <v>0</v>
      </c>
      <c r="AU102" s="309">
        <f t="shared" si="61"/>
        <v>0</v>
      </c>
      <c r="AV102" s="309">
        <f t="shared" si="61"/>
        <v>0</v>
      </c>
      <c r="AW102" s="309">
        <f t="shared" si="61"/>
        <v>0</v>
      </c>
      <c r="AX102" s="309">
        <f t="shared" si="61"/>
        <v>0</v>
      </c>
      <c r="AY102" s="309">
        <f t="shared" si="61"/>
        <v>12751173</v>
      </c>
      <c r="AZ102" s="309">
        <f t="shared" si="61"/>
        <v>0</v>
      </c>
      <c r="BA102" s="309">
        <f t="shared" si="61"/>
        <v>0</v>
      </c>
      <c r="BB102" s="309">
        <f t="shared" si="61"/>
        <v>0</v>
      </c>
      <c r="BC102" s="309">
        <f t="shared" si="61"/>
        <v>488827</v>
      </c>
      <c r="BD102" s="574"/>
      <c r="BE102" s="574"/>
      <c r="BF102" s="574"/>
      <c r="BG102" s="574"/>
      <c r="BH102" s="574"/>
      <c r="BI102" s="574"/>
      <c r="BJ102" s="574"/>
      <c r="BK102" s="574"/>
      <c r="BL102" s="574"/>
      <c r="BM102" s="574"/>
      <c r="BN102" s="574"/>
      <c r="BO102" s="574"/>
      <c r="BP102" s="574"/>
      <c r="BQ102" s="574"/>
      <c r="BR102" s="574"/>
      <c r="BS102" s="574"/>
      <c r="BT102" s="574"/>
      <c r="BU102" s="574"/>
      <c r="BV102" s="574"/>
      <c r="BW102" s="574"/>
      <c r="BX102" s="574"/>
      <c r="BY102" s="574"/>
      <c r="BZ102" s="574"/>
      <c r="CA102" s="574"/>
      <c r="CB102" s="574"/>
      <c r="CC102" s="574"/>
      <c r="CD102" s="574"/>
      <c r="CE102" s="574"/>
      <c r="CF102" s="574"/>
      <c r="CG102" s="574"/>
      <c r="CH102" s="574"/>
      <c r="CI102" s="574"/>
      <c r="CJ102" s="574"/>
      <c r="CK102" s="574"/>
      <c r="CL102" s="574"/>
      <c r="CM102" s="574"/>
      <c r="CN102" s="574"/>
      <c r="CO102" s="574"/>
      <c r="CP102" s="574"/>
      <c r="CQ102" s="574"/>
      <c r="CR102" s="574"/>
      <c r="CS102" s="574"/>
      <c r="CT102" s="574"/>
      <c r="CU102" s="574"/>
      <c r="CV102" s="574"/>
      <c r="CW102" s="574"/>
      <c r="CX102" s="574"/>
      <c r="CY102" s="574"/>
      <c r="CZ102" s="574"/>
      <c r="DA102" s="574"/>
      <c r="DB102" s="574"/>
      <c r="DC102" s="574"/>
      <c r="DD102" s="574"/>
      <c r="DE102" s="574"/>
      <c r="DF102" s="574"/>
      <c r="DG102" s="574"/>
      <c r="DH102" s="574"/>
      <c r="DI102" s="574"/>
      <c r="DJ102" s="574"/>
      <c r="DK102" s="574"/>
      <c r="DL102" s="574"/>
      <c r="DM102" s="574"/>
      <c r="DN102" s="574"/>
      <c r="DO102" s="574"/>
      <c r="DP102" s="574"/>
      <c r="DQ102" s="574"/>
      <c r="DR102" s="574"/>
      <c r="DS102" s="574"/>
      <c r="DT102" s="574"/>
      <c r="DU102" s="574"/>
      <c r="DV102" s="574"/>
      <c r="DW102" s="574"/>
      <c r="DX102" s="574"/>
      <c r="DY102" s="574"/>
      <c r="DZ102" s="574"/>
      <c r="EA102" s="574"/>
      <c r="EB102" s="574"/>
      <c r="EC102" s="574"/>
      <c r="ED102" s="574"/>
      <c r="EE102" s="574"/>
      <c r="EF102" s="574"/>
      <c r="EG102" s="574"/>
      <c r="EH102" s="574"/>
      <c r="EI102" s="574"/>
      <c r="EJ102" s="574"/>
      <c r="EK102" s="574"/>
      <c r="EL102" s="574"/>
      <c r="EM102" s="574"/>
      <c r="EN102" s="574"/>
      <c r="EO102" s="574"/>
      <c r="EP102" s="574"/>
      <c r="EQ102" s="574"/>
      <c r="ER102" s="574"/>
      <c r="ES102" s="574"/>
      <c r="ET102" s="574"/>
      <c r="EU102" s="574"/>
      <c r="EV102" s="574"/>
      <c r="EW102" s="574"/>
      <c r="EX102" s="574"/>
      <c r="EY102" s="574"/>
      <c r="EZ102" s="574"/>
      <c r="FA102" s="574"/>
      <c r="FB102" s="574"/>
      <c r="FC102" s="574"/>
      <c r="FD102" s="574"/>
      <c r="FE102" s="574"/>
      <c r="FF102" s="574"/>
      <c r="FG102" s="574"/>
      <c r="FH102" s="574"/>
      <c r="FI102" s="574"/>
      <c r="FJ102" s="574"/>
      <c r="FK102" s="574"/>
      <c r="FL102" s="574"/>
      <c r="FM102" s="574"/>
      <c r="FN102" s="574"/>
      <c r="FO102" s="574"/>
      <c r="FP102" s="574"/>
      <c r="FQ102" s="574"/>
      <c r="FR102" s="574"/>
      <c r="FS102" s="574"/>
      <c r="FT102" s="574"/>
      <c r="FU102" s="574"/>
      <c r="FV102" s="574"/>
      <c r="FW102" s="574"/>
      <c r="FX102" s="574"/>
      <c r="FY102" s="574"/>
      <c r="FZ102" s="574"/>
      <c r="GA102" s="574"/>
      <c r="GB102" s="574"/>
      <c r="GC102" s="574"/>
      <c r="GD102" s="574"/>
      <c r="GE102" s="574"/>
      <c r="GF102" s="574"/>
      <c r="GG102" s="574"/>
      <c r="GH102" s="574"/>
      <c r="GI102" s="574"/>
      <c r="GJ102" s="574"/>
      <c r="GK102" s="574"/>
      <c r="GL102" s="574"/>
      <c r="GM102" s="574"/>
      <c r="GN102" s="574"/>
      <c r="GO102" s="574"/>
      <c r="GP102" s="574"/>
      <c r="GQ102" s="574"/>
      <c r="GR102" s="574"/>
      <c r="GS102" s="574"/>
      <c r="GT102" s="574"/>
      <c r="GU102" s="574"/>
      <c r="GV102" s="574"/>
      <c r="GW102" s="574"/>
      <c r="GX102" s="574"/>
      <c r="GY102" s="574"/>
      <c r="GZ102" s="574"/>
      <c r="HA102" s="574"/>
      <c r="HB102" s="574"/>
      <c r="HC102" s="574"/>
      <c r="HD102" s="574"/>
      <c r="HE102" s="574"/>
      <c r="HF102" s="574"/>
      <c r="HG102" s="574"/>
      <c r="HH102" s="574"/>
      <c r="HI102" s="574"/>
      <c r="HJ102" s="574"/>
      <c r="HK102" s="574"/>
      <c r="HL102" s="574"/>
      <c r="HM102" s="574"/>
      <c r="HN102" s="574"/>
      <c r="HO102" s="574"/>
      <c r="HP102" s="574"/>
      <c r="HQ102" s="574"/>
      <c r="HR102" s="574"/>
      <c r="HS102" s="574"/>
      <c r="HT102" s="574"/>
      <c r="HU102" s="574"/>
      <c r="HV102" s="574"/>
      <c r="HW102" s="574"/>
      <c r="HX102" s="574"/>
      <c r="HY102" s="574"/>
      <c r="HZ102" s="574"/>
      <c r="IA102" s="574"/>
      <c r="IB102" s="574"/>
      <c r="IC102" s="574"/>
      <c r="ID102" s="574"/>
      <c r="IE102" s="574"/>
      <c r="IF102" s="574"/>
      <c r="IG102" s="574"/>
      <c r="IH102" s="574"/>
      <c r="II102" s="574"/>
      <c r="IJ102" s="574"/>
      <c r="IK102" s="574"/>
      <c r="IL102" s="574"/>
      <c r="IM102" s="574"/>
      <c r="IN102" s="574"/>
      <c r="IO102" s="574"/>
      <c r="IP102" s="574"/>
      <c r="IQ102" s="574"/>
      <c r="IR102" s="574"/>
      <c r="IS102" s="574"/>
      <c r="IT102" s="574"/>
      <c r="IU102" s="574"/>
      <c r="IV102" s="574"/>
      <c r="IW102" s="574"/>
      <c r="IX102" s="574"/>
      <c r="IY102" s="574"/>
      <c r="IZ102" s="574"/>
      <c r="JA102" s="574"/>
      <c r="JB102" s="574"/>
      <c r="JC102" s="574"/>
      <c r="JD102" s="574"/>
      <c r="JE102" s="574"/>
      <c r="JF102" s="574"/>
      <c r="JG102" s="574"/>
      <c r="JH102" s="574"/>
      <c r="JI102" s="574"/>
      <c r="JJ102" s="574"/>
      <c r="JK102" s="574"/>
      <c r="JL102" s="574"/>
      <c r="JM102" s="574"/>
      <c r="JN102" s="574"/>
      <c r="JO102" s="574"/>
      <c r="JP102" s="574"/>
      <c r="JQ102" s="574"/>
      <c r="JR102" s="574"/>
      <c r="JS102" s="574"/>
      <c r="JT102" s="574"/>
      <c r="JU102" s="574"/>
      <c r="JV102" s="574"/>
      <c r="JW102" s="574"/>
      <c r="JX102" s="574"/>
      <c r="JY102" s="574"/>
      <c r="JZ102" s="574"/>
      <c r="KA102" s="574"/>
      <c r="KB102" s="574"/>
      <c r="KC102" s="574"/>
      <c r="KD102" s="574"/>
      <c r="KE102" s="574"/>
      <c r="KF102" s="574"/>
      <c r="KG102" s="574"/>
      <c r="KH102" s="574"/>
      <c r="KI102" s="574"/>
      <c r="KJ102" s="574"/>
      <c r="KK102" s="574"/>
      <c r="KL102" s="574"/>
      <c r="KM102" s="574"/>
      <c r="KN102" s="574"/>
      <c r="KO102" s="574"/>
      <c r="KP102" s="574"/>
      <c r="KQ102" s="574"/>
      <c r="KR102" s="574"/>
      <c r="KS102" s="574"/>
      <c r="KT102" s="574"/>
      <c r="KU102" s="574"/>
      <c r="KV102" s="574"/>
      <c r="KW102" s="574"/>
      <c r="KX102" s="574"/>
      <c r="KY102" s="574"/>
      <c r="KZ102" s="574"/>
      <c r="LA102" s="574"/>
      <c r="LB102" s="574"/>
      <c r="LC102" s="574"/>
      <c r="LD102" s="574"/>
      <c r="LE102" s="574"/>
      <c r="LF102" s="574"/>
      <c r="LG102" s="574"/>
      <c r="LH102" s="574"/>
      <c r="LI102" s="574"/>
      <c r="LJ102" s="574"/>
      <c r="LK102" s="574"/>
      <c r="LL102" s="574"/>
      <c r="LM102" s="574"/>
      <c r="LN102" s="574"/>
      <c r="LO102" s="574"/>
      <c r="LP102" s="574"/>
      <c r="LQ102" s="574"/>
      <c r="LR102" s="574"/>
      <c r="LS102" s="574"/>
      <c r="LT102" s="574"/>
      <c r="LU102" s="574"/>
      <c r="LV102" s="574"/>
      <c r="LW102" s="574"/>
      <c r="LX102" s="574"/>
      <c r="LY102" s="574"/>
      <c r="LZ102" s="574"/>
      <c r="MA102" s="574"/>
      <c r="MB102" s="574"/>
      <c r="MC102" s="574"/>
      <c r="MD102" s="574"/>
      <c r="ME102" s="574"/>
      <c r="MF102" s="574"/>
      <c r="MG102" s="574"/>
      <c r="MH102" s="574"/>
      <c r="MI102" s="574"/>
      <c r="MJ102" s="574"/>
      <c r="MK102" s="574"/>
      <c r="ML102" s="574"/>
      <c r="MM102" s="574"/>
      <c r="MN102" s="574"/>
      <c r="MO102" s="574"/>
      <c r="MP102" s="574"/>
      <c r="MQ102" s="574"/>
      <c r="MR102" s="574"/>
      <c r="MS102" s="574"/>
      <c r="MT102" s="574"/>
      <c r="MU102" s="574"/>
      <c r="MV102" s="574"/>
      <c r="MW102" s="574"/>
      <c r="MX102" s="574"/>
      <c r="MY102" s="574"/>
      <c r="MZ102" s="574"/>
      <c r="NA102" s="574"/>
      <c r="NB102" s="574"/>
      <c r="NC102" s="574"/>
      <c r="ND102" s="574"/>
      <c r="NE102" s="574"/>
      <c r="NF102" s="574"/>
      <c r="NG102" s="574"/>
      <c r="NH102" s="574"/>
      <c r="NI102" s="574"/>
      <c r="NJ102" s="574"/>
      <c r="NK102" s="574"/>
      <c r="NL102" s="574"/>
      <c r="NM102" s="574"/>
      <c r="NN102" s="574"/>
      <c r="NO102" s="574"/>
      <c r="NP102" s="574"/>
      <c r="NQ102" s="574"/>
      <c r="NR102" s="574"/>
      <c r="NS102" s="574"/>
      <c r="NT102" s="574"/>
      <c r="NU102" s="574"/>
      <c r="NV102" s="574"/>
      <c r="NW102" s="574"/>
      <c r="NX102" s="574"/>
      <c r="NY102" s="574"/>
      <c r="NZ102" s="574"/>
      <c r="OA102" s="574"/>
      <c r="OB102" s="574"/>
      <c r="OC102" s="574"/>
      <c r="OD102" s="574"/>
      <c r="OE102" s="574"/>
      <c r="OF102" s="574"/>
      <c r="OG102" s="574"/>
      <c r="OH102" s="574"/>
      <c r="OI102" s="574"/>
      <c r="OJ102" s="574"/>
      <c r="OK102" s="574"/>
      <c r="OL102" s="574"/>
      <c r="OM102" s="574"/>
      <c r="ON102" s="574"/>
      <c r="OO102" s="574"/>
      <c r="OP102" s="574"/>
      <c r="OQ102" s="574"/>
      <c r="OR102" s="574"/>
      <c r="OS102" s="574"/>
      <c r="OT102" s="574"/>
      <c r="OU102" s="574"/>
      <c r="OV102" s="574"/>
      <c r="OW102" s="574"/>
      <c r="OX102" s="574"/>
      <c r="OY102" s="574"/>
      <c r="OZ102" s="574"/>
      <c r="PA102" s="574"/>
      <c r="PB102" s="574"/>
      <c r="PC102" s="574"/>
      <c r="PD102" s="574"/>
      <c r="PE102" s="574"/>
      <c r="PF102" s="574"/>
      <c r="PG102" s="574"/>
      <c r="PH102" s="574"/>
      <c r="PI102" s="574"/>
      <c r="PJ102" s="574"/>
      <c r="PK102" s="574"/>
      <c r="PL102" s="574"/>
      <c r="PM102" s="574"/>
      <c r="PN102" s="574"/>
      <c r="PO102" s="574"/>
      <c r="PP102" s="574"/>
      <c r="PQ102" s="574"/>
      <c r="PR102" s="574"/>
      <c r="PS102" s="574"/>
      <c r="PT102" s="574"/>
      <c r="PU102" s="574"/>
      <c r="PV102" s="574"/>
      <c r="PW102" s="574"/>
      <c r="PX102" s="574"/>
      <c r="PY102" s="574"/>
      <c r="PZ102" s="574"/>
      <c r="QA102" s="574"/>
      <c r="QB102" s="574"/>
      <c r="QC102" s="574"/>
      <c r="QD102" s="574"/>
      <c r="QE102" s="574"/>
      <c r="QF102" s="574"/>
      <c r="QG102" s="574"/>
      <c r="QH102" s="574"/>
      <c r="QI102" s="574"/>
      <c r="QJ102" s="574"/>
      <c r="QK102" s="574"/>
      <c r="QL102" s="574"/>
      <c r="QM102" s="574"/>
      <c r="QN102" s="574"/>
      <c r="QO102" s="574"/>
      <c r="QP102" s="574"/>
      <c r="QQ102" s="574"/>
      <c r="QR102" s="574"/>
      <c r="QS102" s="574"/>
      <c r="QT102" s="574"/>
      <c r="QU102" s="574"/>
      <c r="QV102" s="574"/>
      <c r="QW102" s="574"/>
      <c r="QX102" s="574"/>
      <c r="QY102" s="574"/>
      <c r="QZ102" s="574"/>
      <c r="RA102" s="574"/>
      <c r="RB102" s="574"/>
      <c r="RC102" s="574"/>
      <c r="RD102" s="574"/>
      <c r="RE102" s="574"/>
      <c r="RF102" s="574"/>
      <c r="RG102" s="574"/>
      <c r="RH102" s="574"/>
      <c r="RI102" s="574"/>
      <c r="RJ102" s="574"/>
      <c r="RK102" s="574"/>
      <c r="RL102" s="574"/>
      <c r="RM102" s="574"/>
      <c r="RN102" s="574"/>
      <c r="RO102" s="574"/>
      <c r="RP102" s="574"/>
      <c r="RQ102" s="574"/>
      <c r="RR102" s="574"/>
      <c r="RS102" s="574"/>
      <c r="RT102" s="574"/>
      <c r="RU102" s="574"/>
      <c r="RV102" s="574"/>
      <c r="RW102" s="574"/>
      <c r="RX102" s="574"/>
      <c r="RY102" s="574"/>
      <c r="RZ102" s="574"/>
      <c r="SA102" s="574"/>
      <c r="SB102" s="574"/>
      <c r="SC102" s="574"/>
      <c r="SD102" s="574"/>
      <c r="SE102" s="574"/>
      <c r="SF102" s="574"/>
      <c r="SG102" s="574"/>
      <c r="SH102" s="574"/>
      <c r="SI102" s="574"/>
      <c r="SJ102" s="574"/>
      <c r="SK102" s="574"/>
      <c r="SL102" s="574"/>
      <c r="SM102" s="574"/>
      <c r="SN102" s="574"/>
      <c r="SO102" s="574"/>
      <c r="SP102" s="574"/>
      <c r="SQ102" s="574"/>
      <c r="SR102" s="574"/>
      <c r="SS102" s="574"/>
      <c r="ST102" s="574"/>
      <c r="SU102" s="574"/>
      <c r="SV102" s="574"/>
      <c r="SW102" s="574"/>
      <c r="SX102" s="574"/>
      <c r="SY102" s="574"/>
      <c r="SZ102" s="574"/>
      <c r="TA102" s="574"/>
      <c r="TB102" s="574"/>
      <c r="TC102" s="574"/>
      <c r="TD102" s="574"/>
      <c r="TE102" s="574"/>
      <c r="TF102" s="574"/>
      <c r="TG102" s="574"/>
      <c r="TH102" s="574"/>
      <c r="TI102" s="574"/>
      <c r="TJ102" s="574"/>
      <c r="TK102" s="574"/>
      <c r="TL102" s="574"/>
      <c r="TM102" s="574"/>
      <c r="TN102" s="574"/>
      <c r="TO102" s="574"/>
      <c r="TP102" s="574"/>
      <c r="TQ102" s="574"/>
      <c r="TR102" s="574"/>
      <c r="TS102" s="574"/>
      <c r="TT102" s="574"/>
      <c r="TU102" s="574"/>
      <c r="TV102" s="574"/>
      <c r="TW102" s="574"/>
      <c r="TX102" s="574"/>
      <c r="TY102" s="574"/>
      <c r="TZ102" s="574"/>
      <c r="UA102" s="574"/>
      <c r="UB102" s="574"/>
      <c r="UC102" s="574"/>
      <c r="UD102" s="574"/>
      <c r="UE102" s="574"/>
      <c r="UF102" s="574"/>
      <c r="UG102" s="574"/>
      <c r="UH102" s="574"/>
      <c r="UI102" s="574"/>
      <c r="UJ102" s="574"/>
      <c r="UK102" s="574"/>
      <c r="UL102" s="574"/>
      <c r="UM102" s="574"/>
      <c r="UN102" s="574"/>
      <c r="UO102" s="574"/>
      <c r="UP102" s="574"/>
      <c r="UQ102" s="574"/>
      <c r="UR102" s="574"/>
      <c r="US102" s="574"/>
      <c r="UT102" s="574"/>
      <c r="UU102" s="574"/>
      <c r="UV102" s="574"/>
      <c r="UW102" s="574"/>
      <c r="UX102" s="574"/>
      <c r="UY102" s="574"/>
      <c r="UZ102" s="574"/>
      <c r="VA102" s="574"/>
      <c r="VB102" s="574"/>
      <c r="VC102" s="574"/>
      <c r="VD102" s="574"/>
      <c r="VE102" s="574"/>
      <c r="VF102" s="574"/>
      <c r="VG102" s="574"/>
      <c r="VH102" s="574"/>
      <c r="VI102" s="574"/>
      <c r="VJ102" s="574"/>
      <c r="VK102" s="574"/>
      <c r="VL102" s="574"/>
      <c r="VM102" s="574"/>
      <c r="VN102" s="574"/>
      <c r="VO102" s="574"/>
      <c r="VP102" s="574"/>
      <c r="VQ102" s="574"/>
      <c r="VR102" s="574"/>
      <c r="VS102" s="574"/>
      <c r="VT102" s="574"/>
      <c r="VU102" s="574"/>
      <c r="VV102" s="574"/>
      <c r="VW102" s="574"/>
      <c r="VX102" s="574"/>
      <c r="VY102" s="574"/>
      <c r="VZ102" s="574"/>
      <c r="WA102" s="574"/>
      <c r="WB102" s="574"/>
      <c r="WC102" s="574"/>
      <c r="WD102" s="574"/>
      <c r="WE102" s="574"/>
      <c r="WF102" s="574"/>
      <c r="WG102" s="574"/>
      <c r="WH102" s="574"/>
      <c r="WI102" s="574"/>
      <c r="WJ102" s="574"/>
      <c r="WK102" s="574"/>
      <c r="WL102" s="574"/>
      <c r="WM102" s="574"/>
      <c r="WN102" s="574"/>
      <c r="WO102" s="574"/>
      <c r="WP102" s="574"/>
      <c r="WQ102" s="574"/>
      <c r="WR102" s="574"/>
      <c r="WS102" s="574"/>
      <c r="WT102" s="574"/>
      <c r="WU102" s="574"/>
      <c r="WV102" s="574"/>
      <c r="WW102" s="574"/>
      <c r="WX102" s="574"/>
      <c r="WY102" s="574"/>
      <c r="WZ102" s="574"/>
      <c r="XA102" s="574"/>
      <c r="XB102" s="574"/>
      <c r="XC102" s="574"/>
      <c r="XD102" s="574"/>
      <c r="XE102" s="574"/>
      <c r="XF102" s="574"/>
      <c r="XG102" s="574"/>
      <c r="XH102" s="574"/>
      <c r="XI102" s="574"/>
      <c r="XJ102" s="574"/>
      <c r="XK102" s="574"/>
      <c r="XL102" s="574"/>
      <c r="XM102" s="574"/>
      <c r="XN102" s="574"/>
      <c r="XO102" s="574"/>
      <c r="XP102" s="574"/>
      <c r="XQ102" s="574"/>
      <c r="XR102" s="574"/>
      <c r="XS102" s="574"/>
      <c r="XT102" s="574"/>
      <c r="XU102" s="574"/>
      <c r="XV102" s="574"/>
      <c r="XW102" s="574"/>
      <c r="XX102" s="574"/>
      <c r="XY102" s="574"/>
      <c r="XZ102" s="574"/>
      <c r="YA102" s="574"/>
      <c r="YB102" s="574"/>
      <c r="YC102" s="574"/>
      <c r="YD102" s="574"/>
      <c r="YE102" s="574"/>
      <c r="YF102" s="574"/>
      <c r="YG102" s="574"/>
      <c r="YH102" s="574"/>
      <c r="YI102" s="574"/>
      <c r="YJ102" s="574"/>
      <c r="YK102" s="574"/>
      <c r="YL102" s="574"/>
      <c r="YM102" s="574"/>
      <c r="YN102" s="574"/>
      <c r="YO102" s="574"/>
      <c r="YP102" s="574"/>
      <c r="YQ102" s="574"/>
      <c r="YR102" s="574"/>
      <c r="YS102" s="574"/>
      <c r="YT102" s="574"/>
      <c r="YU102" s="574"/>
      <c r="YV102" s="574"/>
      <c r="YW102" s="574"/>
      <c r="YX102" s="574"/>
      <c r="YY102" s="574"/>
      <c r="YZ102" s="574"/>
      <c r="ZA102" s="574"/>
      <c r="ZB102" s="574"/>
      <c r="ZC102" s="574"/>
      <c r="ZD102" s="574"/>
      <c r="ZE102" s="574"/>
      <c r="ZF102" s="574"/>
      <c r="ZG102" s="574"/>
      <c r="ZH102" s="574"/>
      <c r="ZI102" s="574"/>
      <c r="ZJ102" s="574"/>
      <c r="ZK102" s="574"/>
      <c r="ZL102" s="574"/>
      <c r="ZM102" s="574"/>
      <c r="ZN102" s="574"/>
      <c r="ZO102" s="574"/>
      <c r="ZP102" s="574"/>
      <c r="ZQ102" s="574"/>
      <c r="ZR102" s="574"/>
      <c r="ZS102" s="574"/>
      <c r="ZT102" s="574"/>
      <c r="ZU102" s="574"/>
      <c r="ZV102" s="574"/>
      <c r="ZW102" s="574"/>
      <c r="ZX102" s="574"/>
      <c r="ZY102" s="574"/>
      <c r="ZZ102" s="574"/>
      <c r="AAA102" s="574"/>
      <c r="AAB102" s="574"/>
      <c r="AAC102" s="574"/>
      <c r="AAD102" s="574"/>
      <c r="AAE102" s="574"/>
      <c r="AAF102" s="574"/>
      <c r="AAG102" s="574"/>
      <c r="AAH102" s="574"/>
      <c r="AAI102" s="574"/>
      <c r="AAJ102" s="574"/>
      <c r="AAK102" s="574"/>
      <c r="AAL102" s="574"/>
      <c r="AAM102" s="574"/>
      <c r="AAN102" s="574"/>
      <c r="AAO102" s="574"/>
      <c r="AAP102" s="574"/>
      <c r="AAQ102" s="574"/>
      <c r="AAR102" s="574"/>
      <c r="AAS102" s="574"/>
      <c r="AAT102" s="574"/>
      <c r="AAU102" s="574"/>
      <c r="AAV102" s="574"/>
      <c r="AAW102" s="574"/>
      <c r="AAX102" s="574"/>
      <c r="AAY102" s="574"/>
      <c r="AAZ102" s="574"/>
      <c r="ABA102" s="574"/>
      <c r="ABB102" s="574"/>
      <c r="ABC102" s="574"/>
      <c r="ABD102" s="574"/>
      <c r="ABE102" s="574"/>
      <c r="ABF102" s="574"/>
      <c r="ABG102" s="574"/>
      <c r="ABH102" s="574"/>
      <c r="ABI102" s="574"/>
      <c r="ABJ102" s="574"/>
      <c r="ABK102" s="574"/>
      <c r="ABL102" s="574"/>
      <c r="ABM102" s="574"/>
      <c r="ABN102" s="574"/>
      <c r="ABO102" s="574"/>
      <c r="ABP102" s="574"/>
      <c r="ABQ102" s="574"/>
      <c r="ABR102" s="574"/>
      <c r="ABS102" s="574"/>
      <c r="ABT102" s="574"/>
      <c r="ABU102" s="574"/>
      <c r="ABV102" s="574"/>
      <c r="ABW102" s="574"/>
      <c r="ABX102" s="574"/>
      <c r="ABY102" s="574"/>
      <c r="ABZ102" s="574"/>
      <c r="ACA102" s="574"/>
      <c r="ACB102" s="574"/>
      <c r="ACC102" s="574"/>
      <c r="ACD102" s="574"/>
      <c r="ACE102" s="574"/>
      <c r="ACF102" s="574"/>
      <c r="ACG102" s="574"/>
      <c r="ACH102" s="574"/>
      <c r="ACI102" s="574"/>
      <c r="ACJ102" s="574"/>
      <c r="ACK102" s="574"/>
      <c r="ACL102" s="574"/>
      <c r="ACM102" s="574"/>
      <c r="ACN102" s="574"/>
      <c r="ACO102" s="574"/>
      <c r="ACP102" s="574"/>
      <c r="ACQ102" s="574"/>
      <c r="ACR102" s="574"/>
      <c r="ACS102" s="574"/>
      <c r="ACT102" s="574"/>
      <c r="ACU102" s="574"/>
      <c r="ACV102" s="574"/>
      <c r="ACW102" s="574"/>
      <c r="ACX102" s="574"/>
      <c r="ACY102" s="574"/>
      <c r="ACZ102" s="574"/>
      <c r="ADA102" s="574"/>
      <c r="ADB102" s="574"/>
      <c r="ADC102" s="574"/>
      <c r="ADD102" s="574"/>
      <c r="ADE102" s="574"/>
      <c r="ADF102" s="574"/>
      <c r="ADG102" s="574"/>
      <c r="ADH102" s="574"/>
      <c r="ADI102" s="574"/>
      <c r="ADJ102" s="574"/>
      <c r="ADK102" s="574"/>
      <c r="ADL102" s="574"/>
      <c r="ADM102" s="574"/>
      <c r="ADN102" s="574"/>
      <c r="ADO102" s="574"/>
      <c r="ADP102" s="574"/>
      <c r="ADQ102" s="574"/>
      <c r="ADR102" s="574"/>
      <c r="ADS102" s="574"/>
      <c r="ADT102" s="574"/>
      <c r="ADU102" s="574"/>
      <c r="ADV102" s="574"/>
      <c r="ADW102" s="574"/>
      <c r="ADX102" s="574"/>
      <c r="ADY102" s="574"/>
      <c r="ADZ102" s="574"/>
      <c r="AEA102" s="574"/>
      <c r="AEB102" s="574"/>
      <c r="AEC102" s="574"/>
      <c r="AED102" s="574"/>
      <c r="AEE102" s="574"/>
      <c r="AEF102" s="574"/>
      <c r="AEG102" s="574"/>
      <c r="AEH102" s="574"/>
      <c r="AEI102" s="574"/>
      <c r="AEJ102" s="574"/>
      <c r="AEK102" s="574"/>
      <c r="AEL102" s="574"/>
      <c r="AEM102" s="574"/>
      <c r="AEN102" s="574"/>
      <c r="AEO102" s="574"/>
      <c r="AEP102" s="574"/>
      <c r="AEQ102" s="574"/>
      <c r="AER102" s="574"/>
      <c r="AES102" s="574"/>
      <c r="AET102" s="574"/>
      <c r="AEU102" s="574"/>
      <c r="AEV102" s="574"/>
      <c r="AEW102" s="574"/>
      <c r="AEX102" s="574"/>
      <c r="AEY102" s="574"/>
      <c r="AEZ102" s="574"/>
      <c r="AFA102" s="574"/>
      <c r="AFB102" s="574"/>
      <c r="AFC102" s="574"/>
      <c r="AFD102" s="574"/>
      <c r="AFE102" s="574"/>
      <c r="AFF102" s="574"/>
      <c r="AFG102" s="574"/>
      <c r="AFH102" s="574"/>
      <c r="AFI102" s="574"/>
      <c r="AFJ102" s="574"/>
      <c r="AFK102" s="574"/>
      <c r="AFL102" s="574"/>
      <c r="AFM102" s="574"/>
      <c r="AFN102" s="574"/>
      <c r="AFO102" s="574"/>
      <c r="AFP102" s="574"/>
      <c r="AFQ102" s="574"/>
      <c r="AFR102" s="574"/>
      <c r="AFS102" s="574"/>
      <c r="AFT102" s="574"/>
      <c r="AFU102" s="574"/>
      <c r="AFV102" s="574"/>
      <c r="AFW102" s="574"/>
      <c r="AFX102" s="574"/>
      <c r="AFY102" s="574"/>
      <c r="AFZ102" s="574"/>
      <c r="AGA102" s="574"/>
      <c r="AGB102" s="574"/>
      <c r="AGC102" s="574"/>
      <c r="AGD102" s="574"/>
      <c r="AGE102" s="574"/>
      <c r="AGF102" s="574"/>
      <c r="AGG102" s="574"/>
      <c r="AGH102" s="574"/>
      <c r="AGI102" s="574"/>
      <c r="AGJ102" s="574"/>
      <c r="AGK102" s="574"/>
      <c r="AGL102" s="574"/>
      <c r="AGM102" s="574"/>
      <c r="AGN102" s="574"/>
      <c r="AGO102" s="574"/>
      <c r="AGP102" s="574"/>
      <c r="AGQ102" s="574"/>
      <c r="AGR102" s="574"/>
      <c r="AGS102" s="574"/>
      <c r="AGT102" s="574"/>
      <c r="AGU102" s="574"/>
      <c r="AGV102" s="574"/>
      <c r="AGW102" s="574"/>
      <c r="AGX102" s="574"/>
      <c r="AGY102" s="574"/>
      <c r="AGZ102" s="574"/>
      <c r="AHA102" s="574"/>
      <c r="AHB102" s="574"/>
      <c r="AHC102" s="574"/>
      <c r="AHD102" s="574"/>
      <c r="AHE102" s="574"/>
      <c r="AHF102" s="574"/>
      <c r="AHG102" s="574"/>
      <c r="AHH102" s="574"/>
      <c r="AHI102" s="574"/>
      <c r="AHJ102" s="574"/>
      <c r="AHK102" s="574"/>
      <c r="AHL102" s="574"/>
      <c r="AHM102" s="574"/>
      <c r="AHN102" s="574"/>
      <c r="AHO102" s="574"/>
      <c r="AHP102" s="574"/>
      <c r="AHQ102" s="574"/>
      <c r="AHR102" s="574"/>
      <c r="AHS102" s="574"/>
      <c r="AHT102" s="574"/>
      <c r="AHU102" s="574"/>
      <c r="AHV102" s="574"/>
      <c r="AHW102" s="574"/>
      <c r="AHX102" s="574"/>
      <c r="AHY102" s="574"/>
      <c r="AHZ102" s="574"/>
      <c r="AIA102" s="574"/>
      <c r="AIB102" s="574"/>
      <c r="AIC102" s="574"/>
      <c r="AID102" s="574"/>
      <c r="AIE102" s="574"/>
      <c r="AIF102" s="574"/>
      <c r="AIG102" s="574"/>
      <c r="AIH102" s="574"/>
      <c r="AII102" s="574"/>
      <c r="AIJ102" s="574"/>
      <c r="AIK102" s="574"/>
      <c r="AIL102" s="574"/>
      <c r="AIM102" s="574"/>
      <c r="AIN102" s="574"/>
      <c r="AIO102" s="574"/>
      <c r="AIP102" s="574"/>
      <c r="AIQ102" s="574"/>
      <c r="AIR102" s="574"/>
      <c r="AIS102" s="574"/>
      <c r="AIT102" s="574"/>
      <c r="AIU102" s="574"/>
      <c r="AIV102" s="574"/>
      <c r="AIW102" s="574"/>
      <c r="AIX102" s="574"/>
      <c r="AIY102" s="574"/>
      <c r="AIZ102" s="574"/>
      <c r="AJA102" s="574"/>
      <c r="AJB102" s="574"/>
      <c r="AJC102" s="574"/>
    </row>
    <row r="103" spans="1:940" s="546" customFormat="1">
      <c r="A103" s="308"/>
      <c r="B103" s="308"/>
      <c r="C103" s="308"/>
      <c r="D103" s="312"/>
      <c r="E103" s="312"/>
      <c r="F103" s="312"/>
      <c r="G103" s="312"/>
      <c r="H103" s="312"/>
      <c r="I103" s="312"/>
      <c r="J103" s="312"/>
      <c r="K103" s="312"/>
      <c r="L103" s="312"/>
      <c r="M103" s="312"/>
      <c r="N103" s="312"/>
      <c r="O103" s="312"/>
      <c r="P103" s="312"/>
      <c r="Q103" s="312"/>
      <c r="R103" s="312"/>
      <c r="S103" s="312"/>
      <c r="T103" s="575"/>
      <c r="U103" s="308"/>
      <c r="V103" s="576"/>
      <c r="W103" s="577"/>
      <c r="X103" s="308"/>
      <c r="Y103" s="308"/>
      <c r="Z103" s="308"/>
      <c r="AA103" s="308"/>
      <c r="AB103" s="544"/>
      <c r="AC103" s="544"/>
      <c r="AD103" s="544"/>
      <c r="AE103" s="544"/>
      <c r="AF103" s="544"/>
      <c r="AG103" s="544"/>
      <c r="AH103" s="544"/>
      <c r="AI103" s="544"/>
      <c r="AJ103" s="544"/>
      <c r="AK103" s="544"/>
      <c r="AL103" s="308"/>
      <c r="AM103" s="308"/>
      <c r="AN103" s="544"/>
      <c r="AO103" s="544"/>
      <c r="AP103" s="308"/>
      <c r="AQ103" s="308"/>
      <c r="AR103" s="308"/>
      <c r="AS103" s="308"/>
      <c r="AT103" s="544"/>
      <c r="AU103" s="308"/>
      <c r="AV103" s="308"/>
      <c r="AW103" s="308"/>
      <c r="AX103" s="308"/>
      <c r="AY103" s="544"/>
      <c r="AZ103" s="308"/>
      <c r="BA103" s="308"/>
      <c r="BB103" s="308"/>
      <c r="BC103" s="308"/>
      <c r="BD103" s="308"/>
      <c r="BE103" s="308"/>
      <c r="BF103" s="308"/>
      <c r="BG103" s="308"/>
      <c r="BH103" s="308"/>
      <c r="BI103" s="308"/>
      <c r="BJ103" s="308"/>
      <c r="BK103" s="308"/>
      <c r="BL103" s="308"/>
      <c r="BM103" s="308"/>
      <c r="BN103" s="308"/>
      <c r="BO103" s="308"/>
      <c r="BP103" s="308"/>
      <c r="BQ103" s="308"/>
      <c r="BR103" s="308"/>
      <c r="BS103" s="308"/>
      <c r="BT103" s="308"/>
      <c r="BU103" s="308"/>
      <c r="BV103" s="308"/>
      <c r="BW103" s="308"/>
      <c r="BX103" s="308"/>
      <c r="BY103" s="308"/>
      <c r="BZ103" s="308"/>
      <c r="CA103" s="308"/>
      <c r="CB103" s="308"/>
      <c r="CC103" s="308"/>
      <c r="CD103" s="308"/>
      <c r="CE103" s="308"/>
      <c r="CF103" s="308"/>
      <c r="CG103" s="308"/>
      <c r="CH103" s="308"/>
      <c r="CI103" s="308"/>
      <c r="CJ103" s="308"/>
      <c r="CK103" s="308"/>
      <c r="CL103" s="308"/>
      <c r="CM103" s="308"/>
      <c r="CN103" s="308"/>
      <c r="CO103" s="308"/>
      <c r="CP103" s="308"/>
      <c r="CQ103" s="308"/>
      <c r="CR103" s="308"/>
      <c r="CS103" s="308"/>
      <c r="CT103" s="308"/>
      <c r="CU103" s="308"/>
      <c r="CV103" s="308"/>
      <c r="CW103" s="308"/>
      <c r="CX103" s="308"/>
      <c r="CY103" s="308"/>
      <c r="CZ103" s="308"/>
      <c r="DA103" s="308"/>
      <c r="DB103" s="308"/>
      <c r="DC103" s="308"/>
      <c r="DD103" s="308"/>
      <c r="DE103" s="308"/>
      <c r="DF103" s="308"/>
      <c r="DG103" s="308"/>
      <c r="DH103" s="308"/>
      <c r="DI103" s="308"/>
      <c r="DJ103" s="308"/>
      <c r="DK103" s="308"/>
      <c r="DL103" s="308"/>
      <c r="DM103" s="308"/>
      <c r="DN103" s="308"/>
      <c r="DO103" s="308"/>
      <c r="DP103" s="308"/>
      <c r="DQ103" s="308"/>
      <c r="DR103" s="308"/>
      <c r="DS103" s="308"/>
      <c r="DT103" s="308"/>
      <c r="DU103" s="308"/>
      <c r="DV103" s="308"/>
      <c r="DW103" s="308"/>
      <c r="DX103" s="308"/>
      <c r="DY103" s="308"/>
      <c r="DZ103" s="308"/>
      <c r="EA103" s="308"/>
      <c r="EB103" s="308"/>
      <c r="EC103" s="308"/>
      <c r="ED103" s="308"/>
      <c r="EE103" s="308"/>
      <c r="EF103" s="308"/>
      <c r="EG103" s="308"/>
      <c r="EH103" s="308"/>
      <c r="EI103" s="308"/>
      <c r="EJ103" s="308"/>
      <c r="EK103" s="308"/>
      <c r="EL103" s="308"/>
      <c r="EM103" s="308"/>
      <c r="EN103" s="308"/>
      <c r="EO103" s="308"/>
      <c r="EP103" s="308"/>
      <c r="EQ103" s="308"/>
      <c r="ER103" s="308"/>
      <c r="ES103" s="308"/>
      <c r="ET103" s="308"/>
      <c r="EU103" s="308"/>
      <c r="EV103" s="308"/>
      <c r="EW103" s="308"/>
      <c r="EX103" s="308"/>
      <c r="EY103" s="308"/>
      <c r="EZ103" s="308"/>
      <c r="FA103" s="308"/>
      <c r="FB103" s="308"/>
      <c r="FC103" s="308"/>
      <c r="FD103" s="308"/>
      <c r="FE103" s="308"/>
      <c r="FF103" s="308"/>
      <c r="FG103" s="308"/>
      <c r="FH103" s="308"/>
      <c r="FI103" s="308"/>
      <c r="FJ103" s="308"/>
      <c r="FK103" s="308"/>
      <c r="FL103" s="308"/>
      <c r="FM103" s="308"/>
      <c r="FN103" s="308"/>
      <c r="FO103" s="308"/>
      <c r="FP103" s="308"/>
      <c r="FQ103" s="308"/>
      <c r="FR103" s="308"/>
      <c r="FS103" s="308"/>
      <c r="FT103" s="308"/>
      <c r="FU103" s="308"/>
      <c r="FV103" s="308"/>
      <c r="FW103" s="308"/>
      <c r="FX103" s="308"/>
      <c r="FY103" s="308"/>
      <c r="FZ103" s="308"/>
      <c r="GA103" s="308"/>
      <c r="GB103" s="308"/>
      <c r="GC103" s="308"/>
      <c r="GD103" s="308"/>
      <c r="GE103" s="308"/>
      <c r="GF103" s="308"/>
      <c r="GG103" s="308"/>
      <c r="GH103" s="308"/>
      <c r="GI103" s="308"/>
      <c r="GJ103" s="308"/>
      <c r="GK103" s="308"/>
      <c r="GL103" s="308"/>
      <c r="GM103" s="308"/>
      <c r="GN103" s="308"/>
      <c r="GO103" s="308"/>
      <c r="GP103" s="308"/>
      <c r="GQ103" s="308"/>
      <c r="GR103" s="308"/>
      <c r="GS103" s="308"/>
      <c r="GT103" s="308"/>
      <c r="GU103" s="308"/>
      <c r="GV103" s="308"/>
      <c r="GW103" s="308"/>
      <c r="GX103" s="308"/>
      <c r="GY103" s="308"/>
      <c r="GZ103" s="308"/>
      <c r="HA103" s="308"/>
      <c r="HB103" s="308"/>
      <c r="HC103" s="308"/>
      <c r="HD103" s="308"/>
      <c r="HE103" s="308"/>
      <c r="HF103" s="308"/>
      <c r="HG103" s="308"/>
      <c r="HH103" s="308"/>
      <c r="HI103" s="308"/>
      <c r="HJ103" s="308"/>
      <c r="HK103" s="308"/>
      <c r="HL103" s="308"/>
      <c r="HM103" s="308"/>
      <c r="HN103" s="308"/>
      <c r="HO103" s="308"/>
      <c r="HP103" s="308"/>
      <c r="HQ103" s="308"/>
      <c r="HR103" s="308"/>
      <c r="HS103" s="308"/>
      <c r="HT103" s="308"/>
      <c r="HU103" s="308"/>
      <c r="HV103" s="308"/>
      <c r="HW103" s="308"/>
      <c r="HX103" s="308"/>
      <c r="HY103" s="308"/>
      <c r="HZ103" s="308"/>
      <c r="IA103" s="308"/>
      <c r="IB103" s="308"/>
      <c r="IC103" s="308"/>
      <c r="ID103" s="308"/>
      <c r="IE103" s="308"/>
      <c r="IF103" s="308"/>
      <c r="IG103" s="308"/>
      <c r="IH103" s="308"/>
      <c r="II103" s="308"/>
      <c r="IJ103" s="308"/>
      <c r="IK103" s="308"/>
      <c r="IL103" s="308"/>
      <c r="IM103" s="308"/>
      <c r="IN103" s="308"/>
      <c r="IO103" s="308"/>
      <c r="IP103" s="308"/>
      <c r="IQ103" s="308"/>
      <c r="IR103" s="308"/>
      <c r="IS103" s="308"/>
      <c r="IT103" s="308"/>
      <c r="IU103" s="308"/>
      <c r="IV103" s="308"/>
      <c r="IW103" s="308"/>
      <c r="IX103" s="308"/>
      <c r="IY103" s="308"/>
      <c r="IZ103" s="308"/>
      <c r="JA103" s="308"/>
      <c r="JB103" s="308"/>
      <c r="JC103" s="308"/>
      <c r="JD103" s="308"/>
      <c r="JE103" s="308"/>
      <c r="JF103" s="308"/>
      <c r="JG103" s="308"/>
      <c r="JH103" s="308"/>
      <c r="JI103" s="308"/>
      <c r="JJ103" s="308"/>
      <c r="JK103" s="308"/>
      <c r="JL103" s="308"/>
      <c r="JM103" s="308"/>
      <c r="JN103" s="308"/>
      <c r="JO103" s="308"/>
      <c r="JP103" s="308"/>
      <c r="JQ103" s="308"/>
      <c r="JR103" s="308"/>
      <c r="JS103" s="308"/>
      <c r="JT103" s="308"/>
      <c r="JU103" s="308"/>
      <c r="JV103" s="308"/>
      <c r="JW103" s="308"/>
      <c r="JX103" s="308"/>
      <c r="JY103" s="308"/>
      <c r="JZ103" s="308"/>
      <c r="KA103" s="308"/>
      <c r="KB103" s="308"/>
      <c r="KC103" s="308"/>
      <c r="KD103" s="308"/>
      <c r="KE103" s="308"/>
      <c r="KF103" s="308"/>
      <c r="KG103" s="308"/>
      <c r="KH103" s="308"/>
      <c r="KI103" s="308"/>
      <c r="KJ103" s="308"/>
      <c r="KK103" s="308"/>
      <c r="KL103" s="308"/>
      <c r="KM103" s="308"/>
      <c r="KN103" s="308"/>
      <c r="KO103" s="308"/>
      <c r="KP103" s="308"/>
      <c r="KQ103" s="308"/>
      <c r="KR103" s="308"/>
      <c r="KS103" s="308"/>
      <c r="KT103" s="308"/>
      <c r="KU103" s="308"/>
      <c r="KV103" s="308"/>
      <c r="KW103" s="308"/>
      <c r="KX103" s="308"/>
      <c r="KY103" s="308"/>
      <c r="KZ103" s="308"/>
      <c r="LA103" s="308"/>
      <c r="LB103" s="308"/>
      <c r="LC103" s="308"/>
      <c r="LD103" s="308"/>
      <c r="LE103" s="308"/>
      <c r="LF103" s="308"/>
      <c r="LG103" s="308"/>
      <c r="LH103" s="308"/>
      <c r="LI103" s="308"/>
      <c r="LJ103" s="308"/>
      <c r="LK103" s="308"/>
      <c r="LL103" s="308"/>
      <c r="LM103" s="308"/>
      <c r="LN103" s="308"/>
      <c r="LO103" s="308"/>
      <c r="LP103" s="308"/>
      <c r="LQ103" s="308"/>
      <c r="LR103" s="308"/>
      <c r="LS103" s="308"/>
      <c r="LT103" s="308"/>
      <c r="LU103" s="308"/>
      <c r="LV103" s="308"/>
      <c r="LW103" s="308"/>
      <c r="LX103" s="308"/>
      <c r="LY103" s="308"/>
      <c r="LZ103" s="308"/>
      <c r="MA103" s="308"/>
      <c r="MB103" s="308"/>
      <c r="MC103" s="308"/>
      <c r="MD103" s="308"/>
      <c r="ME103" s="308"/>
      <c r="MF103" s="308"/>
      <c r="MG103" s="308"/>
      <c r="MH103" s="308"/>
      <c r="MI103" s="308"/>
      <c r="MJ103" s="308"/>
      <c r="MK103" s="308"/>
      <c r="ML103" s="308"/>
      <c r="MM103" s="308"/>
      <c r="MN103" s="308"/>
      <c r="MO103" s="308"/>
      <c r="MP103" s="308"/>
      <c r="MQ103" s="308"/>
      <c r="MR103" s="308"/>
      <c r="MS103" s="308"/>
      <c r="MT103" s="308"/>
      <c r="MU103" s="308"/>
      <c r="MV103" s="308"/>
      <c r="MW103" s="308"/>
      <c r="MX103" s="308"/>
      <c r="MY103" s="308"/>
      <c r="MZ103" s="308"/>
      <c r="NA103" s="308"/>
      <c r="NB103" s="308"/>
      <c r="NC103" s="308"/>
      <c r="ND103" s="308"/>
      <c r="NE103" s="308"/>
      <c r="NF103" s="308"/>
      <c r="NG103" s="308"/>
      <c r="NH103" s="308"/>
      <c r="NI103" s="308"/>
      <c r="NJ103" s="308"/>
      <c r="NK103" s="308"/>
      <c r="NL103" s="308"/>
      <c r="NM103" s="308"/>
      <c r="NN103" s="308"/>
      <c r="NO103" s="308"/>
      <c r="NP103" s="308"/>
      <c r="NQ103" s="308"/>
      <c r="NR103" s="308"/>
      <c r="NS103" s="308"/>
      <c r="NT103" s="308"/>
      <c r="NU103" s="308"/>
      <c r="NV103" s="308"/>
      <c r="NW103" s="308"/>
      <c r="NX103" s="308"/>
      <c r="NY103" s="308"/>
      <c r="NZ103" s="308"/>
      <c r="OA103" s="308"/>
      <c r="OB103" s="308"/>
      <c r="OC103" s="308"/>
      <c r="OD103" s="308"/>
      <c r="OE103" s="308"/>
      <c r="OF103" s="308"/>
      <c r="OG103" s="308"/>
      <c r="OH103" s="308"/>
      <c r="OI103" s="308"/>
      <c r="OJ103" s="308"/>
      <c r="OK103" s="308"/>
      <c r="OL103" s="308"/>
      <c r="OM103" s="308"/>
      <c r="ON103" s="308"/>
      <c r="OO103" s="308"/>
      <c r="OP103" s="308"/>
      <c r="OQ103" s="308"/>
      <c r="OR103" s="308"/>
      <c r="OS103" s="308"/>
      <c r="OT103" s="308"/>
      <c r="OU103" s="308"/>
      <c r="OV103" s="308"/>
      <c r="OW103" s="308"/>
      <c r="OX103" s="308"/>
      <c r="OY103" s="308"/>
      <c r="OZ103" s="308"/>
      <c r="PA103" s="308"/>
      <c r="PB103" s="308"/>
      <c r="PC103" s="308"/>
      <c r="PD103" s="308"/>
      <c r="PE103" s="308"/>
      <c r="PF103" s="308"/>
      <c r="PG103" s="308"/>
      <c r="PH103" s="308"/>
      <c r="PI103" s="308"/>
      <c r="PJ103" s="308"/>
      <c r="PK103" s="308"/>
      <c r="PL103" s="308"/>
      <c r="PM103" s="308"/>
      <c r="PN103" s="308"/>
      <c r="PO103" s="308"/>
      <c r="PP103" s="308"/>
      <c r="PQ103" s="308"/>
      <c r="PR103" s="308"/>
      <c r="PS103" s="308"/>
      <c r="PT103" s="308"/>
      <c r="PU103" s="308"/>
      <c r="PV103" s="308"/>
      <c r="PW103" s="308"/>
      <c r="PX103" s="308"/>
      <c r="PY103" s="308"/>
      <c r="PZ103" s="308"/>
      <c r="QA103" s="308"/>
      <c r="QB103" s="308"/>
      <c r="QC103" s="308"/>
      <c r="QD103" s="308"/>
      <c r="QE103" s="308"/>
      <c r="QF103" s="308"/>
      <c r="QG103" s="308"/>
      <c r="QH103" s="308"/>
      <c r="QI103" s="308"/>
      <c r="QJ103" s="308"/>
      <c r="QK103" s="308"/>
      <c r="QL103" s="308"/>
      <c r="QM103" s="308"/>
      <c r="QN103" s="308"/>
      <c r="QO103" s="308"/>
      <c r="QP103" s="308"/>
      <c r="QQ103" s="308"/>
      <c r="QR103" s="308"/>
      <c r="QS103" s="308"/>
      <c r="QT103" s="308"/>
      <c r="QU103" s="308"/>
      <c r="QV103" s="308"/>
      <c r="QW103" s="308"/>
      <c r="QX103" s="308"/>
      <c r="QY103" s="308"/>
      <c r="QZ103" s="308"/>
      <c r="RA103" s="308"/>
      <c r="RB103" s="308"/>
      <c r="RC103" s="308"/>
      <c r="RD103" s="308"/>
      <c r="RE103" s="308"/>
      <c r="RF103" s="308"/>
      <c r="RG103" s="308"/>
      <c r="RH103" s="308"/>
      <c r="RI103" s="308"/>
      <c r="RJ103" s="308"/>
      <c r="RK103" s="308"/>
      <c r="RL103" s="308"/>
      <c r="RM103" s="308"/>
      <c r="RN103" s="308"/>
      <c r="RO103" s="308"/>
      <c r="RP103" s="308"/>
      <c r="RQ103" s="308"/>
      <c r="RR103" s="308"/>
      <c r="RS103" s="308"/>
      <c r="RT103" s="308"/>
      <c r="RU103" s="308"/>
      <c r="RV103" s="308"/>
      <c r="RW103" s="308"/>
      <c r="RX103" s="308"/>
      <c r="RY103" s="308"/>
      <c r="RZ103" s="308"/>
      <c r="SA103" s="308"/>
      <c r="SB103" s="308"/>
      <c r="SC103" s="308"/>
      <c r="SD103" s="308"/>
      <c r="SE103" s="308"/>
      <c r="SF103" s="308"/>
      <c r="SG103" s="308"/>
      <c r="SH103" s="308"/>
      <c r="SI103" s="308"/>
      <c r="SJ103" s="308"/>
      <c r="SK103" s="308"/>
      <c r="SL103" s="308"/>
      <c r="SM103" s="308"/>
      <c r="SN103" s="308"/>
      <c r="SO103" s="308"/>
      <c r="SP103" s="308"/>
      <c r="SQ103" s="308"/>
      <c r="SR103" s="308"/>
      <c r="SS103" s="308"/>
      <c r="ST103" s="308"/>
      <c r="SU103" s="308"/>
      <c r="SV103" s="308"/>
      <c r="SW103" s="308"/>
      <c r="SX103" s="308"/>
      <c r="SY103" s="308"/>
      <c r="SZ103" s="308"/>
      <c r="TA103" s="308"/>
      <c r="TB103" s="308"/>
      <c r="TC103" s="308"/>
      <c r="TD103" s="308"/>
      <c r="TE103" s="308"/>
      <c r="TF103" s="308"/>
      <c r="TG103" s="308"/>
      <c r="TH103" s="308"/>
      <c r="TI103" s="308"/>
      <c r="TJ103" s="308"/>
      <c r="TK103" s="308"/>
      <c r="TL103" s="308"/>
      <c r="TM103" s="308"/>
      <c r="TN103" s="308"/>
      <c r="TO103" s="308"/>
      <c r="TP103" s="308"/>
      <c r="TQ103" s="308"/>
      <c r="TR103" s="308"/>
      <c r="TS103" s="308"/>
      <c r="TT103" s="308"/>
      <c r="TU103" s="308"/>
      <c r="TV103" s="308"/>
      <c r="TW103" s="308"/>
      <c r="TX103" s="308"/>
      <c r="TY103" s="308"/>
      <c r="TZ103" s="308"/>
      <c r="UA103" s="308"/>
      <c r="UB103" s="308"/>
      <c r="UC103" s="308"/>
      <c r="UD103" s="308"/>
      <c r="UE103" s="308"/>
      <c r="UF103" s="308"/>
      <c r="UG103" s="308"/>
      <c r="UH103" s="308"/>
      <c r="UI103" s="308"/>
      <c r="UJ103" s="308"/>
      <c r="UK103" s="308"/>
      <c r="UL103" s="308"/>
      <c r="UM103" s="308"/>
      <c r="UN103" s="308"/>
      <c r="UO103" s="308"/>
      <c r="UP103" s="308"/>
      <c r="UQ103" s="308"/>
      <c r="UR103" s="308"/>
      <c r="US103" s="308"/>
      <c r="UT103" s="308"/>
      <c r="UU103" s="308"/>
      <c r="UV103" s="308"/>
      <c r="UW103" s="308"/>
      <c r="UX103" s="308"/>
      <c r="UY103" s="308"/>
      <c r="UZ103" s="308"/>
      <c r="VA103" s="308"/>
      <c r="VB103" s="308"/>
      <c r="VC103" s="308"/>
      <c r="VD103" s="308"/>
      <c r="VE103" s="308"/>
      <c r="VF103" s="308"/>
      <c r="VG103" s="308"/>
      <c r="VH103" s="308"/>
      <c r="VI103" s="308"/>
      <c r="VJ103" s="308"/>
      <c r="VK103" s="308"/>
      <c r="VL103" s="308"/>
      <c r="VM103" s="308"/>
      <c r="VN103" s="308"/>
      <c r="VO103" s="308"/>
      <c r="VP103" s="308"/>
      <c r="VQ103" s="308"/>
      <c r="VR103" s="308"/>
      <c r="VS103" s="308"/>
      <c r="VT103" s="308"/>
      <c r="VU103" s="308"/>
      <c r="VV103" s="308"/>
      <c r="VW103" s="308"/>
      <c r="VX103" s="308"/>
      <c r="VY103" s="308"/>
      <c r="VZ103" s="308"/>
      <c r="WA103" s="308"/>
      <c r="WB103" s="308"/>
      <c r="WC103" s="308"/>
      <c r="WD103" s="308"/>
      <c r="WE103" s="308"/>
      <c r="WF103" s="308"/>
      <c r="WG103" s="308"/>
      <c r="WH103" s="308"/>
      <c r="WI103" s="308"/>
      <c r="WJ103" s="308"/>
      <c r="WK103" s="308"/>
      <c r="WL103" s="308"/>
      <c r="WM103" s="308"/>
      <c r="WN103" s="308"/>
      <c r="WO103" s="308"/>
      <c r="WP103" s="308"/>
      <c r="WQ103" s="308"/>
      <c r="WR103" s="308"/>
      <c r="WS103" s="308"/>
      <c r="WT103" s="308"/>
      <c r="WU103" s="308"/>
      <c r="WV103" s="308"/>
      <c r="WW103" s="308"/>
      <c r="WX103" s="308"/>
      <c r="WY103" s="308"/>
      <c r="WZ103" s="308"/>
      <c r="XA103" s="308"/>
      <c r="XB103" s="308"/>
      <c r="XC103" s="308"/>
      <c r="XD103" s="308"/>
      <c r="XE103" s="308"/>
      <c r="XF103" s="308"/>
      <c r="XG103" s="308"/>
      <c r="XH103" s="308"/>
      <c r="XI103" s="308"/>
      <c r="XJ103" s="308"/>
      <c r="XK103" s="308"/>
      <c r="XL103" s="308"/>
      <c r="XM103" s="308"/>
      <c r="XN103" s="308"/>
      <c r="XO103" s="308"/>
      <c r="XP103" s="308"/>
      <c r="XQ103" s="308"/>
      <c r="XR103" s="308"/>
      <c r="XS103" s="308"/>
      <c r="XT103" s="308"/>
      <c r="XU103" s="308"/>
      <c r="XV103" s="308"/>
      <c r="XW103" s="308"/>
      <c r="XX103" s="308"/>
      <c r="XY103" s="308"/>
      <c r="XZ103" s="308"/>
      <c r="YA103" s="308"/>
      <c r="YB103" s="308"/>
      <c r="YC103" s="308"/>
      <c r="YD103" s="308"/>
      <c r="YE103" s="308"/>
      <c r="YF103" s="308"/>
      <c r="YG103" s="308"/>
      <c r="YH103" s="308"/>
      <c r="YI103" s="308"/>
      <c r="YJ103" s="308"/>
      <c r="YK103" s="308"/>
      <c r="YL103" s="308"/>
      <c r="YM103" s="308"/>
      <c r="YN103" s="308"/>
      <c r="YO103" s="308"/>
      <c r="YP103" s="308"/>
      <c r="YQ103" s="308"/>
      <c r="YR103" s="308"/>
      <c r="YS103" s="308"/>
      <c r="YT103" s="308"/>
      <c r="YU103" s="308"/>
      <c r="YV103" s="308"/>
      <c r="YW103" s="308"/>
      <c r="YX103" s="308"/>
      <c r="YY103" s="308"/>
      <c r="YZ103" s="308"/>
      <c r="ZA103" s="308"/>
      <c r="ZB103" s="308"/>
      <c r="ZC103" s="308"/>
      <c r="ZD103" s="308"/>
      <c r="ZE103" s="308"/>
      <c r="ZF103" s="308"/>
      <c r="ZG103" s="308"/>
      <c r="ZH103" s="308"/>
      <c r="ZI103" s="308"/>
      <c r="ZJ103" s="308"/>
      <c r="ZK103" s="308"/>
      <c r="ZL103" s="308"/>
      <c r="ZM103" s="308"/>
      <c r="ZN103" s="308"/>
      <c r="ZO103" s="308"/>
      <c r="ZP103" s="308"/>
      <c r="ZQ103" s="308"/>
      <c r="ZR103" s="308"/>
      <c r="ZS103" s="308"/>
      <c r="ZT103" s="308"/>
      <c r="ZU103" s="308"/>
      <c r="ZV103" s="308"/>
      <c r="ZW103" s="308"/>
      <c r="ZX103" s="308"/>
      <c r="ZY103" s="308"/>
      <c r="ZZ103" s="308"/>
      <c r="AAA103" s="308"/>
      <c r="AAB103" s="308"/>
      <c r="AAC103" s="308"/>
      <c r="AAD103" s="308"/>
      <c r="AAE103" s="308"/>
      <c r="AAF103" s="308"/>
      <c r="AAG103" s="308"/>
      <c r="AAH103" s="308"/>
      <c r="AAI103" s="308"/>
      <c r="AAJ103" s="308"/>
      <c r="AAK103" s="308"/>
      <c r="AAL103" s="308"/>
      <c r="AAM103" s="308"/>
      <c r="AAN103" s="308"/>
      <c r="AAO103" s="308"/>
      <c r="AAP103" s="308"/>
      <c r="AAQ103" s="308"/>
      <c r="AAR103" s="308"/>
      <c r="AAS103" s="308"/>
      <c r="AAT103" s="308"/>
      <c r="AAU103" s="308"/>
      <c r="AAV103" s="308"/>
      <c r="AAW103" s="308"/>
      <c r="AAX103" s="308"/>
      <c r="AAY103" s="308"/>
      <c r="AAZ103" s="308"/>
      <c r="ABA103" s="308"/>
      <c r="ABB103" s="308"/>
      <c r="ABC103" s="308"/>
      <c r="ABD103" s="308"/>
      <c r="ABE103" s="308"/>
      <c r="ABF103" s="308"/>
      <c r="ABG103" s="308"/>
      <c r="ABH103" s="308"/>
      <c r="ABI103" s="308"/>
      <c r="ABJ103" s="308"/>
      <c r="ABK103" s="308"/>
      <c r="ABL103" s="308"/>
      <c r="ABM103" s="308"/>
      <c r="ABN103" s="308"/>
      <c r="ABO103" s="308"/>
      <c r="ABP103" s="308"/>
      <c r="ABQ103" s="308"/>
      <c r="ABR103" s="308"/>
      <c r="ABS103" s="308"/>
      <c r="ABT103" s="308"/>
      <c r="ABU103" s="308"/>
      <c r="ABV103" s="308"/>
      <c r="ABW103" s="308"/>
      <c r="ABX103" s="308"/>
      <c r="ABY103" s="308"/>
      <c r="ABZ103" s="308"/>
      <c r="ACA103" s="308"/>
      <c r="ACB103" s="308"/>
      <c r="ACC103" s="308"/>
      <c r="ACD103" s="308"/>
      <c r="ACE103" s="308"/>
      <c r="ACF103" s="308"/>
      <c r="ACG103" s="308"/>
      <c r="ACH103" s="308"/>
      <c r="ACI103" s="308"/>
      <c r="ACJ103" s="308"/>
      <c r="ACK103" s="308"/>
      <c r="ACL103" s="308"/>
      <c r="ACM103" s="308"/>
      <c r="ACN103" s="308"/>
      <c r="ACO103" s="308"/>
      <c r="ACP103" s="308"/>
      <c r="ACQ103" s="308"/>
      <c r="ACR103" s="308"/>
      <c r="ACS103" s="308"/>
      <c r="ACT103" s="308"/>
      <c r="ACU103" s="308"/>
      <c r="ACV103" s="308"/>
      <c r="ACW103" s="308"/>
      <c r="ACX103" s="308"/>
      <c r="ACY103" s="308"/>
      <c r="ACZ103" s="308"/>
      <c r="ADA103" s="308"/>
      <c r="ADB103" s="308"/>
      <c r="ADC103" s="308"/>
      <c r="ADD103" s="308"/>
      <c r="ADE103" s="308"/>
      <c r="ADF103" s="308"/>
      <c r="ADG103" s="308"/>
      <c r="ADH103" s="308"/>
      <c r="ADI103" s="308"/>
      <c r="ADJ103" s="308"/>
      <c r="ADK103" s="308"/>
      <c r="ADL103" s="308"/>
      <c r="ADM103" s="308"/>
      <c r="ADN103" s="308"/>
      <c r="ADO103" s="308"/>
      <c r="ADP103" s="308"/>
      <c r="ADQ103" s="308"/>
      <c r="ADR103" s="308"/>
      <c r="ADS103" s="308"/>
      <c r="ADT103" s="308"/>
      <c r="ADU103" s="308"/>
      <c r="ADV103" s="308"/>
      <c r="ADW103" s="308"/>
      <c r="ADX103" s="308"/>
      <c r="ADY103" s="308"/>
      <c r="ADZ103" s="308"/>
      <c r="AEA103" s="308"/>
      <c r="AEB103" s="308"/>
      <c r="AEC103" s="308"/>
      <c r="AED103" s="308"/>
      <c r="AEE103" s="308"/>
      <c r="AEF103" s="308"/>
      <c r="AEG103" s="308"/>
      <c r="AEH103" s="308"/>
      <c r="AEI103" s="308"/>
      <c r="AEJ103" s="308"/>
      <c r="AEK103" s="308"/>
      <c r="AEL103" s="308"/>
      <c r="AEM103" s="308"/>
      <c r="AEN103" s="308"/>
      <c r="AEO103" s="308"/>
      <c r="AEP103" s="308"/>
      <c r="AEQ103" s="308"/>
      <c r="AER103" s="308"/>
      <c r="AES103" s="308"/>
      <c r="AET103" s="308"/>
      <c r="AEU103" s="308"/>
      <c r="AEV103" s="308"/>
      <c r="AEW103" s="308"/>
      <c r="AEX103" s="308"/>
      <c r="AEY103" s="308"/>
      <c r="AEZ103" s="308"/>
      <c r="AFA103" s="308"/>
      <c r="AFB103" s="308"/>
      <c r="AFC103" s="308"/>
      <c r="AFD103" s="308"/>
      <c r="AFE103" s="308"/>
      <c r="AFF103" s="308"/>
      <c r="AFG103" s="308"/>
      <c r="AFH103" s="308"/>
      <c r="AFI103" s="308"/>
      <c r="AFJ103" s="308"/>
      <c r="AFK103" s="308"/>
      <c r="AFL103" s="308"/>
      <c r="AFM103" s="308"/>
      <c r="AFN103" s="308"/>
      <c r="AFO103" s="308"/>
      <c r="AFP103" s="308"/>
      <c r="AFQ103" s="308"/>
      <c r="AFR103" s="308"/>
      <c r="AFS103" s="308"/>
      <c r="AFT103" s="308"/>
      <c r="AFU103" s="308"/>
      <c r="AFV103" s="308"/>
      <c r="AFW103" s="308"/>
      <c r="AFX103" s="308"/>
      <c r="AFY103" s="308"/>
      <c r="AFZ103" s="308"/>
      <c r="AGA103" s="308"/>
      <c r="AGB103" s="308"/>
      <c r="AGC103" s="308"/>
      <c r="AGD103" s="308"/>
      <c r="AGE103" s="308"/>
      <c r="AGF103" s="308"/>
      <c r="AGG103" s="308"/>
      <c r="AGH103" s="308"/>
      <c r="AGI103" s="308"/>
      <c r="AGJ103" s="308"/>
      <c r="AGK103" s="308"/>
      <c r="AGL103" s="308"/>
      <c r="AGM103" s="308"/>
      <c r="AGN103" s="308"/>
      <c r="AGO103" s="308"/>
      <c r="AGP103" s="308"/>
      <c r="AGQ103" s="308"/>
      <c r="AGR103" s="308"/>
      <c r="AGS103" s="308"/>
      <c r="AGT103" s="308"/>
      <c r="AGU103" s="308"/>
      <c r="AGV103" s="308"/>
      <c r="AGW103" s="308"/>
      <c r="AGX103" s="308"/>
      <c r="AGY103" s="308"/>
      <c r="AGZ103" s="308"/>
      <c r="AHA103" s="308"/>
      <c r="AHB103" s="308"/>
      <c r="AHC103" s="308"/>
      <c r="AHD103" s="308"/>
      <c r="AHE103" s="308"/>
      <c r="AHF103" s="308"/>
      <c r="AHG103" s="308"/>
      <c r="AHH103" s="308"/>
      <c r="AHI103" s="308"/>
      <c r="AHJ103" s="308"/>
      <c r="AHK103" s="308"/>
      <c r="AHL103" s="308"/>
      <c r="AHM103" s="308"/>
      <c r="AHN103" s="308"/>
      <c r="AHO103" s="308"/>
      <c r="AHP103" s="308"/>
      <c r="AHQ103" s="308"/>
      <c r="AHR103" s="308"/>
      <c r="AHS103" s="308"/>
      <c r="AHT103" s="308"/>
      <c r="AHU103" s="308"/>
      <c r="AHV103" s="308"/>
      <c r="AHW103" s="308"/>
      <c r="AHX103" s="308"/>
      <c r="AHY103" s="308"/>
      <c r="AHZ103" s="308"/>
      <c r="AIA103" s="308"/>
      <c r="AIB103" s="308"/>
      <c r="AIC103" s="308"/>
      <c r="AID103" s="308"/>
      <c r="AIE103" s="308"/>
      <c r="AIF103" s="308"/>
      <c r="AIG103" s="308"/>
      <c r="AIH103" s="308"/>
      <c r="AII103" s="308"/>
      <c r="AIJ103" s="308"/>
      <c r="AIK103" s="308"/>
      <c r="AIL103" s="308"/>
      <c r="AIM103" s="308"/>
      <c r="AIN103" s="308"/>
      <c r="AIO103" s="308"/>
      <c r="AIP103" s="308"/>
      <c r="AIQ103" s="308"/>
      <c r="AIR103" s="308"/>
      <c r="AIS103" s="308"/>
      <c r="AIT103" s="308"/>
      <c r="AIU103" s="308"/>
      <c r="AIV103" s="308"/>
      <c r="AIW103" s="308"/>
      <c r="AIX103" s="308"/>
      <c r="AIY103" s="308"/>
      <c r="AIZ103" s="308"/>
      <c r="AJA103" s="308"/>
      <c r="AJB103" s="308"/>
      <c r="AJC103" s="308"/>
    </row>
    <row r="104" spans="1:940" s="546" customFormat="1">
      <c r="A104" s="308"/>
      <c r="B104" s="308"/>
      <c r="C104" s="308"/>
      <c r="D104" s="312"/>
      <c r="E104" s="312"/>
      <c r="F104" s="312"/>
      <c r="G104" s="312"/>
      <c r="H104" s="312"/>
      <c r="I104" s="312"/>
      <c r="J104" s="312"/>
      <c r="K104" s="312"/>
      <c r="L104" s="312"/>
      <c r="M104" s="312"/>
      <c r="N104" s="312"/>
      <c r="O104" s="312"/>
      <c r="P104" s="312"/>
      <c r="Q104" s="312"/>
      <c r="R104" s="312"/>
      <c r="S104" s="312"/>
      <c r="T104" s="575"/>
      <c r="U104" s="308"/>
      <c r="V104" s="576"/>
      <c r="W104" s="577"/>
      <c r="X104" s="308"/>
      <c r="Y104" s="308"/>
      <c r="Z104" s="308"/>
      <c r="AA104" s="308"/>
      <c r="AB104" s="308"/>
      <c r="AC104" s="544"/>
      <c r="AD104" s="544"/>
      <c r="AE104" s="544"/>
      <c r="AF104" s="544"/>
      <c r="AG104" s="544"/>
      <c r="AH104" s="544"/>
      <c r="AI104" s="544"/>
      <c r="AJ104" s="544"/>
      <c r="AK104" s="544"/>
      <c r="AL104" s="308"/>
      <c r="AM104" s="308"/>
      <c r="AN104" s="544"/>
      <c r="AO104" s="544"/>
      <c r="AP104" s="308"/>
      <c r="AQ104" s="308"/>
      <c r="AR104" s="308"/>
      <c r="AS104" s="308"/>
      <c r="AT104" s="544"/>
      <c r="AU104" s="308"/>
      <c r="AV104" s="308"/>
      <c r="AW104" s="308"/>
      <c r="AX104" s="308"/>
      <c r="AY104" s="544"/>
      <c r="AZ104" s="308"/>
      <c r="BA104" s="308"/>
      <c r="BB104" s="308"/>
      <c r="BC104" s="308"/>
      <c r="BD104" s="308"/>
      <c r="BE104" s="308"/>
      <c r="BF104" s="308"/>
      <c r="BG104" s="308"/>
      <c r="BH104" s="308"/>
      <c r="BI104" s="308"/>
      <c r="BJ104" s="308"/>
      <c r="BK104" s="308"/>
      <c r="BL104" s="308"/>
      <c r="BM104" s="308"/>
      <c r="BN104" s="308"/>
      <c r="BO104" s="308"/>
      <c r="BP104" s="308"/>
      <c r="BQ104" s="308"/>
      <c r="BR104" s="308"/>
      <c r="BS104" s="308"/>
      <c r="BT104" s="308"/>
      <c r="BU104" s="308"/>
      <c r="BV104" s="308"/>
      <c r="BW104" s="308"/>
      <c r="BX104" s="308"/>
      <c r="BY104" s="308"/>
      <c r="BZ104" s="308"/>
      <c r="CA104" s="308"/>
      <c r="CB104" s="308"/>
      <c r="CC104" s="308"/>
      <c r="CD104" s="308"/>
      <c r="CE104" s="308"/>
      <c r="CF104" s="308"/>
      <c r="CG104" s="308"/>
      <c r="CH104" s="308"/>
      <c r="CI104" s="308"/>
      <c r="CJ104" s="308"/>
      <c r="CK104" s="308"/>
      <c r="CL104" s="308"/>
      <c r="CM104" s="308"/>
      <c r="CN104" s="308"/>
      <c r="CO104" s="308"/>
      <c r="CP104" s="308"/>
      <c r="CQ104" s="308"/>
      <c r="CR104" s="308"/>
      <c r="CS104" s="308"/>
      <c r="CT104" s="308"/>
      <c r="CU104" s="308"/>
      <c r="CV104" s="308"/>
      <c r="CW104" s="308"/>
      <c r="CX104" s="308"/>
      <c r="CY104" s="308"/>
      <c r="CZ104" s="308"/>
      <c r="DA104" s="308"/>
      <c r="DB104" s="308"/>
      <c r="DC104" s="308"/>
      <c r="DD104" s="308"/>
      <c r="DE104" s="308"/>
      <c r="DF104" s="308"/>
      <c r="DG104" s="308"/>
      <c r="DH104" s="308"/>
      <c r="DI104" s="308"/>
      <c r="DJ104" s="308"/>
      <c r="DK104" s="308"/>
      <c r="DL104" s="308"/>
      <c r="DM104" s="308"/>
      <c r="DN104" s="308"/>
      <c r="DO104" s="308"/>
      <c r="DP104" s="308"/>
      <c r="DQ104" s="308"/>
      <c r="DR104" s="308"/>
      <c r="DS104" s="308"/>
      <c r="DT104" s="308"/>
      <c r="DU104" s="308"/>
      <c r="DV104" s="308"/>
      <c r="DW104" s="308"/>
      <c r="DX104" s="308"/>
      <c r="DY104" s="308"/>
      <c r="DZ104" s="308"/>
      <c r="EA104" s="308"/>
      <c r="EB104" s="308"/>
      <c r="EC104" s="308"/>
      <c r="ED104" s="308"/>
      <c r="EE104" s="308"/>
      <c r="EF104" s="308"/>
      <c r="EG104" s="308"/>
      <c r="EH104" s="308"/>
      <c r="EI104" s="308"/>
      <c r="EJ104" s="308"/>
      <c r="EK104" s="308"/>
      <c r="EL104" s="308"/>
      <c r="EM104" s="308"/>
      <c r="EN104" s="308"/>
      <c r="EO104" s="308"/>
      <c r="EP104" s="308"/>
      <c r="EQ104" s="308"/>
      <c r="ER104" s="308"/>
      <c r="ES104" s="308"/>
      <c r="ET104" s="308"/>
      <c r="EU104" s="308"/>
      <c r="EV104" s="308"/>
      <c r="EW104" s="308"/>
      <c r="EX104" s="308"/>
      <c r="EY104" s="308"/>
      <c r="EZ104" s="308"/>
      <c r="FA104" s="308"/>
      <c r="FB104" s="308"/>
      <c r="FC104" s="308"/>
      <c r="FD104" s="308"/>
      <c r="FE104" s="308"/>
      <c r="FF104" s="308"/>
      <c r="FG104" s="308"/>
      <c r="FH104" s="308"/>
      <c r="FI104" s="308"/>
      <c r="FJ104" s="308"/>
      <c r="FK104" s="308"/>
      <c r="FL104" s="308"/>
      <c r="FM104" s="308"/>
      <c r="FN104" s="308"/>
      <c r="FO104" s="308"/>
      <c r="FP104" s="308"/>
      <c r="FQ104" s="308"/>
      <c r="FR104" s="308"/>
      <c r="FS104" s="308"/>
      <c r="FT104" s="308"/>
      <c r="FU104" s="308"/>
      <c r="FV104" s="308"/>
      <c r="FW104" s="308"/>
      <c r="FX104" s="308"/>
      <c r="FY104" s="308"/>
      <c r="FZ104" s="308"/>
      <c r="GA104" s="308"/>
      <c r="GB104" s="308"/>
      <c r="GC104" s="308"/>
      <c r="GD104" s="308"/>
      <c r="GE104" s="308"/>
      <c r="GF104" s="308"/>
      <c r="GG104" s="308"/>
      <c r="GH104" s="308"/>
      <c r="GI104" s="308"/>
      <c r="GJ104" s="308"/>
      <c r="GK104" s="308"/>
      <c r="GL104" s="308"/>
      <c r="GM104" s="308"/>
      <c r="GN104" s="308"/>
      <c r="GO104" s="308"/>
      <c r="GP104" s="308"/>
      <c r="GQ104" s="308"/>
      <c r="GR104" s="308"/>
      <c r="GS104" s="308"/>
      <c r="GT104" s="308"/>
      <c r="GU104" s="308"/>
      <c r="GV104" s="308"/>
      <c r="GW104" s="308"/>
      <c r="GX104" s="308"/>
      <c r="GY104" s="308"/>
      <c r="GZ104" s="308"/>
      <c r="HA104" s="308"/>
      <c r="HB104" s="308"/>
      <c r="HC104" s="308"/>
      <c r="HD104" s="308"/>
      <c r="HE104" s="308"/>
      <c r="HF104" s="308"/>
      <c r="HG104" s="308"/>
      <c r="HH104" s="308"/>
      <c r="HI104" s="308"/>
      <c r="HJ104" s="308"/>
      <c r="HK104" s="308"/>
      <c r="HL104" s="308"/>
      <c r="HM104" s="308"/>
      <c r="HN104" s="308"/>
      <c r="HO104" s="308"/>
      <c r="HP104" s="308"/>
      <c r="HQ104" s="308"/>
      <c r="HR104" s="308"/>
      <c r="HS104" s="308"/>
      <c r="HT104" s="308"/>
      <c r="HU104" s="308"/>
      <c r="HV104" s="308"/>
      <c r="HW104" s="308"/>
      <c r="HX104" s="308"/>
      <c r="HY104" s="308"/>
      <c r="HZ104" s="308"/>
      <c r="IA104" s="308"/>
      <c r="IB104" s="308"/>
      <c r="IC104" s="308"/>
      <c r="ID104" s="308"/>
      <c r="IE104" s="308"/>
      <c r="IF104" s="308"/>
      <c r="IG104" s="308"/>
      <c r="IH104" s="308"/>
      <c r="II104" s="308"/>
      <c r="IJ104" s="308"/>
      <c r="IK104" s="308"/>
      <c r="IL104" s="308"/>
      <c r="IM104" s="308"/>
      <c r="IN104" s="308"/>
      <c r="IO104" s="308"/>
      <c r="IP104" s="308"/>
      <c r="IQ104" s="308"/>
      <c r="IR104" s="308"/>
      <c r="IS104" s="308"/>
      <c r="IT104" s="308"/>
      <c r="IU104" s="308"/>
      <c r="IV104" s="308"/>
      <c r="IW104" s="308"/>
      <c r="IX104" s="308"/>
      <c r="IY104" s="308"/>
      <c r="IZ104" s="308"/>
      <c r="JA104" s="308"/>
      <c r="JB104" s="308"/>
      <c r="JC104" s="308"/>
      <c r="JD104" s="308"/>
      <c r="JE104" s="308"/>
      <c r="JF104" s="308"/>
      <c r="JG104" s="308"/>
      <c r="JH104" s="308"/>
      <c r="JI104" s="308"/>
      <c r="JJ104" s="308"/>
      <c r="JK104" s="308"/>
      <c r="JL104" s="308"/>
      <c r="JM104" s="308"/>
      <c r="JN104" s="308"/>
      <c r="JO104" s="308"/>
      <c r="JP104" s="308"/>
      <c r="JQ104" s="308"/>
      <c r="JR104" s="308"/>
      <c r="JS104" s="308"/>
      <c r="JT104" s="308"/>
      <c r="JU104" s="308"/>
      <c r="JV104" s="308"/>
      <c r="JW104" s="308"/>
      <c r="JX104" s="308"/>
      <c r="JY104" s="308"/>
      <c r="JZ104" s="308"/>
      <c r="KA104" s="308"/>
      <c r="KB104" s="308"/>
      <c r="KC104" s="308"/>
      <c r="KD104" s="308"/>
      <c r="KE104" s="308"/>
      <c r="KF104" s="308"/>
      <c r="KG104" s="308"/>
      <c r="KH104" s="308"/>
      <c r="KI104" s="308"/>
      <c r="KJ104" s="308"/>
      <c r="KK104" s="308"/>
      <c r="KL104" s="308"/>
      <c r="KM104" s="308"/>
      <c r="KN104" s="308"/>
      <c r="KO104" s="308"/>
      <c r="KP104" s="308"/>
      <c r="KQ104" s="308"/>
      <c r="KR104" s="308"/>
      <c r="KS104" s="308"/>
      <c r="KT104" s="308"/>
      <c r="KU104" s="308"/>
      <c r="KV104" s="308"/>
      <c r="KW104" s="308"/>
      <c r="KX104" s="308"/>
      <c r="KY104" s="308"/>
      <c r="KZ104" s="308"/>
      <c r="LA104" s="308"/>
      <c r="LB104" s="308"/>
      <c r="LC104" s="308"/>
      <c r="LD104" s="308"/>
      <c r="LE104" s="308"/>
      <c r="LF104" s="308"/>
      <c r="LG104" s="308"/>
      <c r="LH104" s="308"/>
      <c r="LI104" s="308"/>
      <c r="LJ104" s="308"/>
      <c r="LK104" s="308"/>
      <c r="LL104" s="308"/>
      <c r="LM104" s="308"/>
      <c r="LN104" s="308"/>
      <c r="LO104" s="308"/>
      <c r="LP104" s="308"/>
      <c r="LQ104" s="308"/>
      <c r="LR104" s="308"/>
      <c r="LS104" s="308"/>
      <c r="LT104" s="308"/>
      <c r="LU104" s="308"/>
      <c r="LV104" s="308"/>
      <c r="LW104" s="308"/>
      <c r="LX104" s="308"/>
      <c r="LY104" s="308"/>
      <c r="LZ104" s="308"/>
      <c r="MA104" s="308"/>
      <c r="MB104" s="308"/>
      <c r="MC104" s="308"/>
      <c r="MD104" s="308"/>
      <c r="ME104" s="308"/>
      <c r="MF104" s="308"/>
      <c r="MG104" s="308"/>
      <c r="MH104" s="308"/>
      <c r="MI104" s="308"/>
      <c r="MJ104" s="308"/>
      <c r="MK104" s="308"/>
      <c r="ML104" s="308"/>
      <c r="MM104" s="308"/>
      <c r="MN104" s="308"/>
      <c r="MO104" s="308"/>
      <c r="MP104" s="308"/>
      <c r="MQ104" s="308"/>
      <c r="MR104" s="308"/>
      <c r="MS104" s="308"/>
      <c r="MT104" s="308"/>
      <c r="MU104" s="308"/>
      <c r="MV104" s="308"/>
      <c r="MW104" s="308"/>
      <c r="MX104" s="308"/>
      <c r="MY104" s="308"/>
      <c r="MZ104" s="308"/>
      <c r="NA104" s="308"/>
      <c r="NB104" s="308"/>
      <c r="NC104" s="308"/>
      <c r="ND104" s="308"/>
      <c r="NE104" s="308"/>
      <c r="NF104" s="308"/>
      <c r="NG104" s="308"/>
      <c r="NH104" s="308"/>
      <c r="NI104" s="308"/>
      <c r="NJ104" s="308"/>
      <c r="NK104" s="308"/>
      <c r="NL104" s="308"/>
      <c r="NM104" s="308"/>
      <c r="NN104" s="308"/>
      <c r="NO104" s="308"/>
      <c r="NP104" s="308"/>
      <c r="NQ104" s="308"/>
      <c r="NR104" s="308"/>
      <c r="NS104" s="308"/>
      <c r="NT104" s="308"/>
      <c r="NU104" s="308"/>
      <c r="NV104" s="308"/>
      <c r="NW104" s="308"/>
      <c r="NX104" s="308"/>
      <c r="NY104" s="308"/>
      <c r="NZ104" s="308"/>
      <c r="OA104" s="308"/>
      <c r="OB104" s="308"/>
      <c r="OC104" s="308"/>
      <c r="OD104" s="308"/>
      <c r="OE104" s="308"/>
      <c r="OF104" s="308"/>
      <c r="OG104" s="308"/>
      <c r="OH104" s="308"/>
      <c r="OI104" s="308"/>
      <c r="OJ104" s="308"/>
      <c r="OK104" s="308"/>
      <c r="OL104" s="308"/>
      <c r="OM104" s="308"/>
      <c r="ON104" s="308"/>
      <c r="OO104" s="308"/>
      <c r="OP104" s="308"/>
      <c r="OQ104" s="308"/>
      <c r="OR104" s="308"/>
      <c r="OS104" s="308"/>
      <c r="OT104" s="308"/>
      <c r="OU104" s="308"/>
      <c r="OV104" s="308"/>
      <c r="OW104" s="308"/>
      <c r="OX104" s="308"/>
      <c r="OY104" s="308"/>
      <c r="OZ104" s="308"/>
      <c r="PA104" s="308"/>
      <c r="PB104" s="308"/>
      <c r="PC104" s="308"/>
      <c r="PD104" s="308"/>
      <c r="PE104" s="308"/>
      <c r="PF104" s="308"/>
      <c r="PG104" s="308"/>
      <c r="PH104" s="308"/>
      <c r="PI104" s="308"/>
      <c r="PJ104" s="308"/>
      <c r="PK104" s="308"/>
      <c r="PL104" s="308"/>
      <c r="PM104" s="308"/>
      <c r="PN104" s="308"/>
      <c r="PO104" s="308"/>
      <c r="PP104" s="308"/>
      <c r="PQ104" s="308"/>
      <c r="PR104" s="308"/>
      <c r="PS104" s="308"/>
      <c r="PT104" s="308"/>
      <c r="PU104" s="308"/>
      <c r="PV104" s="308"/>
      <c r="PW104" s="308"/>
      <c r="PX104" s="308"/>
      <c r="PY104" s="308"/>
      <c r="PZ104" s="308"/>
      <c r="QA104" s="308"/>
      <c r="QB104" s="308"/>
      <c r="QC104" s="308"/>
      <c r="QD104" s="308"/>
      <c r="QE104" s="308"/>
      <c r="QF104" s="308"/>
      <c r="QG104" s="308"/>
      <c r="QH104" s="308"/>
      <c r="QI104" s="308"/>
      <c r="QJ104" s="308"/>
      <c r="QK104" s="308"/>
      <c r="QL104" s="308"/>
      <c r="QM104" s="308"/>
      <c r="QN104" s="308"/>
      <c r="QO104" s="308"/>
      <c r="QP104" s="308"/>
      <c r="QQ104" s="308"/>
      <c r="QR104" s="308"/>
      <c r="QS104" s="308"/>
      <c r="QT104" s="308"/>
      <c r="QU104" s="308"/>
      <c r="QV104" s="308"/>
      <c r="QW104" s="308"/>
      <c r="QX104" s="308"/>
      <c r="QY104" s="308"/>
      <c r="QZ104" s="308"/>
      <c r="RA104" s="308"/>
      <c r="RB104" s="308"/>
      <c r="RC104" s="308"/>
      <c r="RD104" s="308"/>
      <c r="RE104" s="308"/>
      <c r="RF104" s="308"/>
      <c r="RG104" s="308"/>
      <c r="RH104" s="308"/>
      <c r="RI104" s="308"/>
      <c r="RJ104" s="308"/>
      <c r="RK104" s="308"/>
      <c r="RL104" s="308"/>
      <c r="RM104" s="308"/>
      <c r="RN104" s="308"/>
      <c r="RO104" s="308"/>
      <c r="RP104" s="308"/>
      <c r="RQ104" s="308"/>
      <c r="RR104" s="308"/>
      <c r="RS104" s="308"/>
      <c r="RT104" s="308"/>
      <c r="RU104" s="308"/>
      <c r="RV104" s="308"/>
      <c r="RW104" s="308"/>
      <c r="RX104" s="308"/>
      <c r="RY104" s="308"/>
      <c r="RZ104" s="308"/>
      <c r="SA104" s="308"/>
      <c r="SB104" s="308"/>
      <c r="SC104" s="308"/>
      <c r="SD104" s="308"/>
      <c r="SE104" s="308"/>
      <c r="SF104" s="308"/>
      <c r="SG104" s="308"/>
      <c r="SH104" s="308"/>
      <c r="SI104" s="308"/>
      <c r="SJ104" s="308"/>
      <c r="SK104" s="308"/>
      <c r="SL104" s="308"/>
      <c r="SM104" s="308"/>
      <c r="SN104" s="308"/>
      <c r="SO104" s="308"/>
      <c r="SP104" s="308"/>
      <c r="SQ104" s="308"/>
      <c r="SR104" s="308"/>
      <c r="SS104" s="308"/>
      <c r="ST104" s="308"/>
      <c r="SU104" s="308"/>
      <c r="SV104" s="308"/>
      <c r="SW104" s="308"/>
      <c r="SX104" s="308"/>
      <c r="SY104" s="308"/>
      <c r="SZ104" s="308"/>
      <c r="TA104" s="308"/>
      <c r="TB104" s="308"/>
      <c r="TC104" s="308"/>
      <c r="TD104" s="308"/>
      <c r="TE104" s="308"/>
      <c r="TF104" s="308"/>
      <c r="TG104" s="308"/>
      <c r="TH104" s="308"/>
      <c r="TI104" s="308"/>
      <c r="TJ104" s="308"/>
      <c r="TK104" s="308"/>
      <c r="TL104" s="308"/>
      <c r="TM104" s="308"/>
      <c r="TN104" s="308"/>
      <c r="TO104" s="308"/>
      <c r="TP104" s="308"/>
      <c r="TQ104" s="308"/>
      <c r="TR104" s="308"/>
      <c r="TS104" s="308"/>
      <c r="TT104" s="308"/>
      <c r="TU104" s="308"/>
      <c r="TV104" s="308"/>
      <c r="TW104" s="308"/>
      <c r="TX104" s="308"/>
      <c r="TY104" s="308"/>
      <c r="TZ104" s="308"/>
      <c r="UA104" s="308"/>
      <c r="UB104" s="308"/>
      <c r="UC104" s="308"/>
      <c r="UD104" s="308"/>
      <c r="UE104" s="308"/>
      <c r="UF104" s="308"/>
      <c r="UG104" s="308"/>
      <c r="UH104" s="308"/>
      <c r="UI104" s="308"/>
      <c r="UJ104" s="308"/>
      <c r="UK104" s="308"/>
      <c r="UL104" s="308"/>
      <c r="UM104" s="308"/>
      <c r="UN104" s="308"/>
      <c r="UO104" s="308"/>
      <c r="UP104" s="308"/>
      <c r="UQ104" s="308"/>
      <c r="UR104" s="308"/>
      <c r="US104" s="308"/>
      <c r="UT104" s="308"/>
      <c r="UU104" s="308"/>
      <c r="UV104" s="308"/>
      <c r="UW104" s="308"/>
      <c r="UX104" s="308"/>
      <c r="UY104" s="308"/>
      <c r="UZ104" s="308"/>
      <c r="VA104" s="308"/>
      <c r="VB104" s="308"/>
      <c r="VC104" s="308"/>
      <c r="VD104" s="308"/>
      <c r="VE104" s="308"/>
      <c r="VF104" s="308"/>
      <c r="VG104" s="308"/>
      <c r="VH104" s="308"/>
      <c r="VI104" s="308"/>
      <c r="VJ104" s="308"/>
      <c r="VK104" s="308"/>
      <c r="VL104" s="308"/>
      <c r="VM104" s="308"/>
      <c r="VN104" s="308"/>
      <c r="VO104" s="308"/>
      <c r="VP104" s="308"/>
      <c r="VQ104" s="308"/>
      <c r="VR104" s="308"/>
      <c r="VS104" s="308"/>
      <c r="VT104" s="308"/>
      <c r="VU104" s="308"/>
      <c r="VV104" s="308"/>
      <c r="VW104" s="308"/>
      <c r="VX104" s="308"/>
      <c r="VY104" s="308"/>
      <c r="VZ104" s="308"/>
      <c r="WA104" s="308"/>
      <c r="WB104" s="308"/>
      <c r="WC104" s="308"/>
      <c r="WD104" s="308"/>
      <c r="WE104" s="308"/>
      <c r="WF104" s="308"/>
      <c r="WG104" s="308"/>
      <c r="WH104" s="308"/>
      <c r="WI104" s="308"/>
      <c r="WJ104" s="308"/>
      <c r="WK104" s="308"/>
      <c r="WL104" s="308"/>
      <c r="WM104" s="308"/>
      <c r="WN104" s="308"/>
      <c r="WO104" s="308"/>
      <c r="WP104" s="308"/>
      <c r="WQ104" s="308"/>
      <c r="WR104" s="308"/>
      <c r="WS104" s="308"/>
      <c r="WT104" s="308"/>
      <c r="WU104" s="308"/>
      <c r="WV104" s="308"/>
      <c r="WW104" s="308"/>
      <c r="WX104" s="308"/>
      <c r="WY104" s="308"/>
      <c r="WZ104" s="308"/>
      <c r="XA104" s="308"/>
      <c r="XB104" s="308"/>
      <c r="XC104" s="308"/>
      <c r="XD104" s="308"/>
      <c r="XE104" s="308"/>
      <c r="XF104" s="308"/>
      <c r="XG104" s="308"/>
      <c r="XH104" s="308"/>
      <c r="XI104" s="308"/>
      <c r="XJ104" s="308"/>
      <c r="XK104" s="308"/>
      <c r="XL104" s="308"/>
      <c r="XM104" s="308"/>
      <c r="XN104" s="308"/>
      <c r="XO104" s="308"/>
      <c r="XP104" s="308"/>
      <c r="XQ104" s="308"/>
      <c r="XR104" s="308"/>
      <c r="XS104" s="308"/>
      <c r="XT104" s="308"/>
      <c r="XU104" s="308"/>
      <c r="XV104" s="308"/>
      <c r="XW104" s="308"/>
      <c r="XX104" s="308"/>
      <c r="XY104" s="308"/>
      <c r="XZ104" s="308"/>
      <c r="YA104" s="308"/>
      <c r="YB104" s="308"/>
      <c r="YC104" s="308"/>
      <c r="YD104" s="308"/>
      <c r="YE104" s="308"/>
      <c r="YF104" s="308"/>
      <c r="YG104" s="308"/>
      <c r="YH104" s="308"/>
      <c r="YI104" s="308"/>
      <c r="YJ104" s="308"/>
      <c r="YK104" s="308"/>
      <c r="YL104" s="308"/>
      <c r="YM104" s="308"/>
      <c r="YN104" s="308"/>
      <c r="YO104" s="308"/>
      <c r="YP104" s="308"/>
      <c r="YQ104" s="308"/>
      <c r="YR104" s="308"/>
      <c r="YS104" s="308"/>
      <c r="YT104" s="308"/>
      <c r="YU104" s="308"/>
      <c r="YV104" s="308"/>
      <c r="YW104" s="308"/>
      <c r="YX104" s="308"/>
      <c r="YY104" s="308"/>
      <c r="YZ104" s="308"/>
      <c r="ZA104" s="308"/>
      <c r="ZB104" s="308"/>
      <c r="ZC104" s="308"/>
      <c r="ZD104" s="308"/>
      <c r="ZE104" s="308"/>
      <c r="ZF104" s="308"/>
      <c r="ZG104" s="308"/>
      <c r="ZH104" s="308"/>
      <c r="ZI104" s="308"/>
      <c r="ZJ104" s="308"/>
      <c r="ZK104" s="308"/>
      <c r="ZL104" s="308"/>
      <c r="ZM104" s="308"/>
      <c r="ZN104" s="308"/>
      <c r="ZO104" s="308"/>
      <c r="ZP104" s="308"/>
      <c r="ZQ104" s="308"/>
      <c r="ZR104" s="308"/>
      <c r="ZS104" s="308"/>
      <c r="ZT104" s="308"/>
      <c r="ZU104" s="308"/>
      <c r="ZV104" s="308"/>
      <c r="ZW104" s="308"/>
      <c r="ZX104" s="308"/>
      <c r="ZY104" s="308"/>
      <c r="ZZ104" s="308"/>
      <c r="AAA104" s="308"/>
      <c r="AAB104" s="308"/>
      <c r="AAC104" s="308"/>
      <c r="AAD104" s="308"/>
      <c r="AAE104" s="308"/>
      <c r="AAF104" s="308"/>
      <c r="AAG104" s="308"/>
      <c r="AAH104" s="308"/>
      <c r="AAI104" s="308"/>
      <c r="AAJ104" s="308"/>
      <c r="AAK104" s="308"/>
      <c r="AAL104" s="308"/>
      <c r="AAM104" s="308"/>
      <c r="AAN104" s="308"/>
      <c r="AAO104" s="308"/>
      <c r="AAP104" s="308"/>
      <c r="AAQ104" s="308"/>
      <c r="AAR104" s="308"/>
      <c r="AAS104" s="308"/>
      <c r="AAT104" s="308"/>
      <c r="AAU104" s="308"/>
      <c r="AAV104" s="308"/>
      <c r="AAW104" s="308"/>
      <c r="AAX104" s="308"/>
      <c r="AAY104" s="308"/>
      <c r="AAZ104" s="308"/>
      <c r="ABA104" s="308"/>
      <c r="ABB104" s="308"/>
      <c r="ABC104" s="308"/>
      <c r="ABD104" s="308"/>
      <c r="ABE104" s="308"/>
      <c r="ABF104" s="308"/>
      <c r="ABG104" s="308"/>
      <c r="ABH104" s="308"/>
      <c r="ABI104" s="308"/>
      <c r="ABJ104" s="308"/>
      <c r="ABK104" s="308"/>
      <c r="ABL104" s="308"/>
      <c r="ABM104" s="308"/>
      <c r="ABN104" s="308"/>
      <c r="ABO104" s="308"/>
      <c r="ABP104" s="308"/>
      <c r="ABQ104" s="308"/>
      <c r="ABR104" s="308"/>
      <c r="ABS104" s="308"/>
      <c r="ABT104" s="308"/>
      <c r="ABU104" s="308"/>
      <c r="ABV104" s="308"/>
      <c r="ABW104" s="308"/>
      <c r="ABX104" s="308"/>
      <c r="ABY104" s="308"/>
      <c r="ABZ104" s="308"/>
      <c r="ACA104" s="308"/>
      <c r="ACB104" s="308"/>
      <c r="ACC104" s="308"/>
      <c r="ACD104" s="308"/>
      <c r="ACE104" s="308"/>
      <c r="ACF104" s="308"/>
      <c r="ACG104" s="308"/>
      <c r="ACH104" s="308"/>
      <c r="ACI104" s="308"/>
      <c r="ACJ104" s="308"/>
      <c r="ACK104" s="308"/>
      <c r="ACL104" s="308"/>
      <c r="ACM104" s="308"/>
      <c r="ACN104" s="308"/>
      <c r="ACO104" s="308"/>
      <c r="ACP104" s="308"/>
      <c r="ACQ104" s="308"/>
      <c r="ACR104" s="308"/>
      <c r="ACS104" s="308"/>
      <c r="ACT104" s="308"/>
      <c r="ACU104" s="308"/>
      <c r="ACV104" s="308"/>
      <c r="ACW104" s="308"/>
      <c r="ACX104" s="308"/>
      <c r="ACY104" s="308"/>
      <c r="ACZ104" s="308"/>
      <c r="ADA104" s="308"/>
      <c r="ADB104" s="308"/>
      <c r="ADC104" s="308"/>
      <c r="ADD104" s="308"/>
      <c r="ADE104" s="308"/>
      <c r="ADF104" s="308"/>
      <c r="ADG104" s="308"/>
      <c r="ADH104" s="308"/>
      <c r="ADI104" s="308"/>
      <c r="ADJ104" s="308"/>
      <c r="ADK104" s="308"/>
      <c r="ADL104" s="308"/>
      <c r="ADM104" s="308"/>
      <c r="ADN104" s="308"/>
      <c r="ADO104" s="308"/>
      <c r="ADP104" s="308"/>
      <c r="ADQ104" s="308"/>
      <c r="ADR104" s="308"/>
      <c r="ADS104" s="308"/>
      <c r="ADT104" s="308"/>
      <c r="ADU104" s="308"/>
      <c r="ADV104" s="308"/>
      <c r="ADW104" s="308"/>
      <c r="ADX104" s="308"/>
      <c r="ADY104" s="308"/>
      <c r="ADZ104" s="308"/>
      <c r="AEA104" s="308"/>
      <c r="AEB104" s="308"/>
      <c r="AEC104" s="308"/>
      <c r="AED104" s="308"/>
      <c r="AEE104" s="308"/>
      <c r="AEF104" s="308"/>
      <c r="AEG104" s="308"/>
      <c r="AEH104" s="308"/>
      <c r="AEI104" s="308"/>
      <c r="AEJ104" s="308"/>
      <c r="AEK104" s="308"/>
      <c r="AEL104" s="308"/>
      <c r="AEM104" s="308"/>
      <c r="AEN104" s="308"/>
      <c r="AEO104" s="308"/>
      <c r="AEP104" s="308"/>
      <c r="AEQ104" s="308"/>
      <c r="AER104" s="308"/>
      <c r="AES104" s="308"/>
      <c r="AET104" s="308"/>
      <c r="AEU104" s="308"/>
      <c r="AEV104" s="308"/>
      <c r="AEW104" s="308"/>
      <c r="AEX104" s="308"/>
      <c r="AEY104" s="308"/>
      <c r="AEZ104" s="308"/>
      <c r="AFA104" s="308"/>
      <c r="AFB104" s="308"/>
      <c r="AFC104" s="308"/>
      <c r="AFD104" s="308"/>
      <c r="AFE104" s="308"/>
      <c r="AFF104" s="308"/>
      <c r="AFG104" s="308"/>
      <c r="AFH104" s="308"/>
      <c r="AFI104" s="308"/>
      <c r="AFJ104" s="308"/>
      <c r="AFK104" s="308"/>
      <c r="AFL104" s="308"/>
      <c r="AFM104" s="308"/>
      <c r="AFN104" s="308"/>
      <c r="AFO104" s="308"/>
      <c r="AFP104" s="308"/>
      <c r="AFQ104" s="308"/>
      <c r="AFR104" s="308"/>
      <c r="AFS104" s="308"/>
      <c r="AFT104" s="308"/>
      <c r="AFU104" s="308"/>
      <c r="AFV104" s="308"/>
      <c r="AFW104" s="308"/>
      <c r="AFX104" s="308"/>
      <c r="AFY104" s="308"/>
      <c r="AFZ104" s="308"/>
      <c r="AGA104" s="308"/>
      <c r="AGB104" s="308"/>
      <c r="AGC104" s="308"/>
      <c r="AGD104" s="308"/>
      <c r="AGE104" s="308"/>
      <c r="AGF104" s="308"/>
      <c r="AGG104" s="308"/>
      <c r="AGH104" s="308"/>
      <c r="AGI104" s="308"/>
      <c r="AGJ104" s="308"/>
      <c r="AGK104" s="308"/>
      <c r="AGL104" s="308"/>
      <c r="AGM104" s="308"/>
      <c r="AGN104" s="308"/>
      <c r="AGO104" s="308"/>
      <c r="AGP104" s="308"/>
      <c r="AGQ104" s="308"/>
      <c r="AGR104" s="308"/>
      <c r="AGS104" s="308"/>
      <c r="AGT104" s="308"/>
      <c r="AGU104" s="308"/>
      <c r="AGV104" s="308"/>
      <c r="AGW104" s="308"/>
      <c r="AGX104" s="308"/>
      <c r="AGY104" s="308"/>
      <c r="AGZ104" s="308"/>
      <c r="AHA104" s="308"/>
      <c r="AHB104" s="308"/>
      <c r="AHC104" s="308"/>
      <c r="AHD104" s="308"/>
      <c r="AHE104" s="308"/>
      <c r="AHF104" s="308"/>
      <c r="AHG104" s="308"/>
      <c r="AHH104" s="308"/>
      <c r="AHI104" s="308"/>
      <c r="AHJ104" s="308"/>
      <c r="AHK104" s="308"/>
      <c r="AHL104" s="308"/>
      <c r="AHM104" s="308"/>
      <c r="AHN104" s="308"/>
      <c r="AHO104" s="308"/>
      <c r="AHP104" s="308"/>
      <c r="AHQ104" s="308"/>
      <c r="AHR104" s="308"/>
      <c r="AHS104" s="308"/>
      <c r="AHT104" s="308"/>
      <c r="AHU104" s="308"/>
      <c r="AHV104" s="308"/>
      <c r="AHW104" s="308"/>
      <c r="AHX104" s="308"/>
      <c r="AHY104" s="308"/>
      <c r="AHZ104" s="308"/>
      <c r="AIA104" s="308"/>
      <c r="AIB104" s="308"/>
      <c r="AIC104" s="308"/>
      <c r="AID104" s="308"/>
      <c r="AIE104" s="308"/>
      <c r="AIF104" s="308"/>
      <c r="AIG104" s="308"/>
      <c r="AIH104" s="308"/>
      <c r="AII104" s="308"/>
      <c r="AIJ104" s="308"/>
      <c r="AIK104" s="308"/>
      <c r="AIL104" s="308"/>
      <c r="AIM104" s="308"/>
      <c r="AIN104" s="308"/>
      <c r="AIO104" s="308"/>
      <c r="AIP104" s="308"/>
      <c r="AIQ104" s="308"/>
      <c r="AIR104" s="308"/>
      <c r="AIS104" s="308"/>
      <c r="AIT104" s="308"/>
      <c r="AIU104" s="308"/>
      <c r="AIV104" s="308"/>
      <c r="AIW104" s="308"/>
      <c r="AIX104" s="308"/>
      <c r="AIY104" s="308"/>
      <c r="AIZ104" s="308"/>
      <c r="AJA104" s="308"/>
      <c r="AJB104" s="308"/>
      <c r="AJC104" s="308"/>
    </row>
    <row r="105" spans="1:940" s="546" customFormat="1">
      <c r="A105" s="308"/>
      <c r="B105" s="308"/>
      <c r="C105" s="308"/>
      <c r="D105" s="312"/>
      <c r="E105" s="312"/>
      <c r="F105" s="312"/>
      <c r="G105" s="312"/>
      <c r="H105" s="312"/>
      <c r="I105" s="312"/>
      <c r="J105" s="312"/>
      <c r="K105" s="312"/>
      <c r="L105" s="312"/>
      <c r="M105" s="312"/>
      <c r="N105" s="312"/>
      <c r="O105" s="312"/>
      <c r="P105" s="312"/>
      <c r="Q105" s="312"/>
      <c r="R105" s="312"/>
      <c r="S105" s="312"/>
      <c r="T105" s="575"/>
      <c r="U105" s="308"/>
      <c r="V105" s="576"/>
      <c r="W105" s="577"/>
      <c r="X105" s="308"/>
      <c r="Y105" s="308"/>
      <c r="Z105" s="308"/>
      <c r="AA105" s="308"/>
      <c r="AB105" s="308"/>
      <c r="AC105" s="544"/>
      <c r="AD105" s="544"/>
      <c r="AE105" s="544"/>
      <c r="AF105" s="544"/>
      <c r="AG105" s="544"/>
      <c r="AH105" s="544"/>
      <c r="AI105" s="544"/>
      <c r="AJ105" s="544"/>
      <c r="AK105" s="544"/>
      <c r="AL105" s="308"/>
      <c r="AM105" s="308"/>
      <c r="AN105" s="544"/>
      <c r="AO105" s="544"/>
      <c r="AP105" s="308"/>
      <c r="AQ105" s="308"/>
      <c r="AR105" s="308"/>
      <c r="AS105" s="308"/>
      <c r="AT105" s="544"/>
      <c r="AU105" s="308"/>
      <c r="AV105" s="308"/>
      <c r="AW105" s="308"/>
      <c r="AX105" s="308"/>
      <c r="AY105" s="544"/>
      <c r="AZ105" s="308"/>
      <c r="BA105" s="308"/>
      <c r="BB105" s="308"/>
      <c r="BC105" s="308"/>
      <c r="BD105" s="308"/>
      <c r="BE105" s="308"/>
      <c r="BF105" s="308"/>
      <c r="BG105" s="308"/>
      <c r="BH105" s="308"/>
      <c r="BI105" s="308"/>
      <c r="BJ105" s="308"/>
      <c r="BK105" s="308"/>
      <c r="BL105" s="308"/>
      <c r="BM105" s="308"/>
      <c r="BN105" s="308"/>
      <c r="BO105" s="308"/>
      <c r="BP105" s="308"/>
      <c r="BQ105" s="308"/>
      <c r="BR105" s="308"/>
      <c r="BS105" s="308"/>
      <c r="BT105" s="308"/>
      <c r="BU105" s="308"/>
      <c r="BV105" s="308"/>
      <c r="BW105" s="308"/>
      <c r="BX105" s="308"/>
      <c r="BY105" s="308"/>
      <c r="BZ105" s="308"/>
      <c r="CA105" s="308"/>
      <c r="CB105" s="308"/>
      <c r="CC105" s="308"/>
      <c r="CD105" s="308"/>
      <c r="CE105" s="308"/>
      <c r="CF105" s="308"/>
      <c r="CG105" s="308"/>
      <c r="CH105" s="308"/>
      <c r="CI105" s="308"/>
      <c r="CJ105" s="308"/>
      <c r="CK105" s="308"/>
      <c r="CL105" s="308"/>
      <c r="CM105" s="308"/>
      <c r="CN105" s="308"/>
      <c r="CO105" s="308"/>
      <c r="CP105" s="308"/>
      <c r="CQ105" s="308"/>
      <c r="CR105" s="308"/>
      <c r="CS105" s="308"/>
      <c r="CT105" s="308"/>
      <c r="CU105" s="308"/>
      <c r="CV105" s="308"/>
      <c r="CW105" s="308"/>
      <c r="CX105" s="308"/>
      <c r="CY105" s="308"/>
      <c r="CZ105" s="308"/>
      <c r="DA105" s="308"/>
      <c r="DB105" s="308"/>
      <c r="DC105" s="308"/>
      <c r="DD105" s="308"/>
      <c r="DE105" s="308"/>
      <c r="DF105" s="308"/>
      <c r="DG105" s="308"/>
      <c r="DH105" s="308"/>
      <c r="DI105" s="308"/>
      <c r="DJ105" s="308"/>
      <c r="DK105" s="308"/>
      <c r="DL105" s="308"/>
      <c r="DM105" s="308"/>
      <c r="DN105" s="308"/>
      <c r="DO105" s="308"/>
      <c r="DP105" s="308"/>
      <c r="DQ105" s="308"/>
      <c r="DR105" s="308"/>
      <c r="DS105" s="308"/>
      <c r="DT105" s="308"/>
      <c r="DU105" s="308"/>
      <c r="DV105" s="308"/>
      <c r="DW105" s="308"/>
      <c r="DX105" s="308"/>
      <c r="DY105" s="308"/>
      <c r="DZ105" s="308"/>
      <c r="EA105" s="308"/>
      <c r="EB105" s="308"/>
      <c r="EC105" s="308"/>
      <c r="ED105" s="308"/>
      <c r="EE105" s="308"/>
      <c r="EF105" s="308"/>
      <c r="EG105" s="308"/>
      <c r="EH105" s="308"/>
      <c r="EI105" s="308"/>
      <c r="EJ105" s="308"/>
      <c r="EK105" s="308"/>
      <c r="EL105" s="308"/>
      <c r="EM105" s="308"/>
      <c r="EN105" s="308"/>
      <c r="EO105" s="308"/>
      <c r="EP105" s="308"/>
      <c r="EQ105" s="308"/>
      <c r="ER105" s="308"/>
      <c r="ES105" s="308"/>
      <c r="ET105" s="308"/>
      <c r="EU105" s="308"/>
      <c r="EV105" s="308"/>
      <c r="EW105" s="308"/>
      <c r="EX105" s="308"/>
      <c r="EY105" s="308"/>
      <c r="EZ105" s="308"/>
      <c r="FA105" s="308"/>
      <c r="FB105" s="308"/>
      <c r="FC105" s="308"/>
      <c r="FD105" s="308"/>
      <c r="FE105" s="308"/>
      <c r="FF105" s="308"/>
      <c r="FG105" s="308"/>
      <c r="FH105" s="308"/>
      <c r="FI105" s="308"/>
      <c r="FJ105" s="308"/>
      <c r="FK105" s="308"/>
      <c r="FL105" s="308"/>
      <c r="FM105" s="308"/>
      <c r="FN105" s="308"/>
      <c r="FO105" s="308"/>
      <c r="FP105" s="308"/>
      <c r="FQ105" s="308"/>
      <c r="FR105" s="308"/>
      <c r="FS105" s="308"/>
      <c r="FT105" s="308"/>
      <c r="FU105" s="308"/>
      <c r="FV105" s="308"/>
      <c r="FW105" s="308"/>
      <c r="FX105" s="308"/>
      <c r="FY105" s="308"/>
      <c r="FZ105" s="308"/>
      <c r="GA105" s="308"/>
      <c r="GB105" s="308"/>
      <c r="GC105" s="308"/>
      <c r="GD105" s="308"/>
      <c r="GE105" s="308"/>
      <c r="GF105" s="308"/>
      <c r="GG105" s="308"/>
      <c r="GH105" s="308"/>
      <c r="GI105" s="308"/>
      <c r="GJ105" s="308"/>
      <c r="GK105" s="308"/>
      <c r="GL105" s="308"/>
      <c r="GM105" s="308"/>
      <c r="GN105" s="308"/>
      <c r="GO105" s="308"/>
      <c r="GP105" s="308"/>
      <c r="GQ105" s="308"/>
      <c r="GR105" s="308"/>
      <c r="GS105" s="308"/>
      <c r="GT105" s="308"/>
      <c r="GU105" s="308"/>
      <c r="GV105" s="308"/>
      <c r="GW105" s="308"/>
      <c r="GX105" s="308"/>
      <c r="GY105" s="308"/>
      <c r="GZ105" s="308"/>
      <c r="HA105" s="308"/>
      <c r="HB105" s="308"/>
      <c r="HC105" s="308"/>
      <c r="HD105" s="308"/>
      <c r="HE105" s="308"/>
      <c r="HF105" s="308"/>
      <c r="HG105" s="308"/>
      <c r="HH105" s="308"/>
      <c r="HI105" s="308"/>
      <c r="HJ105" s="308"/>
      <c r="HK105" s="308"/>
      <c r="HL105" s="308"/>
      <c r="HM105" s="308"/>
      <c r="HN105" s="308"/>
      <c r="HO105" s="308"/>
      <c r="HP105" s="308"/>
      <c r="HQ105" s="308"/>
      <c r="HR105" s="308"/>
      <c r="HS105" s="308"/>
      <c r="HT105" s="308"/>
      <c r="HU105" s="308"/>
      <c r="HV105" s="308"/>
      <c r="HW105" s="308"/>
      <c r="HX105" s="308"/>
      <c r="HY105" s="308"/>
      <c r="HZ105" s="308"/>
      <c r="IA105" s="308"/>
      <c r="IB105" s="308"/>
      <c r="IC105" s="308"/>
      <c r="ID105" s="308"/>
      <c r="IE105" s="308"/>
      <c r="IF105" s="308"/>
      <c r="IG105" s="308"/>
      <c r="IH105" s="308"/>
      <c r="II105" s="308"/>
      <c r="IJ105" s="308"/>
      <c r="IK105" s="308"/>
      <c r="IL105" s="308"/>
      <c r="IM105" s="308"/>
      <c r="IN105" s="308"/>
      <c r="IO105" s="308"/>
      <c r="IP105" s="308"/>
      <c r="IQ105" s="308"/>
      <c r="IR105" s="308"/>
      <c r="IS105" s="308"/>
      <c r="IT105" s="308"/>
      <c r="IU105" s="308"/>
      <c r="IV105" s="308"/>
      <c r="IW105" s="308"/>
      <c r="IX105" s="308"/>
      <c r="IY105" s="308"/>
      <c r="IZ105" s="308"/>
      <c r="JA105" s="308"/>
      <c r="JB105" s="308"/>
      <c r="JC105" s="308"/>
      <c r="JD105" s="308"/>
      <c r="JE105" s="308"/>
      <c r="JF105" s="308"/>
      <c r="JG105" s="308"/>
      <c r="JH105" s="308"/>
      <c r="JI105" s="308"/>
      <c r="JJ105" s="308"/>
      <c r="JK105" s="308"/>
      <c r="JL105" s="308"/>
      <c r="JM105" s="308"/>
      <c r="JN105" s="308"/>
      <c r="JO105" s="308"/>
      <c r="JP105" s="308"/>
      <c r="JQ105" s="308"/>
      <c r="JR105" s="308"/>
      <c r="JS105" s="308"/>
      <c r="JT105" s="308"/>
      <c r="JU105" s="308"/>
      <c r="JV105" s="308"/>
      <c r="JW105" s="308"/>
      <c r="JX105" s="308"/>
      <c r="JY105" s="308"/>
      <c r="JZ105" s="308"/>
      <c r="KA105" s="308"/>
      <c r="KB105" s="308"/>
      <c r="KC105" s="308"/>
      <c r="KD105" s="308"/>
      <c r="KE105" s="308"/>
      <c r="KF105" s="308"/>
      <c r="KG105" s="308"/>
      <c r="KH105" s="308"/>
      <c r="KI105" s="308"/>
      <c r="KJ105" s="308"/>
      <c r="KK105" s="308"/>
      <c r="KL105" s="308"/>
      <c r="KM105" s="308"/>
      <c r="KN105" s="308"/>
      <c r="KO105" s="308"/>
      <c r="KP105" s="308"/>
      <c r="KQ105" s="308"/>
      <c r="KR105" s="308"/>
      <c r="KS105" s="308"/>
      <c r="KT105" s="308"/>
      <c r="KU105" s="308"/>
      <c r="KV105" s="308"/>
      <c r="KW105" s="308"/>
      <c r="KX105" s="308"/>
      <c r="KY105" s="308"/>
      <c r="KZ105" s="308"/>
      <c r="LA105" s="308"/>
      <c r="LB105" s="308"/>
      <c r="LC105" s="308"/>
      <c r="LD105" s="308"/>
      <c r="LE105" s="308"/>
      <c r="LF105" s="308"/>
      <c r="LG105" s="308"/>
      <c r="LH105" s="308"/>
      <c r="LI105" s="308"/>
      <c r="LJ105" s="308"/>
      <c r="LK105" s="308"/>
      <c r="LL105" s="308"/>
      <c r="LM105" s="308"/>
      <c r="LN105" s="308"/>
      <c r="LO105" s="308"/>
      <c r="LP105" s="308"/>
      <c r="LQ105" s="308"/>
      <c r="LR105" s="308"/>
      <c r="LS105" s="308"/>
      <c r="LT105" s="308"/>
      <c r="LU105" s="308"/>
      <c r="LV105" s="308"/>
      <c r="LW105" s="308"/>
      <c r="LX105" s="308"/>
      <c r="LY105" s="308"/>
      <c r="LZ105" s="308"/>
      <c r="MA105" s="308"/>
      <c r="MB105" s="308"/>
      <c r="MC105" s="308"/>
      <c r="MD105" s="308"/>
      <c r="ME105" s="308"/>
      <c r="MF105" s="308"/>
      <c r="MG105" s="308"/>
      <c r="MH105" s="308"/>
      <c r="MI105" s="308"/>
      <c r="MJ105" s="308"/>
      <c r="MK105" s="308"/>
      <c r="ML105" s="308"/>
      <c r="MM105" s="308"/>
      <c r="MN105" s="308"/>
      <c r="MO105" s="308"/>
      <c r="MP105" s="308"/>
      <c r="MQ105" s="308"/>
      <c r="MR105" s="308"/>
      <c r="MS105" s="308"/>
      <c r="MT105" s="308"/>
      <c r="MU105" s="308"/>
      <c r="MV105" s="308"/>
      <c r="MW105" s="308"/>
      <c r="MX105" s="308"/>
      <c r="MY105" s="308"/>
      <c r="MZ105" s="308"/>
      <c r="NA105" s="308"/>
      <c r="NB105" s="308"/>
      <c r="NC105" s="308"/>
      <c r="ND105" s="308"/>
      <c r="NE105" s="308"/>
      <c r="NF105" s="308"/>
      <c r="NG105" s="308"/>
      <c r="NH105" s="308"/>
      <c r="NI105" s="308"/>
      <c r="NJ105" s="308"/>
      <c r="NK105" s="308"/>
      <c r="NL105" s="308"/>
      <c r="NM105" s="308"/>
      <c r="NN105" s="308"/>
      <c r="NO105" s="308"/>
      <c r="NP105" s="308"/>
      <c r="NQ105" s="308"/>
      <c r="NR105" s="308"/>
      <c r="NS105" s="308"/>
      <c r="NT105" s="308"/>
      <c r="NU105" s="308"/>
      <c r="NV105" s="308"/>
      <c r="NW105" s="308"/>
      <c r="NX105" s="308"/>
      <c r="NY105" s="308"/>
      <c r="NZ105" s="308"/>
      <c r="OA105" s="308"/>
      <c r="OB105" s="308"/>
      <c r="OC105" s="308"/>
      <c r="OD105" s="308"/>
      <c r="OE105" s="308"/>
      <c r="OF105" s="308"/>
      <c r="OG105" s="308"/>
      <c r="OH105" s="308"/>
      <c r="OI105" s="308"/>
      <c r="OJ105" s="308"/>
      <c r="OK105" s="308"/>
      <c r="OL105" s="308"/>
      <c r="OM105" s="308"/>
      <c r="ON105" s="308"/>
      <c r="OO105" s="308"/>
      <c r="OP105" s="308"/>
      <c r="OQ105" s="308"/>
      <c r="OR105" s="308"/>
      <c r="OS105" s="308"/>
      <c r="OT105" s="308"/>
      <c r="OU105" s="308"/>
      <c r="OV105" s="308"/>
      <c r="OW105" s="308"/>
      <c r="OX105" s="308"/>
      <c r="OY105" s="308"/>
      <c r="OZ105" s="308"/>
      <c r="PA105" s="308"/>
      <c r="PB105" s="308"/>
      <c r="PC105" s="308"/>
      <c r="PD105" s="308"/>
      <c r="PE105" s="308"/>
      <c r="PF105" s="308"/>
      <c r="PG105" s="308"/>
      <c r="PH105" s="308"/>
      <c r="PI105" s="308"/>
      <c r="PJ105" s="308"/>
      <c r="PK105" s="308"/>
      <c r="PL105" s="308"/>
      <c r="PM105" s="308"/>
      <c r="PN105" s="308"/>
      <c r="PO105" s="308"/>
      <c r="PP105" s="308"/>
      <c r="PQ105" s="308"/>
      <c r="PR105" s="308"/>
      <c r="PS105" s="308"/>
      <c r="PT105" s="308"/>
      <c r="PU105" s="308"/>
      <c r="PV105" s="308"/>
      <c r="PW105" s="308"/>
      <c r="PX105" s="308"/>
      <c r="PY105" s="308"/>
      <c r="PZ105" s="308"/>
      <c r="QA105" s="308"/>
      <c r="QB105" s="308"/>
      <c r="QC105" s="308"/>
      <c r="QD105" s="308"/>
      <c r="QE105" s="308"/>
      <c r="QF105" s="308"/>
      <c r="QG105" s="308"/>
      <c r="QH105" s="308"/>
      <c r="QI105" s="308"/>
      <c r="QJ105" s="308"/>
      <c r="QK105" s="308"/>
      <c r="QL105" s="308"/>
      <c r="QM105" s="308"/>
      <c r="QN105" s="308"/>
      <c r="QO105" s="308"/>
      <c r="QP105" s="308"/>
      <c r="QQ105" s="308"/>
      <c r="QR105" s="308"/>
      <c r="QS105" s="308"/>
      <c r="QT105" s="308"/>
      <c r="QU105" s="308"/>
      <c r="QV105" s="308"/>
      <c r="QW105" s="308"/>
      <c r="QX105" s="308"/>
      <c r="QY105" s="308"/>
      <c r="QZ105" s="308"/>
      <c r="RA105" s="308"/>
      <c r="RB105" s="308"/>
      <c r="RC105" s="308"/>
      <c r="RD105" s="308"/>
      <c r="RE105" s="308"/>
      <c r="RF105" s="308"/>
      <c r="RG105" s="308"/>
      <c r="RH105" s="308"/>
      <c r="RI105" s="308"/>
      <c r="RJ105" s="308"/>
      <c r="RK105" s="308"/>
      <c r="RL105" s="308"/>
      <c r="RM105" s="308"/>
      <c r="RN105" s="308"/>
      <c r="RO105" s="308"/>
      <c r="RP105" s="308"/>
      <c r="RQ105" s="308"/>
      <c r="RR105" s="308"/>
      <c r="RS105" s="308"/>
      <c r="RT105" s="308"/>
      <c r="RU105" s="308"/>
      <c r="RV105" s="308"/>
      <c r="RW105" s="308"/>
      <c r="RX105" s="308"/>
      <c r="RY105" s="308"/>
      <c r="RZ105" s="308"/>
      <c r="SA105" s="308"/>
      <c r="SB105" s="308"/>
      <c r="SC105" s="308"/>
      <c r="SD105" s="308"/>
      <c r="SE105" s="308"/>
      <c r="SF105" s="308"/>
      <c r="SG105" s="308"/>
      <c r="SH105" s="308"/>
      <c r="SI105" s="308"/>
      <c r="SJ105" s="308"/>
      <c r="SK105" s="308"/>
      <c r="SL105" s="308"/>
      <c r="SM105" s="308"/>
      <c r="SN105" s="308"/>
      <c r="SO105" s="308"/>
      <c r="SP105" s="308"/>
      <c r="SQ105" s="308"/>
      <c r="SR105" s="308"/>
      <c r="SS105" s="308"/>
      <c r="ST105" s="308"/>
      <c r="SU105" s="308"/>
      <c r="SV105" s="308"/>
      <c r="SW105" s="308"/>
      <c r="SX105" s="308"/>
      <c r="SY105" s="308"/>
      <c r="SZ105" s="308"/>
      <c r="TA105" s="308"/>
      <c r="TB105" s="308"/>
      <c r="TC105" s="308"/>
      <c r="TD105" s="308"/>
      <c r="TE105" s="308"/>
      <c r="TF105" s="308"/>
      <c r="TG105" s="308"/>
      <c r="TH105" s="308"/>
      <c r="TI105" s="308"/>
      <c r="TJ105" s="308"/>
      <c r="TK105" s="308"/>
      <c r="TL105" s="308"/>
      <c r="TM105" s="308"/>
      <c r="TN105" s="308"/>
      <c r="TO105" s="308"/>
      <c r="TP105" s="308"/>
      <c r="TQ105" s="308"/>
      <c r="TR105" s="308"/>
      <c r="TS105" s="308"/>
      <c r="TT105" s="308"/>
      <c r="TU105" s="308"/>
      <c r="TV105" s="308"/>
      <c r="TW105" s="308"/>
      <c r="TX105" s="308"/>
      <c r="TY105" s="308"/>
      <c r="TZ105" s="308"/>
      <c r="UA105" s="308"/>
      <c r="UB105" s="308"/>
      <c r="UC105" s="308"/>
      <c r="UD105" s="308"/>
      <c r="UE105" s="308"/>
      <c r="UF105" s="308"/>
      <c r="UG105" s="308"/>
      <c r="UH105" s="308"/>
      <c r="UI105" s="308"/>
      <c r="UJ105" s="308"/>
      <c r="UK105" s="308"/>
      <c r="UL105" s="308"/>
      <c r="UM105" s="308"/>
      <c r="UN105" s="308"/>
      <c r="UO105" s="308"/>
      <c r="UP105" s="308"/>
      <c r="UQ105" s="308"/>
      <c r="UR105" s="308"/>
      <c r="US105" s="308"/>
      <c r="UT105" s="308"/>
      <c r="UU105" s="308"/>
      <c r="UV105" s="308"/>
      <c r="UW105" s="308"/>
      <c r="UX105" s="308"/>
      <c r="UY105" s="308"/>
      <c r="UZ105" s="308"/>
      <c r="VA105" s="308"/>
      <c r="VB105" s="308"/>
      <c r="VC105" s="308"/>
      <c r="VD105" s="308"/>
      <c r="VE105" s="308"/>
      <c r="VF105" s="308"/>
      <c r="VG105" s="308"/>
      <c r="VH105" s="308"/>
      <c r="VI105" s="308"/>
      <c r="VJ105" s="308"/>
      <c r="VK105" s="308"/>
      <c r="VL105" s="308"/>
      <c r="VM105" s="308"/>
      <c r="VN105" s="308"/>
      <c r="VO105" s="308"/>
      <c r="VP105" s="308"/>
      <c r="VQ105" s="308"/>
      <c r="VR105" s="308"/>
      <c r="VS105" s="308"/>
      <c r="VT105" s="308"/>
      <c r="VU105" s="308"/>
      <c r="VV105" s="308"/>
      <c r="VW105" s="308"/>
      <c r="VX105" s="308"/>
      <c r="VY105" s="308"/>
      <c r="VZ105" s="308"/>
      <c r="WA105" s="308"/>
      <c r="WB105" s="308"/>
      <c r="WC105" s="308"/>
      <c r="WD105" s="308"/>
      <c r="WE105" s="308"/>
      <c r="WF105" s="308"/>
      <c r="WG105" s="308"/>
      <c r="WH105" s="308"/>
      <c r="WI105" s="308"/>
      <c r="WJ105" s="308"/>
      <c r="WK105" s="308"/>
      <c r="WL105" s="308"/>
      <c r="WM105" s="308"/>
      <c r="WN105" s="308"/>
      <c r="WO105" s="308"/>
      <c r="WP105" s="308"/>
      <c r="WQ105" s="308"/>
      <c r="WR105" s="308"/>
      <c r="WS105" s="308"/>
      <c r="WT105" s="308"/>
      <c r="WU105" s="308"/>
      <c r="WV105" s="308"/>
      <c r="WW105" s="308"/>
      <c r="WX105" s="308"/>
      <c r="WY105" s="308"/>
      <c r="WZ105" s="308"/>
      <c r="XA105" s="308"/>
      <c r="XB105" s="308"/>
      <c r="XC105" s="308"/>
      <c r="XD105" s="308"/>
      <c r="XE105" s="308"/>
      <c r="XF105" s="308"/>
      <c r="XG105" s="308"/>
      <c r="XH105" s="308"/>
      <c r="XI105" s="308"/>
      <c r="XJ105" s="308"/>
      <c r="XK105" s="308"/>
      <c r="XL105" s="308"/>
      <c r="XM105" s="308"/>
      <c r="XN105" s="308"/>
      <c r="XO105" s="308"/>
      <c r="XP105" s="308"/>
      <c r="XQ105" s="308"/>
      <c r="XR105" s="308"/>
      <c r="XS105" s="308"/>
      <c r="XT105" s="308"/>
      <c r="XU105" s="308"/>
      <c r="XV105" s="308"/>
      <c r="XW105" s="308"/>
      <c r="XX105" s="308"/>
      <c r="XY105" s="308"/>
      <c r="XZ105" s="308"/>
      <c r="YA105" s="308"/>
      <c r="YB105" s="308"/>
      <c r="YC105" s="308"/>
      <c r="YD105" s="308"/>
      <c r="YE105" s="308"/>
      <c r="YF105" s="308"/>
      <c r="YG105" s="308"/>
      <c r="YH105" s="308"/>
      <c r="YI105" s="308"/>
      <c r="YJ105" s="308"/>
      <c r="YK105" s="308"/>
      <c r="YL105" s="308"/>
      <c r="YM105" s="308"/>
      <c r="YN105" s="308"/>
      <c r="YO105" s="308"/>
      <c r="YP105" s="308"/>
      <c r="YQ105" s="308"/>
      <c r="YR105" s="308"/>
      <c r="YS105" s="308"/>
      <c r="YT105" s="308"/>
      <c r="YU105" s="308"/>
      <c r="YV105" s="308"/>
      <c r="YW105" s="308"/>
      <c r="YX105" s="308"/>
      <c r="YY105" s="308"/>
      <c r="YZ105" s="308"/>
      <c r="ZA105" s="308"/>
      <c r="ZB105" s="308"/>
      <c r="ZC105" s="308"/>
      <c r="ZD105" s="308"/>
      <c r="ZE105" s="308"/>
      <c r="ZF105" s="308"/>
      <c r="ZG105" s="308"/>
      <c r="ZH105" s="308"/>
      <c r="ZI105" s="308"/>
      <c r="ZJ105" s="308"/>
      <c r="ZK105" s="308"/>
      <c r="ZL105" s="308"/>
      <c r="ZM105" s="308"/>
      <c r="ZN105" s="308"/>
      <c r="ZO105" s="308"/>
      <c r="ZP105" s="308"/>
      <c r="ZQ105" s="308"/>
      <c r="ZR105" s="308"/>
      <c r="ZS105" s="308"/>
      <c r="ZT105" s="308"/>
      <c r="ZU105" s="308"/>
      <c r="ZV105" s="308"/>
      <c r="ZW105" s="308"/>
      <c r="ZX105" s="308"/>
      <c r="ZY105" s="308"/>
      <c r="ZZ105" s="308"/>
      <c r="AAA105" s="308"/>
      <c r="AAB105" s="308"/>
      <c r="AAC105" s="308"/>
      <c r="AAD105" s="308"/>
      <c r="AAE105" s="308"/>
      <c r="AAF105" s="308"/>
      <c r="AAG105" s="308"/>
      <c r="AAH105" s="308"/>
      <c r="AAI105" s="308"/>
      <c r="AAJ105" s="308"/>
      <c r="AAK105" s="308"/>
      <c r="AAL105" s="308"/>
      <c r="AAM105" s="308"/>
      <c r="AAN105" s="308"/>
      <c r="AAO105" s="308"/>
      <c r="AAP105" s="308"/>
      <c r="AAQ105" s="308"/>
      <c r="AAR105" s="308"/>
      <c r="AAS105" s="308"/>
      <c r="AAT105" s="308"/>
      <c r="AAU105" s="308"/>
      <c r="AAV105" s="308"/>
      <c r="AAW105" s="308"/>
      <c r="AAX105" s="308"/>
      <c r="AAY105" s="308"/>
      <c r="AAZ105" s="308"/>
      <c r="ABA105" s="308"/>
      <c r="ABB105" s="308"/>
      <c r="ABC105" s="308"/>
      <c r="ABD105" s="308"/>
      <c r="ABE105" s="308"/>
      <c r="ABF105" s="308"/>
      <c r="ABG105" s="308"/>
      <c r="ABH105" s="308"/>
      <c r="ABI105" s="308"/>
      <c r="ABJ105" s="308"/>
      <c r="ABK105" s="308"/>
      <c r="ABL105" s="308"/>
      <c r="ABM105" s="308"/>
      <c r="ABN105" s="308"/>
      <c r="ABO105" s="308"/>
      <c r="ABP105" s="308"/>
      <c r="ABQ105" s="308"/>
      <c r="ABR105" s="308"/>
      <c r="ABS105" s="308"/>
      <c r="ABT105" s="308"/>
      <c r="ABU105" s="308"/>
      <c r="ABV105" s="308"/>
      <c r="ABW105" s="308"/>
      <c r="ABX105" s="308"/>
      <c r="ABY105" s="308"/>
      <c r="ABZ105" s="308"/>
      <c r="ACA105" s="308"/>
      <c r="ACB105" s="308"/>
      <c r="ACC105" s="308"/>
      <c r="ACD105" s="308"/>
      <c r="ACE105" s="308"/>
      <c r="ACF105" s="308"/>
      <c r="ACG105" s="308"/>
      <c r="ACH105" s="308"/>
      <c r="ACI105" s="308"/>
      <c r="ACJ105" s="308"/>
      <c r="ACK105" s="308"/>
      <c r="ACL105" s="308"/>
      <c r="ACM105" s="308"/>
      <c r="ACN105" s="308"/>
      <c r="ACO105" s="308"/>
      <c r="ACP105" s="308"/>
      <c r="ACQ105" s="308"/>
      <c r="ACR105" s="308"/>
      <c r="ACS105" s="308"/>
      <c r="ACT105" s="308"/>
      <c r="ACU105" s="308"/>
      <c r="ACV105" s="308"/>
      <c r="ACW105" s="308"/>
      <c r="ACX105" s="308"/>
      <c r="ACY105" s="308"/>
      <c r="ACZ105" s="308"/>
      <c r="ADA105" s="308"/>
      <c r="ADB105" s="308"/>
      <c r="ADC105" s="308"/>
      <c r="ADD105" s="308"/>
      <c r="ADE105" s="308"/>
      <c r="ADF105" s="308"/>
      <c r="ADG105" s="308"/>
      <c r="ADH105" s="308"/>
      <c r="ADI105" s="308"/>
      <c r="ADJ105" s="308"/>
      <c r="ADK105" s="308"/>
      <c r="ADL105" s="308"/>
      <c r="ADM105" s="308"/>
      <c r="ADN105" s="308"/>
      <c r="ADO105" s="308"/>
      <c r="ADP105" s="308"/>
      <c r="ADQ105" s="308"/>
      <c r="ADR105" s="308"/>
      <c r="ADS105" s="308"/>
      <c r="ADT105" s="308"/>
      <c r="ADU105" s="308"/>
      <c r="ADV105" s="308"/>
      <c r="ADW105" s="308"/>
      <c r="ADX105" s="308"/>
      <c r="ADY105" s="308"/>
      <c r="ADZ105" s="308"/>
      <c r="AEA105" s="308"/>
      <c r="AEB105" s="308"/>
      <c r="AEC105" s="308"/>
      <c r="AED105" s="308"/>
      <c r="AEE105" s="308"/>
      <c r="AEF105" s="308"/>
      <c r="AEG105" s="308"/>
      <c r="AEH105" s="308"/>
      <c r="AEI105" s="308"/>
      <c r="AEJ105" s="308"/>
      <c r="AEK105" s="308"/>
      <c r="AEL105" s="308"/>
      <c r="AEM105" s="308"/>
      <c r="AEN105" s="308"/>
      <c r="AEO105" s="308"/>
      <c r="AEP105" s="308"/>
      <c r="AEQ105" s="308"/>
      <c r="AER105" s="308"/>
      <c r="AES105" s="308"/>
      <c r="AET105" s="308"/>
      <c r="AEU105" s="308"/>
      <c r="AEV105" s="308"/>
      <c r="AEW105" s="308"/>
      <c r="AEX105" s="308"/>
      <c r="AEY105" s="308"/>
      <c r="AEZ105" s="308"/>
      <c r="AFA105" s="308"/>
      <c r="AFB105" s="308"/>
      <c r="AFC105" s="308"/>
      <c r="AFD105" s="308"/>
      <c r="AFE105" s="308"/>
      <c r="AFF105" s="308"/>
      <c r="AFG105" s="308"/>
      <c r="AFH105" s="308"/>
      <c r="AFI105" s="308"/>
      <c r="AFJ105" s="308"/>
      <c r="AFK105" s="308"/>
      <c r="AFL105" s="308"/>
      <c r="AFM105" s="308"/>
      <c r="AFN105" s="308"/>
      <c r="AFO105" s="308"/>
      <c r="AFP105" s="308"/>
      <c r="AFQ105" s="308"/>
      <c r="AFR105" s="308"/>
      <c r="AFS105" s="308"/>
      <c r="AFT105" s="308"/>
      <c r="AFU105" s="308"/>
      <c r="AFV105" s="308"/>
      <c r="AFW105" s="308"/>
      <c r="AFX105" s="308"/>
      <c r="AFY105" s="308"/>
      <c r="AFZ105" s="308"/>
      <c r="AGA105" s="308"/>
      <c r="AGB105" s="308"/>
      <c r="AGC105" s="308"/>
      <c r="AGD105" s="308"/>
      <c r="AGE105" s="308"/>
      <c r="AGF105" s="308"/>
      <c r="AGG105" s="308"/>
      <c r="AGH105" s="308"/>
      <c r="AGI105" s="308"/>
      <c r="AGJ105" s="308"/>
      <c r="AGK105" s="308"/>
      <c r="AGL105" s="308"/>
      <c r="AGM105" s="308"/>
      <c r="AGN105" s="308"/>
      <c r="AGO105" s="308"/>
      <c r="AGP105" s="308"/>
      <c r="AGQ105" s="308"/>
      <c r="AGR105" s="308"/>
      <c r="AGS105" s="308"/>
      <c r="AGT105" s="308"/>
      <c r="AGU105" s="308"/>
      <c r="AGV105" s="308"/>
      <c r="AGW105" s="308"/>
      <c r="AGX105" s="308"/>
      <c r="AGY105" s="308"/>
      <c r="AGZ105" s="308"/>
      <c r="AHA105" s="308"/>
      <c r="AHB105" s="308"/>
      <c r="AHC105" s="308"/>
      <c r="AHD105" s="308"/>
      <c r="AHE105" s="308"/>
      <c r="AHF105" s="308"/>
      <c r="AHG105" s="308"/>
      <c r="AHH105" s="308"/>
      <c r="AHI105" s="308"/>
      <c r="AHJ105" s="308"/>
      <c r="AHK105" s="308"/>
      <c r="AHL105" s="308"/>
      <c r="AHM105" s="308"/>
      <c r="AHN105" s="308"/>
      <c r="AHO105" s="308"/>
      <c r="AHP105" s="308"/>
      <c r="AHQ105" s="308"/>
      <c r="AHR105" s="308"/>
      <c r="AHS105" s="308"/>
      <c r="AHT105" s="308"/>
      <c r="AHU105" s="308"/>
      <c r="AHV105" s="308"/>
      <c r="AHW105" s="308"/>
      <c r="AHX105" s="308"/>
      <c r="AHY105" s="308"/>
      <c r="AHZ105" s="308"/>
      <c r="AIA105" s="308"/>
      <c r="AIB105" s="308"/>
      <c r="AIC105" s="308"/>
      <c r="AID105" s="308"/>
      <c r="AIE105" s="308"/>
      <c r="AIF105" s="308"/>
      <c r="AIG105" s="308"/>
      <c r="AIH105" s="308"/>
      <c r="AII105" s="308"/>
      <c r="AIJ105" s="308"/>
      <c r="AIK105" s="308"/>
      <c r="AIL105" s="308"/>
      <c r="AIM105" s="308"/>
      <c r="AIN105" s="308"/>
      <c r="AIO105" s="308"/>
      <c r="AIP105" s="308"/>
      <c r="AIQ105" s="308"/>
      <c r="AIR105" s="308"/>
      <c r="AIS105" s="308"/>
      <c r="AIT105" s="308"/>
      <c r="AIU105" s="308"/>
      <c r="AIV105" s="308"/>
      <c r="AIW105" s="308"/>
      <c r="AIX105" s="308"/>
      <c r="AIY105" s="308"/>
      <c r="AIZ105" s="308"/>
      <c r="AJA105" s="308"/>
      <c r="AJB105" s="308"/>
      <c r="AJC105" s="308"/>
    </row>
    <row r="106" spans="1:940" s="546" customFormat="1">
      <c r="A106" s="308"/>
      <c r="B106" s="308"/>
      <c r="C106" s="308"/>
      <c r="D106" s="312"/>
      <c r="E106" s="312"/>
      <c r="F106" s="312"/>
      <c r="G106" s="312"/>
      <c r="H106" s="312"/>
      <c r="I106" s="312"/>
      <c r="J106" s="312"/>
      <c r="K106" s="312"/>
      <c r="L106" s="312"/>
      <c r="M106" s="312"/>
      <c r="N106" s="312"/>
      <c r="O106" s="312"/>
      <c r="P106" s="312"/>
      <c r="Q106" s="312"/>
      <c r="R106" s="312"/>
      <c r="S106" s="312"/>
      <c r="T106" s="575"/>
      <c r="U106" s="308"/>
      <c r="V106" s="576"/>
      <c r="W106" s="577"/>
      <c r="X106" s="308"/>
      <c r="Y106" s="308"/>
      <c r="Z106" s="308"/>
      <c r="AA106" s="308"/>
      <c r="AB106" s="308"/>
      <c r="AC106" s="544"/>
      <c r="AD106" s="544"/>
      <c r="AE106" s="544"/>
      <c r="AF106" s="544"/>
      <c r="AG106" s="544"/>
      <c r="AH106" s="544"/>
      <c r="AI106" s="544"/>
      <c r="AJ106" s="544"/>
      <c r="AK106" s="544"/>
      <c r="AL106" s="308"/>
      <c r="AM106" s="308"/>
      <c r="AN106" s="544"/>
      <c r="AO106" s="544"/>
      <c r="AP106" s="308"/>
      <c r="AQ106" s="308"/>
      <c r="AR106" s="308"/>
      <c r="AS106" s="308"/>
      <c r="AT106" s="544"/>
      <c r="AU106" s="308"/>
      <c r="AV106" s="308"/>
      <c r="AW106" s="308"/>
      <c r="AX106" s="308"/>
      <c r="AY106" s="544"/>
      <c r="AZ106" s="308"/>
      <c r="BA106" s="308"/>
      <c r="BB106" s="308"/>
      <c r="BC106" s="308"/>
      <c r="BD106" s="308"/>
      <c r="BE106" s="308"/>
      <c r="BF106" s="308"/>
      <c r="BG106" s="308"/>
      <c r="BH106" s="308"/>
      <c r="BI106" s="308"/>
      <c r="BJ106" s="308"/>
      <c r="BK106" s="308"/>
      <c r="BL106" s="308"/>
      <c r="BM106" s="308"/>
      <c r="BN106" s="308"/>
      <c r="BO106" s="308"/>
      <c r="BP106" s="308"/>
      <c r="BQ106" s="308"/>
      <c r="BR106" s="308"/>
      <c r="BS106" s="308"/>
      <c r="BT106" s="308"/>
      <c r="BU106" s="308"/>
      <c r="BV106" s="308"/>
      <c r="BW106" s="308"/>
      <c r="BX106" s="308"/>
      <c r="BY106" s="308"/>
      <c r="BZ106" s="308"/>
      <c r="CA106" s="308"/>
      <c r="CB106" s="308"/>
      <c r="CC106" s="308"/>
      <c r="CD106" s="308"/>
      <c r="CE106" s="308"/>
      <c r="CF106" s="308"/>
      <c r="CG106" s="308"/>
      <c r="CH106" s="308"/>
      <c r="CI106" s="308"/>
      <c r="CJ106" s="308"/>
      <c r="CK106" s="308"/>
      <c r="CL106" s="308"/>
      <c r="CM106" s="308"/>
      <c r="CN106" s="308"/>
      <c r="CO106" s="308"/>
      <c r="CP106" s="308"/>
      <c r="CQ106" s="308"/>
      <c r="CR106" s="308"/>
      <c r="CS106" s="308"/>
      <c r="CT106" s="308"/>
      <c r="CU106" s="308"/>
      <c r="CV106" s="308"/>
      <c r="CW106" s="308"/>
      <c r="CX106" s="308"/>
      <c r="CY106" s="308"/>
      <c r="CZ106" s="308"/>
      <c r="DA106" s="308"/>
      <c r="DB106" s="308"/>
      <c r="DC106" s="308"/>
      <c r="DD106" s="308"/>
      <c r="DE106" s="308"/>
      <c r="DF106" s="308"/>
      <c r="DG106" s="308"/>
      <c r="DH106" s="308"/>
      <c r="DI106" s="308"/>
      <c r="DJ106" s="308"/>
      <c r="DK106" s="308"/>
      <c r="DL106" s="308"/>
      <c r="DM106" s="308"/>
      <c r="DN106" s="308"/>
      <c r="DO106" s="308"/>
      <c r="DP106" s="308"/>
      <c r="DQ106" s="308"/>
      <c r="DR106" s="308"/>
      <c r="DS106" s="308"/>
      <c r="DT106" s="308"/>
      <c r="DU106" s="308"/>
      <c r="DV106" s="308"/>
      <c r="DW106" s="308"/>
      <c r="DX106" s="308"/>
      <c r="DY106" s="308"/>
      <c r="DZ106" s="308"/>
      <c r="EA106" s="308"/>
      <c r="EB106" s="308"/>
      <c r="EC106" s="308"/>
      <c r="ED106" s="308"/>
      <c r="EE106" s="308"/>
      <c r="EF106" s="308"/>
      <c r="EG106" s="308"/>
      <c r="EH106" s="308"/>
      <c r="EI106" s="308"/>
      <c r="EJ106" s="308"/>
      <c r="EK106" s="308"/>
      <c r="EL106" s="308"/>
      <c r="EM106" s="308"/>
      <c r="EN106" s="308"/>
      <c r="EO106" s="308"/>
      <c r="EP106" s="308"/>
      <c r="EQ106" s="308"/>
      <c r="ER106" s="308"/>
      <c r="ES106" s="308"/>
      <c r="ET106" s="308"/>
      <c r="EU106" s="308"/>
      <c r="EV106" s="308"/>
      <c r="EW106" s="308"/>
      <c r="EX106" s="308"/>
      <c r="EY106" s="308"/>
      <c r="EZ106" s="308"/>
      <c r="FA106" s="308"/>
      <c r="FB106" s="308"/>
      <c r="FC106" s="308"/>
      <c r="FD106" s="308"/>
      <c r="FE106" s="308"/>
      <c r="FF106" s="308"/>
      <c r="FG106" s="308"/>
      <c r="FH106" s="308"/>
      <c r="FI106" s="308"/>
      <c r="FJ106" s="308"/>
      <c r="FK106" s="308"/>
      <c r="FL106" s="308"/>
      <c r="FM106" s="308"/>
      <c r="FN106" s="308"/>
      <c r="FO106" s="308"/>
      <c r="FP106" s="308"/>
      <c r="FQ106" s="308"/>
      <c r="FR106" s="308"/>
      <c r="FS106" s="308"/>
      <c r="FT106" s="308"/>
      <c r="FU106" s="308"/>
      <c r="FV106" s="308"/>
      <c r="FW106" s="308"/>
      <c r="FX106" s="308"/>
      <c r="FY106" s="308"/>
      <c r="FZ106" s="308"/>
      <c r="GA106" s="308"/>
      <c r="GB106" s="308"/>
      <c r="GC106" s="308"/>
      <c r="GD106" s="308"/>
      <c r="GE106" s="308"/>
      <c r="GF106" s="308"/>
      <c r="GG106" s="308"/>
      <c r="GH106" s="308"/>
      <c r="GI106" s="308"/>
      <c r="GJ106" s="308"/>
      <c r="GK106" s="308"/>
      <c r="GL106" s="308"/>
      <c r="GM106" s="308"/>
      <c r="GN106" s="308"/>
      <c r="GO106" s="308"/>
      <c r="GP106" s="308"/>
      <c r="GQ106" s="308"/>
      <c r="GR106" s="308"/>
      <c r="GS106" s="308"/>
      <c r="GT106" s="308"/>
      <c r="GU106" s="308"/>
      <c r="GV106" s="308"/>
      <c r="GW106" s="308"/>
      <c r="GX106" s="308"/>
      <c r="GY106" s="308"/>
      <c r="GZ106" s="308"/>
      <c r="HA106" s="308"/>
      <c r="HB106" s="308"/>
      <c r="HC106" s="308"/>
      <c r="HD106" s="308"/>
      <c r="HE106" s="308"/>
      <c r="HF106" s="308"/>
      <c r="HG106" s="308"/>
      <c r="HH106" s="308"/>
      <c r="HI106" s="308"/>
      <c r="HJ106" s="308"/>
      <c r="HK106" s="308"/>
      <c r="HL106" s="308"/>
      <c r="HM106" s="308"/>
      <c r="HN106" s="308"/>
      <c r="HO106" s="308"/>
      <c r="HP106" s="308"/>
      <c r="HQ106" s="308"/>
      <c r="HR106" s="308"/>
      <c r="HS106" s="308"/>
      <c r="HT106" s="308"/>
      <c r="HU106" s="308"/>
      <c r="HV106" s="308"/>
      <c r="HW106" s="308"/>
      <c r="HX106" s="308"/>
      <c r="HY106" s="308"/>
      <c r="HZ106" s="308"/>
      <c r="IA106" s="308"/>
      <c r="IB106" s="308"/>
      <c r="IC106" s="308"/>
      <c r="ID106" s="308"/>
      <c r="IE106" s="308"/>
      <c r="IF106" s="308"/>
      <c r="IG106" s="308"/>
      <c r="IH106" s="308"/>
      <c r="II106" s="308"/>
      <c r="IJ106" s="308"/>
      <c r="IK106" s="308"/>
      <c r="IL106" s="308"/>
      <c r="IM106" s="308"/>
      <c r="IN106" s="308"/>
      <c r="IO106" s="308"/>
      <c r="IP106" s="308"/>
      <c r="IQ106" s="308"/>
      <c r="IR106" s="308"/>
      <c r="IS106" s="308"/>
      <c r="IT106" s="308"/>
      <c r="IU106" s="308"/>
      <c r="IV106" s="308"/>
      <c r="IW106" s="308"/>
      <c r="IX106" s="308"/>
      <c r="IY106" s="308"/>
      <c r="IZ106" s="308"/>
      <c r="JA106" s="308"/>
      <c r="JB106" s="308"/>
      <c r="JC106" s="308"/>
      <c r="JD106" s="308"/>
      <c r="JE106" s="308"/>
      <c r="JF106" s="308"/>
      <c r="JG106" s="308"/>
      <c r="JH106" s="308"/>
      <c r="JI106" s="308"/>
      <c r="JJ106" s="308"/>
      <c r="JK106" s="308"/>
      <c r="JL106" s="308"/>
      <c r="JM106" s="308"/>
      <c r="JN106" s="308"/>
      <c r="JO106" s="308"/>
      <c r="JP106" s="308"/>
      <c r="JQ106" s="308"/>
      <c r="JR106" s="308"/>
      <c r="JS106" s="308"/>
      <c r="JT106" s="308"/>
      <c r="JU106" s="308"/>
      <c r="JV106" s="308"/>
      <c r="JW106" s="308"/>
      <c r="JX106" s="308"/>
      <c r="JY106" s="308"/>
      <c r="JZ106" s="308"/>
      <c r="KA106" s="308"/>
      <c r="KB106" s="308"/>
      <c r="KC106" s="308"/>
      <c r="KD106" s="308"/>
      <c r="KE106" s="308"/>
      <c r="KF106" s="308"/>
      <c r="KG106" s="308"/>
      <c r="KH106" s="308"/>
      <c r="KI106" s="308"/>
      <c r="KJ106" s="308"/>
      <c r="KK106" s="308"/>
      <c r="KL106" s="308"/>
      <c r="KM106" s="308"/>
      <c r="KN106" s="308"/>
      <c r="KO106" s="308"/>
      <c r="KP106" s="308"/>
      <c r="KQ106" s="308"/>
      <c r="KR106" s="308"/>
      <c r="KS106" s="308"/>
      <c r="KT106" s="308"/>
      <c r="KU106" s="308"/>
      <c r="KV106" s="308"/>
      <c r="KW106" s="308"/>
      <c r="KX106" s="308"/>
      <c r="KY106" s="308"/>
      <c r="KZ106" s="308"/>
      <c r="LA106" s="308"/>
      <c r="LB106" s="308"/>
      <c r="LC106" s="308"/>
      <c r="LD106" s="308"/>
      <c r="LE106" s="308"/>
      <c r="LF106" s="308"/>
      <c r="LG106" s="308"/>
      <c r="LH106" s="308"/>
      <c r="LI106" s="308"/>
      <c r="LJ106" s="308"/>
      <c r="LK106" s="308"/>
      <c r="LL106" s="308"/>
      <c r="LM106" s="308"/>
      <c r="LN106" s="308"/>
      <c r="LO106" s="308"/>
      <c r="LP106" s="308"/>
      <c r="LQ106" s="308"/>
      <c r="LR106" s="308"/>
      <c r="LS106" s="308"/>
      <c r="LT106" s="308"/>
      <c r="LU106" s="308"/>
      <c r="LV106" s="308"/>
      <c r="LW106" s="308"/>
      <c r="LX106" s="308"/>
      <c r="LY106" s="308"/>
      <c r="LZ106" s="308"/>
      <c r="MA106" s="308"/>
      <c r="MB106" s="308"/>
      <c r="MC106" s="308"/>
      <c r="MD106" s="308"/>
      <c r="ME106" s="308"/>
      <c r="MF106" s="308"/>
      <c r="MG106" s="308"/>
      <c r="MH106" s="308"/>
      <c r="MI106" s="308"/>
      <c r="MJ106" s="308"/>
      <c r="MK106" s="308"/>
      <c r="ML106" s="308"/>
      <c r="MM106" s="308"/>
      <c r="MN106" s="308"/>
      <c r="MO106" s="308"/>
      <c r="MP106" s="308"/>
      <c r="MQ106" s="308"/>
      <c r="MR106" s="308"/>
      <c r="MS106" s="308"/>
      <c r="MT106" s="308"/>
      <c r="MU106" s="308"/>
      <c r="MV106" s="308"/>
      <c r="MW106" s="308"/>
      <c r="MX106" s="308"/>
      <c r="MY106" s="308"/>
      <c r="MZ106" s="308"/>
      <c r="NA106" s="308"/>
      <c r="NB106" s="308"/>
      <c r="NC106" s="308"/>
      <c r="ND106" s="308"/>
      <c r="NE106" s="308"/>
      <c r="NF106" s="308"/>
      <c r="NG106" s="308"/>
      <c r="NH106" s="308"/>
      <c r="NI106" s="308"/>
      <c r="NJ106" s="308"/>
      <c r="NK106" s="308"/>
      <c r="NL106" s="308"/>
      <c r="NM106" s="308"/>
      <c r="NN106" s="308"/>
      <c r="NO106" s="308"/>
      <c r="NP106" s="308"/>
      <c r="NQ106" s="308"/>
      <c r="NR106" s="308"/>
      <c r="NS106" s="308"/>
      <c r="NT106" s="308"/>
      <c r="NU106" s="308"/>
      <c r="NV106" s="308"/>
      <c r="NW106" s="308"/>
      <c r="NX106" s="308"/>
      <c r="NY106" s="308"/>
      <c r="NZ106" s="308"/>
      <c r="OA106" s="308"/>
      <c r="OB106" s="308"/>
      <c r="OC106" s="308"/>
      <c r="OD106" s="308"/>
      <c r="OE106" s="308"/>
      <c r="OF106" s="308"/>
      <c r="OG106" s="308"/>
      <c r="OH106" s="308"/>
      <c r="OI106" s="308"/>
      <c r="OJ106" s="308"/>
      <c r="OK106" s="308"/>
      <c r="OL106" s="308"/>
      <c r="OM106" s="308"/>
      <c r="ON106" s="308"/>
      <c r="OO106" s="308"/>
      <c r="OP106" s="308"/>
      <c r="OQ106" s="308"/>
      <c r="OR106" s="308"/>
      <c r="OS106" s="308"/>
      <c r="OT106" s="308"/>
      <c r="OU106" s="308"/>
      <c r="OV106" s="308"/>
      <c r="OW106" s="308"/>
      <c r="OX106" s="308"/>
      <c r="OY106" s="308"/>
      <c r="OZ106" s="308"/>
      <c r="PA106" s="308"/>
      <c r="PB106" s="308"/>
      <c r="PC106" s="308"/>
      <c r="PD106" s="308"/>
      <c r="PE106" s="308"/>
      <c r="PF106" s="308"/>
      <c r="PG106" s="308"/>
      <c r="PH106" s="308"/>
      <c r="PI106" s="308"/>
      <c r="PJ106" s="308"/>
      <c r="PK106" s="308"/>
      <c r="PL106" s="308"/>
      <c r="PM106" s="308"/>
      <c r="PN106" s="308"/>
      <c r="PO106" s="308"/>
      <c r="PP106" s="308"/>
      <c r="PQ106" s="308"/>
      <c r="PR106" s="308"/>
      <c r="PS106" s="308"/>
      <c r="PT106" s="308"/>
      <c r="PU106" s="308"/>
      <c r="PV106" s="308"/>
      <c r="PW106" s="308"/>
      <c r="PX106" s="308"/>
      <c r="PY106" s="308"/>
      <c r="PZ106" s="308"/>
      <c r="QA106" s="308"/>
      <c r="QB106" s="308"/>
      <c r="QC106" s="308"/>
      <c r="QD106" s="308"/>
      <c r="QE106" s="308"/>
      <c r="QF106" s="308"/>
      <c r="QG106" s="308"/>
      <c r="QH106" s="308"/>
      <c r="QI106" s="308"/>
      <c r="QJ106" s="308"/>
      <c r="QK106" s="308"/>
      <c r="QL106" s="308"/>
      <c r="QM106" s="308"/>
      <c r="QN106" s="308"/>
      <c r="QO106" s="308"/>
      <c r="QP106" s="308"/>
      <c r="QQ106" s="308"/>
      <c r="QR106" s="308"/>
      <c r="QS106" s="308"/>
      <c r="QT106" s="308"/>
      <c r="QU106" s="308"/>
      <c r="QV106" s="308"/>
      <c r="QW106" s="308"/>
      <c r="QX106" s="308"/>
      <c r="QY106" s="308"/>
      <c r="QZ106" s="308"/>
      <c r="RA106" s="308"/>
      <c r="RB106" s="308"/>
      <c r="RC106" s="308"/>
      <c r="RD106" s="308"/>
      <c r="RE106" s="308"/>
      <c r="RF106" s="308"/>
      <c r="RG106" s="308"/>
      <c r="RH106" s="308"/>
      <c r="RI106" s="308"/>
      <c r="RJ106" s="308"/>
      <c r="RK106" s="308"/>
      <c r="RL106" s="308"/>
      <c r="RM106" s="308"/>
      <c r="RN106" s="308"/>
      <c r="RO106" s="308"/>
      <c r="RP106" s="308"/>
      <c r="RQ106" s="308"/>
      <c r="RR106" s="308"/>
      <c r="RS106" s="308"/>
      <c r="RT106" s="308"/>
      <c r="RU106" s="308"/>
      <c r="RV106" s="308"/>
      <c r="RW106" s="308"/>
      <c r="RX106" s="308"/>
      <c r="RY106" s="308"/>
      <c r="RZ106" s="308"/>
      <c r="SA106" s="308"/>
      <c r="SB106" s="308"/>
      <c r="SC106" s="308"/>
      <c r="SD106" s="308"/>
      <c r="SE106" s="308"/>
      <c r="SF106" s="308"/>
      <c r="SG106" s="308"/>
      <c r="SH106" s="308"/>
      <c r="SI106" s="308"/>
      <c r="SJ106" s="308"/>
      <c r="SK106" s="308"/>
      <c r="SL106" s="308"/>
      <c r="SM106" s="308"/>
      <c r="SN106" s="308"/>
      <c r="SO106" s="308"/>
      <c r="SP106" s="308"/>
      <c r="SQ106" s="308"/>
      <c r="SR106" s="308"/>
      <c r="SS106" s="308"/>
      <c r="ST106" s="308"/>
      <c r="SU106" s="308"/>
      <c r="SV106" s="308"/>
      <c r="SW106" s="308"/>
      <c r="SX106" s="308"/>
      <c r="SY106" s="308"/>
      <c r="SZ106" s="308"/>
      <c r="TA106" s="308"/>
      <c r="TB106" s="308"/>
      <c r="TC106" s="308"/>
      <c r="TD106" s="308"/>
      <c r="TE106" s="308"/>
      <c r="TF106" s="308"/>
      <c r="TG106" s="308"/>
      <c r="TH106" s="308"/>
      <c r="TI106" s="308"/>
      <c r="TJ106" s="308"/>
      <c r="TK106" s="308"/>
      <c r="TL106" s="308"/>
      <c r="TM106" s="308"/>
      <c r="TN106" s="308"/>
      <c r="TO106" s="308"/>
      <c r="TP106" s="308"/>
      <c r="TQ106" s="308"/>
      <c r="TR106" s="308"/>
      <c r="TS106" s="308"/>
      <c r="TT106" s="308"/>
      <c r="TU106" s="308"/>
      <c r="TV106" s="308"/>
      <c r="TW106" s="308"/>
      <c r="TX106" s="308"/>
      <c r="TY106" s="308"/>
      <c r="TZ106" s="308"/>
      <c r="UA106" s="308"/>
      <c r="UB106" s="308"/>
      <c r="UC106" s="308"/>
      <c r="UD106" s="308"/>
      <c r="UE106" s="308"/>
      <c r="UF106" s="308"/>
      <c r="UG106" s="308"/>
      <c r="UH106" s="308"/>
      <c r="UI106" s="308"/>
      <c r="UJ106" s="308"/>
      <c r="UK106" s="308"/>
      <c r="UL106" s="308"/>
      <c r="UM106" s="308"/>
      <c r="UN106" s="308"/>
      <c r="UO106" s="308"/>
      <c r="UP106" s="308"/>
      <c r="UQ106" s="308"/>
      <c r="UR106" s="308"/>
      <c r="US106" s="308"/>
      <c r="UT106" s="308"/>
      <c r="UU106" s="308"/>
      <c r="UV106" s="308"/>
      <c r="UW106" s="308"/>
      <c r="UX106" s="308"/>
      <c r="UY106" s="308"/>
      <c r="UZ106" s="308"/>
      <c r="VA106" s="308"/>
      <c r="VB106" s="308"/>
      <c r="VC106" s="308"/>
      <c r="VD106" s="308"/>
      <c r="VE106" s="308"/>
      <c r="VF106" s="308"/>
      <c r="VG106" s="308"/>
      <c r="VH106" s="308"/>
      <c r="VI106" s="308"/>
      <c r="VJ106" s="308"/>
      <c r="VK106" s="308"/>
      <c r="VL106" s="308"/>
      <c r="VM106" s="308"/>
      <c r="VN106" s="308"/>
      <c r="VO106" s="308"/>
      <c r="VP106" s="308"/>
      <c r="VQ106" s="308"/>
      <c r="VR106" s="308"/>
      <c r="VS106" s="308"/>
      <c r="VT106" s="308"/>
      <c r="VU106" s="308"/>
      <c r="VV106" s="308"/>
      <c r="VW106" s="308"/>
      <c r="VX106" s="308"/>
      <c r="VY106" s="308"/>
      <c r="VZ106" s="308"/>
      <c r="WA106" s="308"/>
      <c r="WB106" s="308"/>
      <c r="WC106" s="308"/>
      <c r="WD106" s="308"/>
      <c r="WE106" s="308"/>
      <c r="WF106" s="308"/>
      <c r="WG106" s="308"/>
      <c r="WH106" s="308"/>
      <c r="WI106" s="308"/>
      <c r="WJ106" s="308"/>
      <c r="WK106" s="308"/>
      <c r="WL106" s="308"/>
      <c r="WM106" s="308"/>
      <c r="WN106" s="308"/>
      <c r="WO106" s="308"/>
      <c r="WP106" s="308"/>
      <c r="WQ106" s="308"/>
      <c r="WR106" s="308"/>
      <c r="WS106" s="308"/>
      <c r="WT106" s="308"/>
      <c r="WU106" s="308"/>
      <c r="WV106" s="308"/>
      <c r="WW106" s="308"/>
      <c r="WX106" s="308"/>
      <c r="WY106" s="308"/>
      <c r="WZ106" s="308"/>
      <c r="XA106" s="308"/>
      <c r="XB106" s="308"/>
      <c r="XC106" s="308"/>
      <c r="XD106" s="308"/>
      <c r="XE106" s="308"/>
      <c r="XF106" s="308"/>
      <c r="XG106" s="308"/>
      <c r="XH106" s="308"/>
      <c r="XI106" s="308"/>
      <c r="XJ106" s="308"/>
      <c r="XK106" s="308"/>
      <c r="XL106" s="308"/>
      <c r="XM106" s="308"/>
      <c r="XN106" s="308"/>
      <c r="XO106" s="308"/>
      <c r="XP106" s="308"/>
      <c r="XQ106" s="308"/>
      <c r="XR106" s="308"/>
      <c r="XS106" s="308"/>
      <c r="XT106" s="308"/>
      <c r="XU106" s="308"/>
      <c r="XV106" s="308"/>
      <c r="XW106" s="308"/>
      <c r="XX106" s="308"/>
      <c r="XY106" s="308"/>
      <c r="XZ106" s="308"/>
      <c r="YA106" s="308"/>
      <c r="YB106" s="308"/>
      <c r="YC106" s="308"/>
      <c r="YD106" s="308"/>
      <c r="YE106" s="308"/>
      <c r="YF106" s="308"/>
      <c r="YG106" s="308"/>
      <c r="YH106" s="308"/>
      <c r="YI106" s="308"/>
      <c r="YJ106" s="308"/>
      <c r="YK106" s="308"/>
      <c r="YL106" s="308"/>
      <c r="YM106" s="308"/>
      <c r="YN106" s="308"/>
      <c r="YO106" s="308"/>
      <c r="YP106" s="308"/>
      <c r="YQ106" s="308"/>
      <c r="YR106" s="308"/>
      <c r="YS106" s="308"/>
      <c r="YT106" s="308"/>
      <c r="YU106" s="308"/>
      <c r="YV106" s="308"/>
      <c r="YW106" s="308"/>
      <c r="YX106" s="308"/>
      <c r="YY106" s="308"/>
      <c r="YZ106" s="308"/>
      <c r="ZA106" s="308"/>
      <c r="ZB106" s="308"/>
      <c r="ZC106" s="308"/>
      <c r="ZD106" s="308"/>
      <c r="ZE106" s="308"/>
      <c r="ZF106" s="308"/>
      <c r="ZG106" s="308"/>
      <c r="ZH106" s="308"/>
      <c r="ZI106" s="308"/>
      <c r="ZJ106" s="308"/>
      <c r="ZK106" s="308"/>
      <c r="ZL106" s="308"/>
      <c r="ZM106" s="308"/>
      <c r="ZN106" s="308"/>
      <c r="ZO106" s="308"/>
      <c r="ZP106" s="308"/>
      <c r="ZQ106" s="308"/>
      <c r="ZR106" s="308"/>
      <c r="ZS106" s="308"/>
      <c r="ZT106" s="308"/>
      <c r="ZU106" s="308"/>
      <c r="ZV106" s="308"/>
      <c r="ZW106" s="308"/>
      <c r="ZX106" s="308"/>
      <c r="ZY106" s="308"/>
      <c r="ZZ106" s="308"/>
      <c r="AAA106" s="308"/>
      <c r="AAB106" s="308"/>
      <c r="AAC106" s="308"/>
      <c r="AAD106" s="308"/>
      <c r="AAE106" s="308"/>
      <c r="AAF106" s="308"/>
      <c r="AAG106" s="308"/>
      <c r="AAH106" s="308"/>
      <c r="AAI106" s="308"/>
      <c r="AAJ106" s="308"/>
      <c r="AAK106" s="308"/>
      <c r="AAL106" s="308"/>
      <c r="AAM106" s="308"/>
      <c r="AAN106" s="308"/>
      <c r="AAO106" s="308"/>
      <c r="AAP106" s="308"/>
      <c r="AAQ106" s="308"/>
      <c r="AAR106" s="308"/>
      <c r="AAS106" s="308"/>
      <c r="AAT106" s="308"/>
      <c r="AAU106" s="308"/>
      <c r="AAV106" s="308"/>
      <c r="AAW106" s="308"/>
      <c r="AAX106" s="308"/>
      <c r="AAY106" s="308"/>
      <c r="AAZ106" s="308"/>
      <c r="ABA106" s="308"/>
      <c r="ABB106" s="308"/>
      <c r="ABC106" s="308"/>
      <c r="ABD106" s="308"/>
      <c r="ABE106" s="308"/>
      <c r="ABF106" s="308"/>
      <c r="ABG106" s="308"/>
      <c r="ABH106" s="308"/>
      <c r="ABI106" s="308"/>
      <c r="ABJ106" s="308"/>
      <c r="ABK106" s="308"/>
      <c r="ABL106" s="308"/>
      <c r="ABM106" s="308"/>
      <c r="ABN106" s="308"/>
      <c r="ABO106" s="308"/>
      <c r="ABP106" s="308"/>
      <c r="ABQ106" s="308"/>
      <c r="ABR106" s="308"/>
      <c r="ABS106" s="308"/>
      <c r="ABT106" s="308"/>
      <c r="ABU106" s="308"/>
      <c r="ABV106" s="308"/>
      <c r="ABW106" s="308"/>
      <c r="ABX106" s="308"/>
      <c r="ABY106" s="308"/>
      <c r="ABZ106" s="308"/>
      <c r="ACA106" s="308"/>
      <c r="ACB106" s="308"/>
      <c r="ACC106" s="308"/>
      <c r="ACD106" s="308"/>
      <c r="ACE106" s="308"/>
      <c r="ACF106" s="308"/>
      <c r="ACG106" s="308"/>
      <c r="ACH106" s="308"/>
      <c r="ACI106" s="308"/>
      <c r="ACJ106" s="308"/>
      <c r="ACK106" s="308"/>
      <c r="ACL106" s="308"/>
      <c r="ACM106" s="308"/>
      <c r="ACN106" s="308"/>
      <c r="ACO106" s="308"/>
      <c r="ACP106" s="308"/>
      <c r="ACQ106" s="308"/>
      <c r="ACR106" s="308"/>
      <c r="ACS106" s="308"/>
      <c r="ACT106" s="308"/>
      <c r="ACU106" s="308"/>
      <c r="ACV106" s="308"/>
      <c r="ACW106" s="308"/>
      <c r="ACX106" s="308"/>
      <c r="ACY106" s="308"/>
      <c r="ACZ106" s="308"/>
      <c r="ADA106" s="308"/>
      <c r="ADB106" s="308"/>
      <c r="ADC106" s="308"/>
      <c r="ADD106" s="308"/>
      <c r="ADE106" s="308"/>
      <c r="ADF106" s="308"/>
      <c r="ADG106" s="308"/>
      <c r="ADH106" s="308"/>
      <c r="ADI106" s="308"/>
      <c r="ADJ106" s="308"/>
      <c r="ADK106" s="308"/>
      <c r="ADL106" s="308"/>
      <c r="ADM106" s="308"/>
      <c r="ADN106" s="308"/>
      <c r="ADO106" s="308"/>
      <c r="ADP106" s="308"/>
      <c r="ADQ106" s="308"/>
      <c r="ADR106" s="308"/>
      <c r="ADS106" s="308"/>
      <c r="ADT106" s="308"/>
      <c r="ADU106" s="308"/>
      <c r="ADV106" s="308"/>
      <c r="ADW106" s="308"/>
      <c r="ADX106" s="308"/>
      <c r="ADY106" s="308"/>
      <c r="ADZ106" s="308"/>
      <c r="AEA106" s="308"/>
      <c r="AEB106" s="308"/>
      <c r="AEC106" s="308"/>
      <c r="AED106" s="308"/>
      <c r="AEE106" s="308"/>
      <c r="AEF106" s="308"/>
      <c r="AEG106" s="308"/>
      <c r="AEH106" s="308"/>
      <c r="AEI106" s="308"/>
      <c r="AEJ106" s="308"/>
      <c r="AEK106" s="308"/>
      <c r="AEL106" s="308"/>
      <c r="AEM106" s="308"/>
      <c r="AEN106" s="308"/>
      <c r="AEO106" s="308"/>
      <c r="AEP106" s="308"/>
      <c r="AEQ106" s="308"/>
      <c r="AER106" s="308"/>
      <c r="AES106" s="308"/>
      <c r="AET106" s="308"/>
      <c r="AEU106" s="308"/>
      <c r="AEV106" s="308"/>
      <c r="AEW106" s="308"/>
      <c r="AEX106" s="308"/>
      <c r="AEY106" s="308"/>
      <c r="AEZ106" s="308"/>
      <c r="AFA106" s="308"/>
      <c r="AFB106" s="308"/>
      <c r="AFC106" s="308"/>
      <c r="AFD106" s="308"/>
      <c r="AFE106" s="308"/>
      <c r="AFF106" s="308"/>
      <c r="AFG106" s="308"/>
      <c r="AFH106" s="308"/>
      <c r="AFI106" s="308"/>
      <c r="AFJ106" s="308"/>
      <c r="AFK106" s="308"/>
      <c r="AFL106" s="308"/>
      <c r="AFM106" s="308"/>
      <c r="AFN106" s="308"/>
      <c r="AFO106" s="308"/>
      <c r="AFP106" s="308"/>
      <c r="AFQ106" s="308"/>
      <c r="AFR106" s="308"/>
      <c r="AFS106" s="308"/>
      <c r="AFT106" s="308"/>
      <c r="AFU106" s="308"/>
      <c r="AFV106" s="308"/>
      <c r="AFW106" s="308"/>
      <c r="AFX106" s="308"/>
      <c r="AFY106" s="308"/>
      <c r="AFZ106" s="308"/>
      <c r="AGA106" s="308"/>
      <c r="AGB106" s="308"/>
      <c r="AGC106" s="308"/>
      <c r="AGD106" s="308"/>
      <c r="AGE106" s="308"/>
      <c r="AGF106" s="308"/>
      <c r="AGG106" s="308"/>
      <c r="AGH106" s="308"/>
      <c r="AGI106" s="308"/>
      <c r="AGJ106" s="308"/>
      <c r="AGK106" s="308"/>
      <c r="AGL106" s="308"/>
      <c r="AGM106" s="308"/>
      <c r="AGN106" s="308"/>
      <c r="AGO106" s="308"/>
      <c r="AGP106" s="308"/>
      <c r="AGQ106" s="308"/>
      <c r="AGR106" s="308"/>
      <c r="AGS106" s="308"/>
      <c r="AGT106" s="308"/>
      <c r="AGU106" s="308"/>
      <c r="AGV106" s="308"/>
      <c r="AGW106" s="308"/>
      <c r="AGX106" s="308"/>
      <c r="AGY106" s="308"/>
      <c r="AGZ106" s="308"/>
      <c r="AHA106" s="308"/>
      <c r="AHB106" s="308"/>
      <c r="AHC106" s="308"/>
      <c r="AHD106" s="308"/>
      <c r="AHE106" s="308"/>
      <c r="AHF106" s="308"/>
      <c r="AHG106" s="308"/>
      <c r="AHH106" s="308"/>
      <c r="AHI106" s="308"/>
      <c r="AHJ106" s="308"/>
      <c r="AHK106" s="308"/>
      <c r="AHL106" s="308"/>
      <c r="AHM106" s="308"/>
      <c r="AHN106" s="308"/>
      <c r="AHO106" s="308"/>
      <c r="AHP106" s="308"/>
      <c r="AHQ106" s="308"/>
      <c r="AHR106" s="308"/>
      <c r="AHS106" s="308"/>
      <c r="AHT106" s="308"/>
      <c r="AHU106" s="308"/>
      <c r="AHV106" s="308"/>
      <c r="AHW106" s="308"/>
      <c r="AHX106" s="308"/>
      <c r="AHY106" s="308"/>
      <c r="AHZ106" s="308"/>
      <c r="AIA106" s="308"/>
      <c r="AIB106" s="308"/>
      <c r="AIC106" s="308"/>
      <c r="AID106" s="308"/>
      <c r="AIE106" s="308"/>
      <c r="AIF106" s="308"/>
      <c r="AIG106" s="308"/>
      <c r="AIH106" s="308"/>
      <c r="AII106" s="308"/>
      <c r="AIJ106" s="308"/>
      <c r="AIK106" s="308"/>
      <c r="AIL106" s="308"/>
      <c r="AIM106" s="308"/>
      <c r="AIN106" s="308"/>
      <c r="AIO106" s="308"/>
      <c r="AIP106" s="308"/>
      <c r="AIQ106" s="308"/>
      <c r="AIR106" s="308"/>
      <c r="AIS106" s="308"/>
      <c r="AIT106" s="308"/>
      <c r="AIU106" s="308"/>
      <c r="AIV106" s="308"/>
      <c r="AIW106" s="308"/>
      <c r="AIX106" s="308"/>
      <c r="AIY106" s="308"/>
      <c r="AIZ106" s="308"/>
      <c r="AJA106" s="308"/>
      <c r="AJB106" s="308"/>
      <c r="AJC106" s="308"/>
    </row>
    <row r="107" spans="1:940" s="546" customFormat="1">
      <c r="A107" s="308"/>
      <c r="B107" s="308"/>
      <c r="C107" s="308"/>
      <c r="D107" s="312"/>
      <c r="E107" s="312"/>
      <c r="F107" s="312"/>
      <c r="G107" s="312"/>
      <c r="H107" s="312"/>
      <c r="I107" s="312"/>
      <c r="J107" s="312"/>
      <c r="K107" s="312"/>
      <c r="L107" s="312"/>
      <c r="M107" s="312"/>
      <c r="N107" s="312"/>
      <c r="O107" s="312"/>
      <c r="P107" s="312"/>
      <c r="Q107" s="312"/>
      <c r="R107" s="312"/>
      <c r="S107" s="312"/>
      <c r="T107" s="575"/>
      <c r="U107" s="308"/>
      <c r="V107" s="576"/>
      <c r="W107" s="577"/>
      <c r="X107" s="308"/>
      <c r="Y107" s="308"/>
      <c r="Z107" s="308"/>
      <c r="AA107" s="308"/>
      <c r="AB107" s="308"/>
      <c r="AC107" s="544"/>
      <c r="AD107" s="544"/>
      <c r="AE107" s="544"/>
      <c r="AF107" s="544"/>
      <c r="AG107" s="544"/>
      <c r="AH107" s="544"/>
      <c r="AI107" s="544"/>
      <c r="AJ107" s="544"/>
      <c r="AK107" s="544"/>
      <c r="AL107" s="308"/>
      <c r="AM107" s="308"/>
      <c r="AN107" s="544"/>
      <c r="AO107" s="544"/>
      <c r="AP107" s="308"/>
      <c r="AQ107" s="308"/>
      <c r="AR107" s="308"/>
      <c r="AS107" s="308"/>
      <c r="AT107" s="544"/>
      <c r="AU107" s="308"/>
      <c r="AV107" s="308"/>
      <c r="AW107" s="308"/>
      <c r="AX107" s="308"/>
      <c r="AY107" s="544"/>
      <c r="AZ107" s="308"/>
      <c r="BA107" s="308"/>
      <c r="BB107" s="308"/>
      <c r="BC107" s="308"/>
      <c r="BD107" s="308"/>
      <c r="BE107" s="308"/>
      <c r="BF107" s="308"/>
      <c r="BG107" s="308"/>
      <c r="BH107" s="308"/>
      <c r="BI107" s="308"/>
      <c r="BJ107" s="308"/>
      <c r="BK107" s="308"/>
      <c r="BL107" s="308"/>
      <c r="BM107" s="308"/>
      <c r="BN107" s="308"/>
      <c r="BO107" s="308"/>
      <c r="BP107" s="308"/>
      <c r="BQ107" s="308"/>
      <c r="BR107" s="308"/>
      <c r="BS107" s="308"/>
      <c r="BT107" s="308"/>
      <c r="BU107" s="308"/>
      <c r="BV107" s="308"/>
      <c r="BW107" s="308"/>
      <c r="BX107" s="308"/>
      <c r="BY107" s="308"/>
      <c r="BZ107" s="308"/>
      <c r="CA107" s="308"/>
      <c r="CB107" s="308"/>
      <c r="CC107" s="308"/>
      <c r="CD107" s="308"/>
      <c r="CE107" s="308"/>
      <c r="CF107" s="308"/>
      <c r="CG107" s="308"/>
      <c r="CH107" s="308"/>
      <c r="CI107" s="308"/>
      <c r="CJ107" s="308"/>
      <c r="CK107" s="308"/>
      <c r="CL107" s="308"/>
      <c r="CM107" s="308"/>
      <c r="CN107" s="308"/>
      <c r="CO107" s="308"/>
      <c r="CP107" s="308"/>
      <c r="CQ107" s="308"/>
      <c r="CR107" s="308"/>
      <c r="CS107" s="308"/>
      <c r="CT107" s="308"/>
      <c r="CU107" s="308"/>
      <c r="CV107" s="308"/>
      <c r="CW107" s="308"/>
      <c r="CX107" s="308"/>
      <c r="CY107" s="308"/>
      <c r="CZ107" s="308"/>
      <c r="DA107" s="308"/>
      <c r="DB107" s="308"/>
      <c r="DC107" s="308"/>
      <c r="DD107" s="308"/>
      <c r="DE107" s="308"/>
      <c r="DF107" s="308"/>
      <c r="DG107" s="308"/>
      <c r="DH107" s="308"/>
      <c r="DI107" s="308"/>
      <c r="DJ107" s="308"/>
      <c r="DK107" s="308"/>
      <c r="DL107" s="308"/>
      <c r="DM107" s="308"/>
      <c r="DN107" s="308"/>
      <c r="DO107" s="308"/>
      <c r="DP107" s="308"/>
      <c r="DQ107" s="308"/>
      <c r="DR107" s="308"/>
      <c r="DS107" s="308"/>
      <c r="DT107" s="308"/>
      <c r="DU107" s="308"/>
      <c r="DV107" s="308"/>
      <c r="DW107" s="308"/>
      <c r="DX107" s="308"/>
      <c r="DY107" s="308"/>
      <c r="DZ107" s="308"/>
      <c r="EA107" s="308"/>
      <c r="EB107" s="308"/>
      <c r="EC107" s="308"/>
      <c r="ED107" s="308"/>
      <c r="EE107" s="308"/>
      <c r="EF107" s="308"/>
      <c r="EG107" s="308"/>
      <c r="EH107" s="308"/>
      <c r="EI107" s="308"/>
      <c r="EJ107" s="308"/>
      <c r="EK107" s="308"/>
      <c r="EL107" s="308"/>
      <c r="EM107" s="308"/>
      <c r="EN107" s="308"/>
      <c r="EO107" s="308"/>
      <c r="EP107" s="308"/>
      <c r="EQ107" s="308"/>
      <c r="ER107" s="308"/>
      <c r="ES107" s="308"/>
      <c r="ET107" s="308"/>
      <c r="EU107" s="308"/>
      <c r="EV107" s="308"/>
      <c r="EW107" s="308"/>
      <c r="EX107" s="308"/>
      <c r="EY107" s="308"/>
      <c r="EZ107" s="308"/>
      <c r="FA107" s="308"/>
      <c r="FB107" s="308"/>
      <c r="FC107" s="308"/>
      <c r="FD107" s="308"/>
      <c r="FE107" s="308"/>
      <c r="FF107" s="308"/>
      <c r="FG107" s="308"/>
      <c r="FH107" s="308"/>
      <c r="FI107" s="308"/>
      <c r="FJ107" s="308"/>
      <c r="FK107" s="308"/>
      <c r="FL107" s="308"/>
      <c r="FM107" s="308"/>
      <c r="FN107" s="308"/>
      <c r="FO107" s="308"/>
      <c r="FP107" s="308"/>
      <c r="FQ107" s="308"/>
      <c r="FR107" s="308"/>
      <c r="FS107" s="308"/>
      <c r="FT107" s="308"/>
      <c r="FU107" s="308"/>
      <c r="FV107" s="308"/>
      <c r="FW107" s="308"/>
      <c r="FX107" s="308"/>
      <c r="FY107" s="308"/>
      <c r="FZ107" s="308"/>
      <c r="GA107" s="308"/>
      <c r="GB107" s="308"/>
      <c r="GC107" s="308"/>
      <c r="GD107" s="308"/>
      <c r="GE107" s="308"/>
      <c r="GF107" s="308"/>
      <c r="GG107" s="308"/>
      <c r="GH107" s="308"/>
      <c r="GI107" s="308"/>
      <c r="GJ107" s="308"/>
      <c r="GK107" s="308"/>
      <c r="GL107" s="308"/>
      <c r="GM107" s="308"/>
      <c r="GN107" s="308"/>
      <c r="GO107" s="308"/>
      <c r="GP107" s="308"/>
      <c r="GQ107" s="308"/>
      <c r="GR107" s="308"/>
      <c r="GS107" s="308"/>
      <c r="GT107" s="308"/>
      <c r="GU107" s="308"/>
      <c r="GV107" s="308"/>
      <c r="GW107" s="308"/>
      <c r="GX107" s="308"/>
      <c r="GY107" s="308"/>
      <c r="GZ107" s="308"/>
      <c r="HA107" s="308"/>
      <c r="HB107" s="308"/>
      <c r="HC107" s="308"/>
      <c r="HD107" s="308"/>
      <c r="HE107" s="308"/>
      <c r="HF107" s="308"/>
      <c r="HG107" s="308"/>
      <c r="HH107" s="308"/>
      <c r="HI107" s="308"/>
      <c r="HJ107" s="308"/>
      <c r="HK107" s="308"/>
      <c r="HL107" s="308"/>
      <c r="HM107" s="308"/>
      <c r="HN107" s="308"/>
      <c r="HO107" s="308"/>
      <c r="HP107" s="308"/>
      <c r="HQ107" s="308"/>
      <c r="HR107" s="308"/>
      <c r="HS107" s="308"/>
      <c r="HT107" s="308"/>
      <c r="HU107" s="308"/>
      <c r="HV107" s="308"/>
      <c r="HW107" s="308"/>
      <c r="HX107" s="308"/>
      <c r="HY107" s="308"/>
      <c r="HZ107" s="308"/>
      <c r="IA107" s="308"/>
      <c r="IB107" s="308"/>
      <c r="IC107" s="308"/>
      <c r="ID107" s="308"/>
      <c r="IE107" s="308"/>
      <c r="IF107" s="308"/>
      <c r="IG107" s="308"/>
      <c r="IH107" s="308"/>
      <c r="II107" s="308"/>
      <c r="IJ107" s="308"/>
      <c r="IK107" s="308"/>
      <c r="IL107" s="308"/>
      <c r="IM107" s="308"/>
      <c r="IN107" s="308"/>
      <c r="IO107" s="308"/>
      <c r="IP107" s="308"/>
      <c r="IQ107" s="308"/>
      <c r="IR107" s="308"/>
      <c r="IS107" s="308"/>
      <c r="IT107" s="308"/>
      <c r="IU107" s="308"/>
      <c r="IV107" s="308"/>
      <c r="IW107" s="308"/>
      <c r="IX107" s="308"/>
      <c r="IY107" s="308"/>
      <c r="IZ107" s="308"/>
      <c r="JA107" s="308"/>
      <c r="JB107" s="308"/>
      <c r="JC107" s="308"/>
      <c r="JD107" s="308"/>
      <c r="JE107" s="308"/>
      <c r="JF107" s="308"/>
      <c r="JG107" s="308"/>
      <c r="JH107" s="308"/>
      <c r="JI107" s="308"/>
      <c r="JJ107" s="308"/>
      <c r="JK107" s="308"/>
      <c r="JL107" s="308"/>
      <c r="JM107" s="308"/>
      <c r="JN107" s="308"/>
      <c r="JO107" s="308"/>
      <c r="JP107" s="308"/>
      <c r="JQ107" s="308"/>
      <c r="JR107" s="308"/>
      <c r="JS107" s="308"/>
      <c r="JT107" s="308"/>
      <c r="JU107" s="308"/>
      <c r="JV107" s="308"/>
      <c r="JW107" s="308"/>
      <c r="JX107" s="308"/>
      <c r="JY107" s="308"/>
      <c r="JZ107" s="308"/>
      <c r="KA107" s="308"/>
      <c r="KB107" s="308"/>
      <c r="KC107" s="308"/>
      <c r="KD107" s="308"/>
      <c r="KE107" s="308"/>
      <c r="KF107" s="308"/>
      <c r="KG107" s="308"/>
      <c r="KH107" s="308"/>
      <c r="KI107" s="308"/>
      <c r="KJ107" s="308"/>
      <c r="KK107" s="308"/>
      <c r="KL107" s="308"/>
      <c r="KM107" s="308"/>
      <c r="KN107" s="308"/>
      <c r="KO107" s="308"/>
      <c r="KP107" s="308"/>
      <c r="KQ107" s="308"/>
      <c r="KR107" s="308"/>
      <c r="KS107" s="308"/>
      <c r="KT107" s="308"/>
      <c r="KU107" s="308"/>
      <c r="KV107" s="308"/>
      <c r="KW107" s="308"/>
      <c r="KX107" s="308"/>
      <c r="KY107" s="308"/>
      <c r="KZ107" s="308"/>
      <c r="LA107" s="308"/>
      <c r="LB107" s="308"/>
      <c r="LC107" s="308"/>
      <c r="LD107" s="308"/>
      <c r="LE107" s="308"/>
      <c r="LF107" s="308"/>
      <c r="LG107" s="308"/>
      <c r="LH107" s="308"/>
      <c r="LI107" s="308"/>
      <c r="LJ107" s="308"/>
      <c r="LK107" s="308"/>
      <c r="LL107" s="308"/>
      <c r="LM107" s="308"/>
      <c r="LN107" s="308"/>
      <c r="LO107" s="308"/>
      <c r="LP107" s="308"/>
      <c r="LQ107" s="308"/>
      <c r="LR107" s="308"/>
      <c r="LS107" s="308"/>
      <c r="LT107" s="308"/>
      <c r="LU107" s="308"/>
      <c r="LV107" s="308"/>
      <c r="LW107" s="308"/>
      <c r="LX107" s="308"/>
      <c r="LY107" s="308"/>
      <c r="LZ107" s="308"/>
      <c r="MA107" s="308"/>
      <c r="MB107" s="308"/>
      <c r="MC107" s="308"/>
      <c r="MD107" s="308"/>
      <c r="ME107" s="308"/>
      <c r="MF107" s="308"/>
      <c r="MG107" s="308"/>
      <c r="MH107" s="308"/>
      <c r="MI107" s="308"/>
      <c r="MJ107" s="308"/>
      <c r="MK107" s="308"/>
      <c r="ML107" s="308"/>
      <c r="MM107" s="308"/>
      <c r="MN107" s="308"/>
      <c r="MO107" s="308"/>
      <c r="MP107" s="308"/>
      <c r="MQ107" s="308"/>
      <c r="MR107" s="308"/>
      <c r="MS107" s="308"/>
      <c r="MT107" s="308"/>
      <c r="MU107" s="308"/>
      <c r="MV107" s="308"/>
      <c r="MW107" s="308"/>
      <c r="MX107" s="308"/>
      <c r="MY107" s="308"/>
      <c r="MZ107" s="308"/>
      <c r="NA107" s="308"/>
      <c r="NB107" s="308"/>
      <c r="NC107" s="308"/>
      <c r="ND107" s="308"/>
      <c r="NE107" s="308"/>
      <c r="NF107" s="308"/>
      <c r="NG107" s="308"/>
      <c r="NH107" s="308"/>
      <c r="NI107" s="308"/>
      <c r="NJ107" s="308"/>
      <c r="NK107" s="308"/>
      <c r="NL107" s="308"/>
      <c r="NM107" s="308"/>
      <c r="NN107" s="308"/>
      <c r="NO107" s="308"/>
      <c r="NP107" s="308"/>
      <c r="NQ107" s="308"/>
      <c r="NR107" s="308"/>
      <c r="NS107" s="308"/>
      <c r="NT107" s="308"/>
      <c r="NU107" s="308"/>
      <c r="NV107" s="308"/>
      <c r="NW107" s="308"/>
      <c r="NX107" s="308"/>
      <c r="NY107" s="308"/>
      <c r="NZ107" s="308"/>
      <c r="OA107" s="308"/>
      <c r="OB107" s="308"/>
      <c r="OC107" s="308"/>
      <c r="OD107" s="308"/>
      <c r="OE107" s="308"/>
      <c r="OF107" s="308"/>
      <c r="OG107" s="308"/>
      <c r="OH107" s="308"/>
      <c r="OI107" s="308"/>
      <c r="OJ107" s="308"/>
      <c r="OK107" s="308"/>
      <c r="OL107" s="308"/>
      <c r="OM107" s="308"/>
      <c r="ON107" s="308"/>
      <c r="OO107" s="308"/>
      <c r="OP107" s="308"/>
      <c r="OQ107" s="308"/>
      <c r="OR107" s="308"/>
      <c r="OS107" s="308"/>
      <c r="OT107" s="308"/>
      <c r="OU107" s="308"/>
      <c r="OV107" s="308"/>
      <c r="OW107" s="308"/>
      <c r="OX107" s="308"/>
      <c r="OY107" s="308"/>
      <c r="OZ107" s="308"/>
      <c r="PA107" s="308"/>
      <c r="PB107" s="308"/>
      <c r="PC107" s="308"/>
      <c r="PD107" s="308"/>
      <c r="PE107" s="308"/>
      <c r="PF107" s="308"/>
      <c r="PG107" s="308"/>
      <c r="PH107" s="308"/>
      <c r="PI107" s="308"/>
      <c r="PJ107" s="308"/>
      <c r="PK107" s="308"/>
      <c r="PL107" s="308"/>
      <c r="PM107" s="308"/>
      <c r="PN107" s="308"/>
      <c r="PO107" s="308"/>
      <c r="PP107" s="308"/>
      <c r="PQ107" s="308"/>
      <c r="PR107" s="308"/>
      <c r="PS107" s="308"/>
      <c r="PT107" s="308"/>
      <c r="PU107" s="308"/>
      <c r="PV107" s="308"/>
      <c r="PW107" s="308"/>
      <c r="PX107" s="308"/>
      <c r="PY107" s="308"/>
      <c r="PZ107" s="308"/>
      <c r="QA107" s="308"/>
      <c r="QB107" s="308"/>
      <c r="QC107" s="308"/>
      <c r="QD107" s="308"/>
      <c r="QE107" s="308"/>
      <c r="QF107" s="308"/>
      <c r="QG107" s="308"/>
      <c r="QH107" s="308"/>
      <c r="QI107" s="308"/>
      <c r="QJ107" s="308"/>
      <c r="QK107" s="308"/>
      <c r="QL107" s="308"/>
      <c r="QM107" s="308"/>
      <c r="QN107" s="308"/>
      <c r="QO107" s="308"/>
      <c r="QP107" s="308"/>
      <c r="QQ107" s="308"/>
      <c r="QR107" s="308"/>
      <c r="QS107" s="308"/>
      <c r="QT107" s="308"/>
      <c r="QU107" s="308"/>
      <c r="QV107" s="308"/>
      <c r="QW107" s="308"/>
      <c r="QX107" s="308"/>
      <c r="QY107" s="308"/>
      <c r="QZ107" s="308"/>
      <c r="RA107" s="308"/>
      <c r="RB107" s="308"/>
      <c r="RC107" s="308"/>
      <c r="RD107" s="308"/>
      <c r="RE107" s="308"/>
      <c r="RF107" s="308"/>
      <c r="RG107" s="308"/>
      <c r="RH107" s="308"/>
      <c r="RI107" s="308"/>
      <c r="RJ107" s="308"/>
      <c r="RK107" s="308"/>
      <c r="RL107" s="308"/>
      <c r="RM107" s="308"/>
      <c r="RN107" s="308"/>
      <c r="RO107" s="308"/>
      <c r="RP107" s="308"/>
      <c r="RQ107" s="308"/>
      <c r="RR107" s="308"/>
      <c r="RS107" s="308"/>
      <c r="RT107" s="308"/>
      <c r="RU107" s="308"/>
      <c r="RV107" s="308"/>
      <c r="RW107" s="308"/>
      <c r="RX107" s="308"/>
      <c r="RY107" s="308"/>
      <c r="RZ107" s="308"/>
      <c r="SA107" s="308"/>
      <c r="SB107" s="308"/>
      <c r="SC107" s="308"/>
      <c r="SD107" s="308"/>
      <c r="SE107" s="308"/>
      <c r="SF107" s="308"/>
      <c r="SG107" s="308"/>
      <c r="SH107" s="308"/>
      <c r="SI107" s="308"/>
      <c r="SJ107" s="308"/>
      <c r="SK107" s="308"/>
      <c r="SL107" s="308"/>
      <c r="SM107" s="308"/>
      <c r="SN107" s="308"/>
      <c r="SO107" s="308"/>
      <c r="SP107" s="308"/>
      <c r="SQ107" s="308"/>
      <c r="SR107" s="308"/>
      <c r="SS107" s="308"/>
      <c r="ST107" s="308"/>
      <c r="SU107" s="308"/>
      <c r="SV107" s="308"/>
      <c r="SW107" s="308"/>
      <c r="SX107" s="308"/>
      <c r="SY107" s="308"/>
      <c r="SZ107" s="308"/>
      <c r="TA107" s="308"/>
      <c r="TB107" s="308"/>
      <c r="TC107" s="308"/>
      <c r="TD107" s="308"/>
      <c r="TE107" s="308"/>
      <c r="TF107" s="308"/>
      <c r="TG107" s="308"/>
      <c r="TH107" s="308"/>
      <c r="TI107" s="308"/>
      <c r="TJ107" s="308"/>
      <c r="TK107" s="308"/>
      <c r="TL107" s="308"/>
      <c r="TM107" s="308"/>
      <c r="TN107" s="308"/>
      <c r="TO107" s="308"/>
      <c r="TP107" s="308"/>
      <c r="TQ107" s="308"/>
      <c r="TR107" s="308"/>
      <c r="TS107" s="308"/>
      <c r="TT107" s="308"/>
      <c r="TU107" s="308"/>
      <c r="TV107" s="308"/>
      <c r="TW107" s="308"/>
      <c r="TX107" s="308"/>
      <c r="TY107" s="308"/>
      <c r="TZ107" s="308"/>
      <c r="UA107" s="308"/>
      <c r="UB107" s="308"/>
      <c r="UC107" s="308"/>
      <c r="UD107" s="308"/>
      <c r="UE107" s="308"/>
      <c r="UF107" s="308"/>
      <c r="UG107" s="308"/>
      <c r="UH107" s="308"/>
      <c r="UI107" s="308"/>
      <c r="UJ107" s="308"/>
      <c r="UK107" s="308"/>
      <c r="UL107" s="308"/>
      <c r="UM107" s="308"/>
      <c r="UN107" s="308"/>
      <c r="UO107" s="308"/>
      <c r="UP107" s="308"/>
      <c r="UQ107" s="308"/>
      <c r="UR107" s="308"/>
      <c r="US107" s="308"/>
      <c r="UT107" s="308"/>
      <c r="UU107" s="308"/>
      <c r="UV107" s="308"/>
      <c r="UW107" s="308"/>
      <c r="UX107" s="308"/>
      <c r="UY107" s="308"/>
      <c r="UZ107" s="308"/>
      <c r="VA107" s="308"/>
      <c r="VB107" s="308"/>
      <c r="VC107" s="308"/>
      <c r="VD107" s="308"/>
      <c r="VE107" s="308"/>
      <c r="VF107" s="308"/>
      <c r="VG107" s="308"/>
      <c r="VH107" s="308"/>
      <c r="VI107" s="308"/>
      <c r="VJ107" s="308"/>
      <c r="VK107" s="308"/>
      <c r="VL107" s="308"/>
      <c r="VM107" s="308"/>
      <c r="VN107" s="308"/>
      <c r="VO107" s="308"/>
      <c r="VP107" s="308"/>
      <c r="VQ107" s="308"/>
      <c r="VR107" s="308"/>
      <c r="VS107" s="308"/>
      <c r="VT107" s="308"/>
      <c r="VU107" s="308"/>
      <c r="VV107" s="308"/>
      <c r="VW107" s="308"/>
      <c r="VX107" s="308"/>
      <c r="VY107" s="308"/>
      <c r="VZ107" s="308"/>
      <c r="WA107" s="308"/>
      <c r="WB107" s="308"/>
      <c r="WC107" s="308"/>
      <c r="WD107" s="308"/>
      <c r="WE107" s="308"/>
      <c r="WF107" s="308"/>
      <c r="WG107" s="308"/>
      <c r="WH107" s="308"/>
      <c r="WI107" s="308"/>
      <c r="WJ107" s="308"/>
      <c r="WK107" s="308"/>
      <c r="WL107" s="308"/>
      <c r="WM107" s="308"/>
      <c r="WN107" s="308"/>
      <c r="WO107" s="308"/>
      <c r="WP107" s="308"/>
      <c r="WQ107" s="308"/>
      <c r="WR107" s="308"/>
      <c r="WS107" s="308"/>
      <c r="WT107" s="308"/>
      <c r="WU107" s="308"/>
      <c r="WV107" s="308"/>
      <c r="WW107" s="308"/>
      <c r="WX107" s="308"/>
      <c r="WY107" s="308"/>
      <c r="WZ107" s="308"/>
      <c r="XA107" s="308"/>
      <c r="XB107" s="308"/>
      <c r="XC107" s="308"/>
      <c r="XD107" s="308"/>
      <c r="XE107" s="308"/>
      <c r="XF107" s="308"/>
      <c r="XG107" s="308"/>
      <c r="XH107" s="308"/>
      <c r="XI107" s="308"/>
      <c r="XJ107" s="308"/>
      <c r="XK107" s="308"/>
      <c r="XL107" s="308"/>
      <c r="XM107" s="308"/>
      <c r="XN107" s="308"/>
      <c r="XO107" s="308"/>
      <c r="XP107" s="308"/>
      <c r="XQ107" s="308"/>
      <c r="XR107" s="308"/>
      <c r="XS107" s="308"/>
      <c r="XT107" s="308"/>
      <c r="XU107" s="308"/>
      <c r="XV107" s="308"/>
      <c r="XW107" s="308"/>
      <c r="XX107" s="308"/>
      <c r="XY107" s="308"/>
      <c r="XZ107" s="308"/>
      <c r="YA107" s="308"/>
      <c r="YB107" s="308"/>
      <c r="YC107" s="308"/>
      <c r="YD107" s="308"/>
      <c r="YE107" s="308"/>
      <c r="YF107" s="308"/>
      <c r="YG107" s="308"/>
      <c r="YH107" s="308"/>
      <c r="YI107" s="308"/>
      <c r="YJ107" s="308"/>
      <c r="YK107" s="308"/>
      <c r="YL107" s="308"/>
      <c r="YM107" s="308"/>
      <c r="YN107" s="308"/>
      <c r="YO107" s="308"/>
      <c r="YP107" s="308"/>
      <c r="YQ107" s="308"/>
      <c r="YR107" s="308"/>
      <c r="YS107" s="308"/>
      <c r="YT107" s="308"/>
      <c r="YU107" s="308"/>
      <c r="YV107" s="308"/>
      <c r="YW107" s="308"/>
      <c r="YX107" s="308"/>
      <c r="YY107" s="308"/>
      <c r="YZ107" s="308"/>
      <c r="ZA107" s="308"/>
      <c r="ZB107" s="308"/>
      <c r="ZC107" s="308"/>
      <c r="ZD107" s="308"/>
      <c r="ZE107" s="308"/>
      <c r="ZF107" s="308"/>
      <c r="ZG107" s="308"/>
      <c r="ZH107" s="308"/>
      <c r="ZI107" s="308"/>
      <c r="ZJ107" s="308"/>
      <c r="ZK107" s="308"/>
      <c r="ZL107" s="308"/>
      <c r="ZM107" s="308"/>
      <c r="ZN107" s="308"/>
      <c r="ZO107" s="308"/>
      <c r="ZP107" s="308"/>
      <c r="ZQ107" s="308"/>
      <c r="ZR107" s="308"/>
      <c r="ZS107" s="308"/>
      <c r="ZT107" s="308"/>
      <c r="ZU107" s="308"/>
      <c r="ZV107" s="308"/>
      <c r="ZW107" s="308"/>
      <c r="ZX107" s="308"/>
      <c r="ZY107" s="308"/>
      <c r="ZZ107" s="308"/>
      <c r="AAA107" s="308"/>
      <c r="AAB107" s="308"/>
      <c r="AAC107" s="308"/>
      <c r="AAD107" s="308"/>
      <c r="AAE107" s="308"/>
      <c r="AAF107" s="308"/>
      <c r="AAG107" s="308"/>
      <c r="AAH107" s="308"/>
      <c r="AAI107" s="308"/>
      <c r="AAJ107" s="308"/>
      <c r="AAK107" s="308"/>
      <c r="AAL107" s="308"/>
      <c r="AAM107" s="308"/>
      <c r="AAN107" s="308"/>
      <c r="AAO107" s="308"/>
      <c r="AAP107" s="308"/>
      <c r="AAQ107" s="308"/>
      <c r="AAR107" s="308"/>
      <c r="AAS107" s="308"/>
      <c r="AAT107" s="308"/>
      <c r="AAU107" s="308"/>
      <c r="AAV107" s="308"/>
      <c r="AAW107" s="308"/>
      <c r="AAX107" s="308"/>
      <c r="AAY107" s="308"/>
      <c r="AAZ107" s="308"/>
      <c r="ABA107" s="308"/>
      <c r="ABB107" s="308"/>
      <c r="ABC107" s="308"/>
      <c r="ABD107" s="308"/>
      <c r="ABE107" s="308"/>
      <c r="ABF107" s="308"/>
      <c r="ABG107" s="308"/>
      <c r="ABH107" s="308"/>
      <c r="ABI107" s="308"/>
      <c r="ABJ107" s="308"/>
      <c r="ABK107" s="308"/>
      <c r="ABL107" s="308"/>
      <c r="ABM107" s="308"/>
      <c r="ABN107" s="308"/>
      <c r="ABO107" s="308"/>
      <c r="ABP107" s="308"/>
      <c r="ABQ107" s="308"/>
      <c r="ABR107" s="308"/>
      <c r="ABS107" s="308"/>
      <c r="ABT107" s="308"/>
      <c r="ABU107" s="308"/>
      <c r="ABV107" s="308"/>
      <c r="ABW107" s="308"/>
      <c r="ABX107" s="308"/>
      <c r="ABY107" s="308"/>
      <c r="ABZ107" s="308"/>
      <c r="ACA107" s="308"/>
      <c r="ACB107" s="308"/>
      <c r="ACC107" s="308"/>
      <c r="ACD107" s="308"/>
      <c r="ACE107" s="308"/>
      <c r="ACF107" s="308"/>
      <c r="ACG107" s="308"/>
      <c r="ACH107" s="308"/>
      <c r="ACI107" s="308"/>
      <c r="ACJ107" s="308"/>
      <c r="ACK107" s="308"/>
      <c r="ACL107" s="308"/>
      <c r="ACM107" s="308"/>
      <c r="ACN107" s="308"/>
      <c r="ACO107" s="308"/>
      <c r="ACP107" s="308"/>
      <c r="ACQ107" s="308"/>
      <c r="ACR107" s="308"/>
      <c r="ACS107" s="308"/>
      <c r="ACT107" s="308"/>
      <c r="ACU107" s="308"/>
      <c r="ACV107" s="308"/>
      <c r="ACW107" s="308"/>
      <c r="ACX107" s="308"/>
      <c r="ACY107" s="308"/>
      <c r="ACZ107" s="308"/>
      <c r="ADA107" s="308"/>
      <c r="ADB107" s="308"/>
      <c r="ADC107" s="308"/>
      <c r="ADD107" s="308"/>
      <c r="ADE107" s="308"/>
      <c r="ADF107" s="308"/>
      <c r="ADG107" s="308"/>
      <c r="ADH107" s="308"/>
      <c r="ADI107" s="308"/>
      <c r="ADJ107" s="308"/>
      <c r="ADK107" s="308"/>
      <c r="ADL107" s="308"/>
      <c r="ADM107" s="308"/>
      <c r="ADN107" s="308"/>
      <c r="ADO107" s="308"/>
      <c r="ADP107" s="308"/>
      <c r="ADQ107" s="308"/>
      <c r="ADR107" s="308"/>
      <c r="ADS107" s="308"/>
      <c r="ADT107" s="308"/>
      <c r="ADU107" s="308"/>
      <c r="ADV107" s="308"/>
      <c r="ADW107" s="308"/>
      <c r="ADX107" s="308"/>
      <c r="ADY107" s="308"/>
      <c r="ADZ107" s="308"/>
      <c r="AEA107" s="308"/>
      <c r="AEB107" s="308"/>
      <c r="AEC107" s="308"/>
      <c r="AED107" s="308"/>
      <c r="AEE107" s="308"/>
      <c r="AEF107" s="308"/>
      <c r="AEG107" s="308"/>
      <c r="AEH107" s="308"/>
      <c r="AEI107" s="308"/>
      <c r="AEJ107" s="308"/>
      <c r="AEK107" s="308"/>
      <c r="AEL107" s="308"/>
      <c r="AEM107" s="308"/>
      <c r="AEN107" s="308"/>
      <c r="AEO107" s="308"/>
      <c r="AEP107" s="308"/>
      <c r="AEQ107" s="308"/>
      <c r="AER107" s="308"/>
      <c r="AES107" s="308"/>
      <c r="AET107" s="308"/>
      <c r="AEU107" s="308"/>
      <c r="AEV107" s="308"/>
      <c r="AEW107" s="308"/>
      <c r="AEX107" s="308"/>
      <c r="AEY107" s="308"/>
      <c r="AEZ107" s="308"/>
      <c r="AFA107" s="308"/>
      <c r="AFB107" s="308"/>
      <c r="AFC107" s="308"/>
      <c r="AFD107" s="308"/>
      <c r="AFE107" s="308"/>
      <c r="AFF107" s="308"/>
      <c r="AFG107" s="308"/>
      <c r="AFH107" s="308"/>
      <c r="AFI107" s="308"/>
      <c r="AFJ107" s="308"/>
      <c r="AFK107" s="308"/>
      <c r="AFL107" s="308"/>
      <c r="AFM107" s="308"/>
      <c r="AFN107" s="308"/>
      <c r="AFO107" s="308"/>
      <c r="AFP107" s="308"/>
      <c r="AFQ107" s="308"/>
      <c r="AFR107" s="308"/>
      <c r="AFS107" s="308"/>
      <c r="AFT107" s="308"/>
      <c r="AFU107" s="308"/>
      <c r="AFV107" s="308"/>
      <c r="AFW107" s="308"/>
      <c r="AFX107" s="308"/>
      <c r="AFY107" s="308"/>
      <c r="AFZ107" s="308"/>
      <c r="AGA107" s="308"/>
      <c r="AGB107" s="308"/>
      <c r="AGC107" s="308"/>
      <c r="AGD107" s="308"/>
      <c r="AGE107" s="308"/>
      <c r="AGF107" s="308"/>
      <c r="AGG107" s="308"/>
      <c r="AGH107" s="308"/>
      <c r="AGI107" s="308"/>
      <c r="AGJ107" s="308"/>
      <c r="AGK107" s="308"/>
      <c r="AGL107" s="308"/>
      <c r="AGM107" s="308"/>
      <c r="AGN107" s="308"/>
      <c r="AGO107" s="308"/>
      <c r="AGP107" s="308"/>
      <c r="AGQ107" s="308"/>
      <c r="AGR107" s="308"/>
      <c r="AGS107" s="308"/>
      <c r="AGT107" s="308"/>
      <c r="AGU107" s="308"/>
      <c r="AGV107" s="308"/>
      <c r="AGW107" s="308"/>
      <c r="AGX107" s="308"/>
      <c r="AGY107" s="308"/>
      <c r="AGZ107" s="308"/>
      <c r="AHA107" s="308"/>
      <c r="AHB107" s="308"/>
      <c r="AHC107" s="308"/>
      <c r="AHD107" s="308"/>
      <c r="AHE107" s="308"/>
      <c r="AHF107" s="308"/>
      <c r="AHG107" s="308"/>
      <c r="AHH107" s="308"/>
      <c r="AHI107" s="308"/>
      <c r="AHJ107" s="308"/>
      <c r="AHK107" s="308"/>
      <c r="AHL107" s="308"/>
      <c r="AHM107" s="308"/>
      <c r="AHN107" s="308"/>
      <c r="AHO107" s="308"/>
      <c r="AHP107" s="308"/>
      <c r="AHQ107" s="308"/>
      <c r="AHR107" s="308"/>
      <c r="AHS107" s="308"/>
      <c r="AHT107" s="308"/>
      <c r="AHU107" s="308"/>
      <c r="AHV107" s="308"/>
      <c r="AHW107" s="308"/>
      <c r="AHX107" s="308"/>
      <c r="AHY107" s="308"/>
      <c r="AHZ107" s="308"/>
      <c r="AIA107" s="308"/>
      <c r="AIB107" s="308"/>
      <c r="AIC107" s="308"/>
      <c r="AID107" s="308"/>
      <c r="AIE107" s="308"/>
      <c r="AIF107" s="308"/>
      <c r="AIG107" s="308"/>
      <c r="AIH107" s="308"/>
      <c r="AII107" s="308"/>
      <c r="AIJ107" s="308"/>
      <c r="AIK107" s="308"/>
      <c r="AIL107" s="308"/>
      <c r="AIM107" s="308"/>
      <c r="AIN107" s="308"/>
      <c r="AIO107" s="308"/>
      <c r="AIP107" s="308"/>
      <c r="AIQ107" s="308"/>
      <c r="AIR107" s="308"/>
      <c r="AIS107" s="308"/>
      <c r="AIT107" s="308"/>
      <c r="AIU107" s="308"/>
      <c r="AIV107" s="308"/>
      <c r="AIW107" s="308"/>
      <c r="AIX107" s="308"/>
      <c r="AIY107" s="308"/>
      <c r="AIZ107" s="308"/>
      <c r="AJA107" s="308"/>
      <c r="AJB107" s="308"/>
      <c r="AJC107" s="308"/>
    </row>
    <row r="108" spans="1:940" s="546" customFormat="1">
      <c r="A108" s="308"/>
      <c r="B108" s="308"/>
      <c r="C108" s="308"/>
      <c r="D108" s="312"/>
      <c r="E108" s="312"/>
      <c r="F108" s="312"/>
      <c r="G108" s="312"/>
      <c r="H108" s="312"/>
      <c r="I108" s="312"/>
      <c r="J108" s="312"/>
      <c r="K108" s="312"/>
      <c r="L108" s="312"/>
      <c r="M108" s="312"/>
      <c r="N108" s="312"/>
      <c r="O108" s="312"/>
      <c r="P108" s="312"/>
      <c r="Q108" s="312"/>
      <c r="R108" s="312"/>
      <c r="S108" s="312"/>
      <c r="T108" s="575"/>
      <c r="U108" s="308"/>
      <c r="V108" s="576"/>
      <c r="W108" s="577"/>
      <c r="X108" s="308"/>
      <c r="Y108" s="308"/>
      <c r="Z108" s="308"/>
      <c r="AA108" s="308"/>
      <c r="AB108" s="308"/>
      <c r="AC108" s="544"/>
      <c r="AD108" s="544"/>
      <c r="AE108" s="544"/>
      <c r="AF108" s="544"/>
      <c r="AG108" s="544"/>
      <c r="AH108" s="544"/>
      <c r="AI108" s="544"/>
      <c r="AJ108" s="544"/>
      <c r="AK108" s="544"/>
      <c r="AL108" s="308"/>
      <c r="AM108" s="308"/>
      <c r="AN108" s="544"/>
      <c r="AO108" s="544"/>
      <c r="AP108" s="308"/>
      <c r="AQ108" s="308"/>
      <c r="AR108" s="308"/>
      <c r="AS108" s="308"/>
      <c r="AT108" s="544"/>
      <c r="AU108" s="308"/>
      <c r="AV108" s="308"/>
      <c r="AW108" s="308"/>
      <c r="AX108" s="308"/>
      <c r="AY108" s="544"/>
      <c r="AZ108" s="308"/>
      <c r="BA108" s="308"/>
      <c r="BB108" s="308"/>
      <c r="BC108" s="308"/>
      <c r="BD108" s="308"/>
      <c r="BE108" s="308"/>
      <c r="BF108" s="308"/>
      <c r="BG108" s="308"/>
      <c r="BH108" s="308"/>
      <c r="BI108" s="308"/>
      <c r="BJ108" s="308"/>
      <c r="BK108" s="308"/>
      <c r="BL108" s="308"/>
      <c r="BM108" s="308"/>
      <c r="BN108" s="308"/>
      <c r="BO108" s="308"/>
      <c r="BP108" s="308"/>
      <c r="BQ108" s="308"/>
      <c r="BR108" s="308"/>
      <c r="BS108" s="308"/>
      <c r="BT108" s="308"/>
      <c r="BU108" s="308"/>
      <c r="BV108" s="308"/>
      <c r="BW108" s="308"/>
      <c r="BX108" s="308"/>
      <c r="BY108" s="308"/>
      <c r="BZ108" s="308"/>
      <c r="CA108" s="308"/>
      <c r="CB108" s="308"/>
      <c r="CC108" s="308"/>
      <c r="CD108" s="308"/>
      <c r="CE108" s="308"/>
      <c r="CF108" s="308"/>
      <c r="CG108" s="308"/>
      <c r="CH108" s="308"/>
      <c r="CI108" s="308"/>
      <c r="CJ108" s="308"/>
      <c r="CK108" s="308"/>
      <c r="CL108" s="308"/>
      <c r="CM108" s="308"/>
      <c r="CN108" s="308"/>
      <c r="CO108" s="308"/>
      <c r="CP108" s="308"/>
      <c r="CQ108" s="308"/>
      <c r="CR108" s="308"/>
      <c r="CS108" s="308"/>
      <c r="CT108" s="308"/>
      <c r="CU108" s="308"/>
      <c r="CV108" s="308"/>
      <c r="CW108" s="308"/>
      <c r="CX108" s="308"/>
      <c r="CY108" s="308"/>
      <c r="CZ108" s="308"/>
      <c r="DA108" s="308"/>
      <c r="DB108" s="308"/>
      <c r="DC108" s="308"/>
      <c r="DD108" s="308"/>
      <c r="DE108" s="308"/>
      <c r="DF108" s="308"/>
      <c r="DG108" s="308"/>
      <c r="DH108" s="308"/>
      <c r="DI108" s="308"/>
      <c r="DJ108" s="308"/>
      <c r="DK108" s="308"/>
      <c r="DL108" s="308"/>
      <c r="DM108" s="308"/>
      <c r="DN108" s="308"/>
      <c r="DO108" s="308"/>
      <c r="DP108" s="308"/>
      <c r="DQ108" s="308"/>
      <c r="DR108" s="308"/>
      <c r="DS108" s="308"/>
      <c r="DT108" s="308"/>
      <c r="DU108" s="308"/>
      <c r="DV108" s="308"/>
      <c r="DW108" s="308"/>
      <c r="DX108" s="308"/>
      <c r="DY108" s="308"/>
      <c r="DZ108" s="308"/>
      <c r="EA108" s="308"/>
      <c r="EB108" s="308"/>
      <c r="EC108" s="308"/>
      <c r="ED108" s="308"/>
      <c r="EE108" s="308"/>
      <c r="EF108" s="308"/>
      <c r="EG108" s="308"/>
      <c r="EH108" s="308"/>
      <c r="EI108" s="308"/>
      <c r="EJ108" s="308"/>
      <c r="EK108" s="308"/>
      <c r="EL108" s="308"/>
      <c r="EM108" s="308"/>
      <c r="EN108" s="308"/>
      <c r="EO108" s="308"/>
      <c r="EP108" s="308"/>
      <c r="EQ108" s="308"/>
      <c r="ER108" s="308"/>
      <c r="ES108" s="308"/>
      <c r="ET108" s="308"/>
      <c r="EU108" s="308"/>
      <c r="EV108" s="308"/>
      <c r="EW108" s="308"/>
      <c r="EX108" s="308"/>
      <c r="EY108" s="308"/>
      <c r="EZ108" s="308"/>
      <c r="FA108" s="308"/>
      <c r="FB108" s="308"/>
      <c r="FC108" s="308"/>
      <c r="FD108" s="308"/>
      <c r="FE108" s="308"/>
      <c r="FF108" s="308"/>
      <c r="FG108" s="308"/>
      <c r="FH108" s="308"/>
      <c r="FI108" s="308"/>
      <c r="FJ108" s="308"/>
      <c r="FK108" s="308"/>
      <c r="FL108" s="308"/>
      <c r="FM108" s="308"/>
      <c r="FN108" s="308"/>
      <c r="FO108" s="308"/>
      <c r="FP108" s="308"/>
      <c r="FQ108" s="308"/>
      <c r="FR108" s="308"/>
      <c r="FS108" s="308"/>
      <c r="FT108" s="308"/>
      <c r="FU108" s="308"/>
      <c r="FV108" s="308"/>
      <c r="FW108" s="308"/>
      <c r="FX108" s="308"/>
      <c r="FY108" s="308"/>
      <c r="FZ108" s="308"/>
      <c r="GA108" s="308"/>
      <c r="GB108" s="308"/>
      <c r="GC108" s="308"/>
      <c r="GD108" s="308"/>
      <c r="GE108" s="308"/>
      <c r="GF108" s="308"/>
      <c r="GG108" s="308"/>
      <c r="GH108" s="308"/>
      <c r="GI108" s="308"/>
      <c r="GJ108" s="308"/>
      <c r="GK108" s="308"/>
      <c r="GL108" s="308"/>
      <c r="GM108" s="308"/>
      <c r="GN108" s="308"/>
      <c r="GO108" s="308"/>
      <c r="GP108" s="308"/>
      <c r="GQ108" s="308"/>
      <c r="GR108" s="308"/>
      <c r="GS108" s="308"/>
      <c r="GT108" s="308"/>
      <c r="GU108" s="308"/>
      <c r="GV108" s="308"/>
      <c r="GW108" s="308"/>
      <c r="GX108" s="308"/>
      <c r="GY108" s="308"/>
      <c r="GZ108" s="308"/>
      <c r="HA108" s="308"/>
      <c r="HB108" s="308"/>
      <c r="HC108" s="308"/>
      <c r="HD108" s="308"/>
      <c r="HE108" s="308"/>
      <c r="HF108" s="308"/>
      <c r="HG108" s="308"/>
      <c r="HH108" s="308"/>
      <c r="HI108" s="308"/>
      <c r="HJ108" s="308"/>
      <c r="HK108" s="308"/>
      <c r="HL108" s="308"/>
      <c r="HM108" s="308"/>
      <c r="HN108" s="308"/>
      <c r="HO108" s="308"/>
      <c r="HP108" s="308"/>
      <c r="HQ108" s="308"/>
      <c r="HR108" s="308"/>
      <c r="HS108" s="308"/>
      <c r="HT108" s="308"/>
      <c r="HU108" s="308"/>
      <c r="HV108" s="308"/>
      <c r="HW108" s="308"/>
      <c r="HX108" s="308"/>
      <c r="HY108" s="308"/>
      <c r="HZ108" s="308"/>
      <c r="IA108" s="308"/>
      <c r="IB108" s="308"/>
      <c r="IC108" s="308"/>
      <c r="ID108" s="308"/>
      <c r="IE108" s="308"/>
      <c r="IF108" s="308"/>
      <c r="IG108" s="308"/>
      <c r="IH108" s="308"/>
      <c r="II108" s="308"/>
      <c r="IJ108" s="308"/>
      <c r="IK108" s="308"/>
      <c r="IL108" s="308"/>
      <c r="IM108" s="308"/>
      <c r="IN108" s="308"/>
      <c r="IO108" s="308"/>
      <c r="IP108" s="308"/>
      <c r="IQ108" s="308"/>
      <c r="IR108" s="308"/>
      <c r="IS108" s="308"/>
      <c r="IT108" s="308"/>
      <c r="IU108" s="308"/>
      <c r="IV108" s="308"/>
      <c r="IW108" s="308"/>
      <c r="IX108" s="308"/>
      <c r="IY108" s="308"/>
      <c r="IZ108" s="308"/>
      <c r="JA108" s="308"/>
      <c r="JB108" s="308"/>
      <c r="JC108" s="308"/>
      <c r="JD108" s="308"/>
      <c r="JE108" s="308"/>
      <c r="JF108" s="308"/>
      <c r="JG108" s="308"/>
      <c r="JH108" s="308"/>
      <c r="JI108" s="308"/>
      <c r="JJ108" s="308"/>
      <c r="JK108" s="308"/>
      <c r="JL108" s="308"/>
      <c r="JM108" s="308"/>
      <c r="JN108" s="308"/>
      <c r="JO108" s="308"/>
      <c r="JP108" s="308"/>
      <c r="JQ108" s="308"/>
      <c r="JR108" s="308"/>
      <c r="JS108" s="308"/>
      <c r="JT108" s="308"/>
      <c r="JU108" s="308"/>
      <c r="JV108" s="308"/>
      <c r="JW108" s="308"/>
      <c r="JX108" s="308"/>
      <c r="JY108" s="308"/>
      <c r="JZ108" s="308"/>
      <c r="KA108" s="308"/>
      <c r="KB108" s="308"/>
      <c r="KC108" s="308"/>
      <c r="KD108" s="308"/>
      <c r="KE108" s="308"/>
      <c r="KF108" s="308"/>
      <c r="KG108" s="308"/>
      <c r="KH108" s="308"/>
      <c r="KI108" s="308"/>
      <c r="KJ108" s="308"/>
      <c r="KK108" s="308"/>
      <c r="KL108" s="308"/>
      <c r="KM108" s="308"/>
      <c r="KN108" s="308"/>
      <c r="KO108" s="308"/>
      <c r="KP108" s="308"/>
      <c r="KQ108" s="308"/>
      <c r="KR108" s="308"/>
      <c r="KS108" s="308"/>
      <c r="KT108" s="308"/>
      <c r="KU108" s="308"/>
      <c r="KV108" s="308"/>
      <c r="KW108" s="308"/>
      <c r="KX108" s="308"/>
      <c r="KY108" s="308"/>
      <c r="KZ108" s="308"/>
      <c r="LA108" s="308"/>
      <c r="LB108" s="308"/>
      <c r="LC108" s="308"/>
      <c r="LD108" s="308"/>
      <c r="LE108" s="308"/>
      <c r="LF108" s="308"/>
      <c r="LG108" s="308"/>
      <c r="LH108" s="308"/>
      <c r="LI108" s="308"/>
      <c r="LJ108" s="308"/>
      <c r="LK108" s="308"/>
      <c r="LL108" s="308"/>
      <c r="LM108" s="308"/>
      <c r="LN108" s="308"/>
      <c r="LO108" s="308"/>
      <c r="LP108" s="308"/>
      <c r="LQ108" s="308"/>
      <c r="LR108" s="308"/>
      <c r="LS108" s="308"/>
      <c r="LT108" s="308"/>
      <c r="LU108" s="308"/>
      <c r="LV108" s="308"/>
      <c r="LW108" s="308"/>
      <c r="LX108" s="308"/>
      <c r="LY108" s="308"/>
      <c r="LZ108" s="308"/>
      <c r="MA108" s="308"/>
      <c r="MB108" s="308"/>
      <c r="MC108" s="308"/>
      <c r="MD108" s="308"/>
      <c r="ME108" s="308"/>
      <c r="MF108" s="308"/>
      <c r="MG108" s="308"/>
      <c r="MH108" s="308"/>
      <c r="MI108" s="308"/>
      <c r="MJ108" s="308"/>
      <c r="MK108" s="308"/>
      <c r="ML108" s="308"/>
      <c r="MM108" s="308"/>
      <c r="MN108" s="308"/>
      <c r="MO108" s="308"/>
      <c r="MP108" s="308"/>
      <c r="MQ108" s="308"/>
      <c r="MR108" s="308"/>
      <c r="MS108" s="308"/>
      <c r="MT108" s="308"/>
      <c r="MU108" s="308"/>
      <c r="MV108" s="308"/>
      <c r="MW108" s="308"/>
      <c r="MX108" s="308"/>
      <c r="MY108" s="308"/>
      <c r="MZ108" s="308"/>
      <c r="NA108" s="308"/>
      <c r="NB108" s="308"/>
      <c r="NC108" s="308"/>
      <c r="ND108" s="308"/>
      <c r="NE108" s="308"/>
      <c r="NF108" s="308"/>
      <c r="NG108" s="308"/>
      <c r="NH108" s="308"/>
      <c r="NI108" s="308"/>
      <c r="NJ108" s="308"/>
      <c r="NK108" s="308"/>
      <c r="NL108" s="308"/>
      <c r="NM108" s="308"/>
      <c r="NN108" s="308"/>
      <c r="NO108" s="308"/>
      <c r="NP108" s="308"/>
      <c r="NQ108" s="308"/>
      <c r="NR108" s="308"/>
      <c r="NS108" s="308"/>
      <c r="NT108" s="308"/>
      <c r="NU108" s="308"/>
      <c r="NV108" s="308"/>
      <c r="NW108" s="308"/>
      <c r="NX108" s="308"/>
      <c r="NY108" s="308"/>
      <c r="NZ108" s="308"/>
      <c r="OA108" s="308"/>
      <c r="OB108" s="308"/>
      <c r="OC108" s="308"/>
      <c r="OD108" s="308"/>
      <c r="OE108" s="308"/>
      <c r="OF108" s="308"/>
      <c r="OG108" s="308"/>
      <c r="OH108" s="308"/>
      <c r="OI108" s="308"/>
      <c r="OJ108" s="308"/>
      <c r="OK108" s="308"/>
      <c r="OL108" s="308"/>
      <c r="OM108" s="308"/>
      <c r="ON108" s="308"/>
      <c r="OO108" s="308"/>
      <c r="OP108" s="308"/>
      <c r="OQ108" s="308"/>
      <c r="OR108" s="308"/>
      <c r="OS108" s="308"/>
      <c r="OT108" s="308"/>
      <c r="OU108" s="308"/>
      <c r="OV108" s="308"/>
      <c r="OW108" s="308"/>
      <c r="OX108" s="308"/>
      <c r="OY108" s="308"/>
      <c r="OZ108" s="308"/>
      <c r="PA108" s="308"/>
      <c r="PB108" s="308"/>
      <c r="PC108" s="308"/>
      <c r="PD108" s="308"/>
      <c r="PE108" s="308"/>
      <c r="PF108" s="308"/>
      <c r="PG108" s="308"/>
      <c r="PH108" s="308"/>
      <c r="PI108" s="308"/>
      <c r="PJ108" s="308"/>
      <c r="PK108" s="308"/>
      <c r="PL108" s="308"/>
      <c r="PM108" s="308"/>
      <c r="PN108" s="308"/>
      <c r="PO108" s="308"/>
      <c r="PP108" s="308"/>
      <c r="PQ108" s="308"/>
      <c r="PR108" s="308"/>
      <c r="PS108" s="308"/>
      <c r="PT108" s="308"/>
      <c r="PU108" s="308"/>
      <c r="PV108" s="308"/>
      <c r="PW108" s="308"/>
      <c r="PX108" s="308"/>
      <c r="PY108" s="308"/>
      <c r="PZ108" s="308"/>
      <c r="QA108" s="308"/>
      <c r="QB108" s="308"/>
      <c r="QC108" s="308"/>
      <c r="QD108" s="308"/>
      <c r="QE108" s="308"/>
      <c r="QF108" s="308"/>
      <c r="QG108" s="308"/>
      <c r="QH108" s="308"/>
      <c r="QI108" s="308"/>
      <c r="QJ108" s="308"/>
      <c r="QK108" s="308"/>
      <c r="QL108" s="308"/>
      <c r="QM108" s="308"/>
      <c r="QN108" s="308"/>
      <c r="QO108" s="308"/>
      <c r="QP108" s="308"/>
      <c r="QQ108" s="308"/>
      <c r="QR108" s="308"/>
      <c r="QS108" s="308"/>
      <c r="QT108" s="308"/>
      <c r="QU108" s="308"/>
      <c r="QV108" s="308"/>
      <c r="QW108" s="308"/>
      <c r="QX108" s="308"/>
      <c r="QY108" s="308"/>
      <c r="QZ108" s="308"/>
      <c r="RA108" s="308"/>
      <c r="RB108" s="308"/>
      <c r="RC108" s="308"/>
      <c r="RD108" s="308"/>
      <c r="RE108" s="308"/>
      <c r="RF108" s="308"/>
      <c r="RG108" s="308"/>
      <c r="RH108" s="308"/>
      <c r="RI108" s="308"/>
      <c r="RJ108" s="308"/>
      <c r="RK108" s="308"/>
      <c r="RL108" s="308"/>
      <c r="RM108" s="308"/>
      <c r="RN108" s="308"/>
      <c r="RO108" s="308"/>
      <c r="RP108" s="308"/>
      <c r="RQ108" s="308"/>
      <c r="RR108" s="308"/>
      <c r="RS108" s="308"/>
      <c r="RT108" s="308"/>
      <c r="RU108" s="308"/>
      <c r="RV108" s="308"/>
      <c r="RW108" s="308"/>
      <c r="RX108" s="308"/>
      <c r="RY108" s="308"/>
      <c r="RZ108" s="308"/>
      <c r="SA108" s="308"/>
      <c r="SB108" s="308"/>
      <c r="SC108" s="308"/>
      <c r="SD108" s="308"/>
      <c r="SE108" s="308"/>
      <c r="SF108" s="308"/>
      <c r="SG108" s="308"/>
      <c r="SH108" s="308"/>
      <c r="SI108" s="308"/>
      <c r="SJ108" s="308"/>
      <c r="SK108" s="308"/>
      <c r="SL108" s="308"/>
      <c r="SM108" s="308"/>
      <c r="SN108" s="308"/>
      <c r="SO108" s="308"/>
      <c r="SP108" s="308"/>
      <c r="SQ108" s="308"/>
      <c r="SR108" s="308"/>
      <c r="SS108" s="308"/>
      <c r="ST108" s="308"/>
      <c r="SU108" s="308"/>
      <c r="SV108" s="308"/>
      <c r="SW108" s="308"/>
      <c r="SX108" s="308"/>
      <c r="SY108" s="308"/>
      <c r="SZ108" s="308"/>
      <c r="TA108" s="308"/>
      <c r="TB108" s="308"/>
      <c r="TC108" s="308"/>
      <c r="TD108" s="308"/>
      <c r="TE108" s="308"/>
      <c r="TF108" s="308"/>
      <c r="TG108" s="308"/>
      <c r="TH108" s="308"/>
      <c r="TI108" s="308"/>
      <c r="TJ108" s="308"/>
      <c r="TK108" s="308"/>
      <c r="TL108" s="308"/>
      <c r="TM108" s="308"/>
      <c r="TN108" s="308"/>
      <c r="TO108" s="308"/>
      <c r="TP108" s="308"/>
      <c r="TQ108" s="308"/>
      <c r="TR108" s="308"/>
      <c r="TS108" s="308"/>
      <c r="TT108" s="308"/>
      <c r="TU108" s="308"/>
      <c r="TV108" s="308"/>
      <c r="TW108" s="308"/>
      <c r="TX108" s="308"/>
      <c r="TY108" s="308"/>
      <c r="TZ108" s="308"/>
      <c r="UA108" s="308"/>
      <c r="UB108" s="308"/>
      <c r="UC108" s="308"/>
      <c r="UD108" s="308"/>
      <c r="UE108" s="308"/>
      <c r="UF108" s="308"/>
      <c r="UG108" s="308"/>
      <c r="UH108" s="308"/>
      <c r="UI108" s="308"/>
      <c r="UJ108" s="308"/>
      <c r="UK108" s="308"/>
      <c r="UL108" s="308"/>
      <c r="UM108" s="308"/>
      <c r="UN108" s="308"/>
      <c r="UO108" s="308"/>
      <c r="UP108" s="308"/>
      <c r="UQ108" s="308"/>
      <c r="UR108" s="308"/>
      <c r="US108" s="308"/>
      <c r="UT108" s="308"/>
      <c r="UU108" s="308"/>
      <c r="UV108" s="308"/>
      <c r="UW108" s="308"/>
      <c r="UX108" s="308"/>
      <c r="UY108" s="308"/>
      <c r="UZ108" s="308"/>
      <c r="VA108" s="308"/>
      <c r="VB108" s="308"/>
      <c r="VC108" s="308"/>
      <c r="VD108" s="308"/>
      <c r="VE108" s="308"/>
      <c r="VF108" s="308"/>
      <c r="VG108" s="308"/>
      <c r="VH108" s="308"/>
      <c r="VI108" s="308"/>
      <c r="VJ108" s="308"/>
      <c r="VK108" s="308"/>
      <c r="VL108" s="308"/>
      <c r="VM108" s="308"/>
      <c r="VN108" s="308"/>
      <c r="VO108" s="308"/>
      <c r="VP108" s="308"/>
      <c r="VQ108" s="308"/>
      <c r="VR108" s="308"/>
      <c r="VS108" s="308"/>
      <c r="VT108" s="308"/>
      <c r="VU108" s="308"/>
      <c r="VV108" s="308"/>
      <c r="VW108" s="308"/>
      <c r="VX108" s="308"/>
      <c r="VY108" s="308"/>
      <c r="VZ108" s="308"/>
      <c r="WA108" s="308"/>
      <c r="WB108" s="308"/>
      <c r="WC108" s="308"/>
      <c r="WD108" s="308"/>
      <c r="WE108" s="308"/>
      <c r="WF108" s="308"/>
      <c r="WG108" s="308"/>
      <c r="WH108" s="308"/>
      <c r="WI108" s="308"/>
      <c r="WJ108" s="308"/>
      <c r="WK108" s="308"/>
      <c r="WL108" s="308"/>
      <c r="WM108" s="308"/>
      <c r="WN108" s="308"/>
      <c r="WO108" s="308"/>
      <c r="WP108" s="308"/>
      <c r="WQ108" s="308"/>
      <c r="WR108" s="308"/>
      <c r="WS108" s="308"/>
      <c r="WT108" s="308"/>
      <c r="WU108" s="308"/>
      <c r="WV108" s="308"/>
      <c r="WW108" s="308"/>
      <c r="WX108" s="308"/>
      <c r="WY108" s="308"/>
      <c r="WZ108" s="308"/>
      <c r="XA108" s="308"/>
      <c r="XB108" s="308"/>
      <c r="XC108" s="308"/>
      <c r="XD108" s="308"/>
      <c r="XE108" s="308"/>
      <c r="XF108" s="308"/>
      <c r="XG108" s="308"/>
      <c r="XH108" s="308"/>
      <c r="XI108" s="308"/>
      <c r="XJ108" s="308"/>
      <c r="XK108" s="308"/>
      <c r="XL108" s="308"/>
      <c r="XM108" s="308"/>
      <c r="XN108" s="308"/>
      <c r="XO108" s="308"/>
      <c r="XP108" s="308"/>
      <c r="XQ108" s="308"/>
      <c r="XR108" s="308"/>
      <c r="XS108" s="308"/>
      <c r="XT108" s="308"/>
      <c r="XU108" s="308"/>
      <c r="XV108" s="308"/>
      <c r="XW108" s="308"/>
      <c r="XX108" s="308"/>
      <c r="XY108" s="308"/>
      <c r="XZ108" s="308"/>
      <c r="YA108" s="308"/>
      <c r="YB108" s="308"/>
      <c r="YC108" s="308"/>
      <c r="YD108" s="308"/>
      <c r="YE108" s="308"/>
      <c r="YF108" s="308"/>
      <c r="YG108" s="308"/>
      <c r="YH108" s="308"/>
      <c r="YI108" s="308"/>
      <c r="YJ108" s="308"/>
      <c r="YK108" s="308"/>
      <c r="YL108" s="308"/>
      <c r="YM108" s="308"/>
      <c r="YN108" s="308"/>
      <c r="YO108" s="308"/>
      <c r="YP108" s="308"/>
      <c r="YQ108" s="308"/>
      <c r="YR108" s="308"/>
      <c r="YS108" s="308"/>
      <c r="YT108" s="308"/>
      <c r="YU108" s="308"/>
      <c r="YV108" s="308"/>
      <c r="YW108" s="308"/>
      <c r="YX108" s="308"/>
      <c r="YY108" s="308"/>
      <c r="YZ108" s="308"/>
      <c r="ZA108" s="308"/>
      <c r="ZB108" s="308"/>
      <c r="ZC108" s="308"/>
      <c r="ZD108" s="308"/>
      <c r="ZE108" s="308"/>
      <c r="ZF108" s="308"/>
      <c r="ZG108" s="308"/>
      <c r="ZH108" s="308"/>
      <c r="ZI108" s="308"/>
      <c r="ZJ108" s="308"/>
      <c r="ZK108" s="308"/>
      <c r="ZL108" s="308"/>
      <c r="ZM108" s="308"/>
      <c r="ZN108" s="308"/>
      <c r="ZO108" s="308"/>
      <c r="ZP108" s="308"/>
      <c r="ZQ108" s="308"/>
      <c r="ZR108" s="308"/>
      <c r="ZS108" s="308"/>
      <c r="ZT108" s="308"/>
      <c r="ZU108" s="308"/>
      <c r="ZV108" s="308"/>
      <c r="ZW108" s="308"/>
      <c r="ZX108" s="308"/>
      <c r="ZY108" s="308"/>
      <c r="ZZ108" s="308"/>
      <c r="AAA108" s="308"/>
      <c r="AAB108" s="308"/>
      <c r="AAC108" s="308"/>
      <c r="AAD108" s="308"/>
      <c r="AAE108" s="308"/>
      <c r="AAF108" s="308"/>
      <c r="AAG108" s="308"/>
      <c r="AAH108" s="308"/>
      <c r="AAI108" s="308"/>
      <c r="AAJ108" s="308"/>
      <c r="AAK108" s="308"/>
      <c r="AAL108" s="308"/>
      <c r="AAM108" s="308"/>
      <c r="AAN108" s="308"/>
      <c r="AAO108" s="308"/>
      <c r="AAP108" s="308"/>
      <c r="AAQ108" s="308"/>
      <c r="AAR108" s="308"/>
      <c r="AAS108" s="308"/>
      <c r="AAT108" s="308"/>
      <c r="AAU108" s="308"/>
      <c r="AAV108" s="308"/>
      <c r="AAW108" s="308"/>
      <c r="AAX108" s="308"/>
      <c r="AAY108" s="308"/>
      <c r="AAZ108" s="308"/>
      <c r="ABA108" s="308"/>
      <c r="ABB108" s="308"/>
      <c r="ABC108" s="308"/>
      <c r="ABD108" s="308"/>
      <c r="ABE108" s="308"/>
      <c r="ABF108" s="308"/>
      <c r="ABG108" s="308"/>
      <c r="ABH108" s="308"/>
      <c r="ABI108" s="308"/>
      <c r="ABJ108" s="308"/>
      <c r="ABK108" s="308"/>
      <c r="ABL108" s="308"/>
      <c r="ABM108" s="308"/>
      <c r="ABN108" s="308"/>
      <c r="ABO108" s="308"/>
      <c r="ABP108" s="308"/>
      <c r="ABQ108" s="308"/>
      <c r="ABR108" s="308"/>
      <c r="ABS108" s="308"/>
      <c r="ABT108" s="308"/>
      <c r="ABU108" s="308"/>
      <c r="ABV108" s="308"/>
      <c r="ABW108" s="308"/>
      <c r="ABX108" s="308"/>
      <c r="ABY108" s="308"/>
      <c r="ABZ108" s="308"/>
      <c r="ACA108" s="308"/>
      <c r="ACB108" s="308"/>
      <c r="ACC108" s="308"/>
      <c r="ACD108" s="308"/>
      <c r="ACE108" s="308"/>
      <c r="ACF108" s="308"/>
      <c r="ACG108" s="308"/>
      <c r="ACH108" s="308"/>
      <c r="ACI108" s="308"/>
      <c r="ACJ108" s="308"/>
      <c r="ACK108" s="308"/>
      <c r="ACL108" s="308"/>
      <c r="ACM108" s="308"/>
      <c r="ACN108" s="308"/>
      <c r="ACO108" s="308"/>
      <c r="ACP108" s="308"/>
      <c r="ACQ108" s="308"/>
      <c r="ACR108" s="308"/>
      <c r="ACS108" s="308"/>
      <c r="ACT108" s="308"/>
      <c r="ACU108" s="308"/>
      <c r="ACV108" s="308"/>
      <c r="ACW108" s="308"/>
      <c r="ACX108" s="308"/>
      <c r="ACY108" s="308"/>
      <c r="ACZ108" s="308"/>
      <c r="ADA108" s="308"/>
      <c r="ADB108" s="308"/>
      <c r="ADC108" s="308"/>
      <c r="ADD108" s="308"/>
      <c r="ADE108" s="308"/>
      <c r="ADF108" s="308"/>
      <c r="ADG108" s="308"/>
      <c r="ADH108" s="308"/>
      <c r="ADI108" s="308"/>
      <c r="ADJ108" s="308"/>
      <c r="ADK108" s="308"/>
      <c r="ADL108" s="308"/>
      <c r="ADM108" s="308"/>
      <c r="ADN108" s="308"/>
      <c r="ADO108" s="308"/>
      <c r="ADP108" s="308"/>
      <c r="ADQ108" s="308"/>
      <c r="ADR108" s="308"/>
      <c r="ADS108" s="308"/>
      <c r="ADT108" s="308"/>
      <c r="ADU108" s="308"/>
      <c r="ADV108" s="308"/>
      <c r="ADW108" s="308"/>
      <c r="ADX108" s="308"/>
      <c r="ADY108" s="308"/>
      <c r="ADZ108" s="308"/>
      <c r="AEA108" s="308"/>
      <c r="AEB108" s="308"/>
      <c r="AEC108" s="308"/>
      <c r="AED108" s="308"/>
      <c r="AEE108" s="308"/>
      <c r="AEF108" s="308"/>
      <c r="AEG108" s="308"/>
      <c r="AEH108" s="308"/>
      <c r="AEI108" s="308"/>
      <c r="AEJ108" s="308"/>
      <c r="AEK108" s="308"/>
      <c r="AEL108" s="308"/>
      <c r="AEM108" s="308"/>
      <c r="AEN108" s="308"/>
      <c r="AEO108" s="308"/>
      <c r="AEP108" s="308"/>
      <c r="AEQ108" s="308"/>
      <c r="AER108" s="308"/>
      <c r="AES108" s="308"/>
      <c r="AET108" s="308"/>
      <c r="AEU108" s="308"/>
      <c r="AEV108" s="308"/>
      <c r="AEW108" s="308"/>
      <c r="AEX108" s="308"/>
      <c r="AEY108" s="308"/>
      <c r="AEZ108" s="308"/>
      <c r="AFA108" s="308"/>
      <c r="AFB108" s="308"/>
      <c r="AFC108" s="308"/>
      <c r="AFD108" s="308"/>
      <c r="AFE108" s="308"/>
      <c r="AFF108" s="308"/>
      <c r="AFG108" s="308"/>
      <c r="AFH108" s="308"/>
      <c r="AFI108" s="308"/>
      <c r="AFJ108" s="308"/>
      <c r="AFK108" s="308"/>
      <c r="AFL108" s="308"/>
      <c r="AFM108" s="308"/>
      <c r="AFN108" s="308"/>
      <c r="AFO108" s="308"/>
      <c r="AFP108" s="308"/>
      <c r="AFQ108" s="308"/>
      <c r="AFR108" s="308"/>
      <c r="AFS108" s="308"/>
      <c r="AFT108" s="308"/>
      <c r="AFU108" s="308"/>
      <c r="AFV108" s="308"/>
      <c r="AFW108" s="308"/>
      <c r="AFX108" s="308"/>
      <c r="AFY108" s="308"/>
      <c r="AFZ108" s="308"/>
      <c r="AGA108" s="308"/>
      <c r="AGB108" s="308"/>
      <c r="AGC108" s="308"/>
      <c r="AGD108" s="308"/>
      <c r="AGE108" s="308"/>
      <c r="AGF108" s="308"/>
      <c r="AGG108" s="308"/>
      <c r="AGH108" s="308"/>
      <c r="AGI108" s="308"/>
      <c r="AGJ108" s="308"/>
      <c r="AGK108" s="308"/>
      <c r="AGL108" s="308"/>
      <c r="AGM108" s="308"/>
      <c r="AGN108" s="308"/>
      <c r="AGO108" s="308"/>
      <c r="AGP108" s="308"/>
      <c r="AGQ108" s="308"/>
      <c r="AGR108" s="308"/>
      <c r="AGS108" s="308"/>
      <c r="AGT108" s="308"/>
      <c r="AGU108" s="308"/>
      <c r="AGV108" s="308"/>
      <c r="AGW108" s="308"/>
      <c r="AGX108" s="308"/>
      <c r="AGY108" s="308"/>
      <c r="AGZ108" s="308"/>
      <c r="AHA108" s="308"/>
      <c r="AHB108" s="308"/>
      <c r="AHC108" s="308"/>
      <c r="AHD108" s="308"/>
      <c r="AHE108" s="308"/>
      <c r="AHF108" s="308"/>
      <c r="AHG108" s="308"/>
      <c r="AHH108" s="308"/>
      <c r="AHI108" s="308"/>
      <c r="AHJ108" s="308"/>
      <c r="AHK108" s="308"/>
      <c r="AHL108" s="308"/>
      <c r="AHM108" s="308"/>
      <c r="AHN108" s="308"/>
      <c r="AHO108" s="308"/>
      <c r="AHP108" s="308"/>
      <c r="AHQ108" s="308"/>
      <c r="AHR108" s="308"/>
      <c r="AHS108" s="308"/>
      <c r="AHT108" s="308"/>
      <c r="AHU108" s="308"/>
      <c r="AHV108" s="308"/>
      <c r="AHW108" s="308"/>
      <c r="AHX108" s="308"/>
      <c r="AHY108" s="308"/>
      <c r="AHZ108" s="308"/>
      <c r="AIA108" s="308"/>
      <c r="AIB108" s="308"/>
      <c r="AIC108" s="308"/>
      <c r="AID108" s="308"/>
      <c r="AIE108" s="308"/>
      <c r="AIF108" s="308"/>
      <c r="AIG108" s="308"/>
      <c r="AIH108" s="308"/>
      <c r="AII108" s="308"/>
      <c r="AIJ108" s="308"/>
      <c r="AIK108" s="308"/>
      <c r="AIL108" s="308"/>
      <c r="AIM108" s="308"/>
      <c r="AIN108" s="308"/>
      <c r="AIO108" s="308"/>
      <c r="AIP108" s="308"/>
      <c r="AIQ108" s="308"/>
      <c r="AIR108" s="308"/>
      <c r="AIS108" s="308"/>
      <c r="AIT108" s="308"/>
      <c r="AIU108" s="308"/>
      <c r="AIV108" s="308"/>
      <c r="AIW108" s="308"/>
      <c r="AIX108" s="308"/>
      <c r="AIY108" s="308"/>
      <c r="AIZ108" s="308"/>
      <c r="AJA108" s="308"/>
      <c r="AJB108" s="308"/>
      <c r="AJC108" s="308"/>
    </row>
    <row r="109" spans="1:940" s="546" customFormat="1">
      <c r="A109" s="308"/>
      <c r="B109" s="308"/>
      <c r="C109" s="308"/>
      <c r="D109" s="312"/>
      <c r="E109" s="312"/>
      <c r="F109" s="312"/>
      <c r="G109" s="312"/>
      <c r="H109" s="312"/>
      <c r="I109" s="312"/>
      <c r="J109" s="312"/>
      <c r="K109" s="312"/>
      <c r="L109" s="312"/>
      <c r="M109" s="312"/>
      <c r="N109" s="312"/>
      <c r="O109" s="312"/>
      <c r="P109" s="312"/>
      <c r="Q109" s="312"/>
      <c r="R109" s="312"/>
      <c r="S109" s="312"/>
      <c r="T109" s="575"/>
      <c r="U109" s="308"/>
      <c r="V109" s="576"/>
      <c r="W109" s="577"/>
      <c r="X109" s="308"/>
      <c r="Y109" s="308"/>
      <c r="Z109" s="308"/>
      <c r="AA109" s="308"/>
      <c r="AB109" s="308"/>
      <c r="AC109" s="544"/>
      <c r="AD109" s="544"/>
      <c r="AE109" s="544"/>
      <c r="AF109" s="544"/>
      <c r="AG109" s="544"/>
      <c r="AH109" s="544"/>
      <c r="AI109" s="544"/>
      <c r="AJ109" s="544"/>
      <c r="AK109" s="544"/>
      <c r="AL109" s="308"/>
      <c r="AM109" s="308"/>
      <c r="AN109" s="544"/>
      <c r="AO109" s="544"/>
      <c r="AP109" s="308"/>
      <c r="AQ109" s="308"/>
      <c r="AR109" s="308"/>
      <c r="AS109" s="308"/>
      <c r="AT109" s="544"/>
      <c r="AU109" s="308"/>
      <c r="AV109" s="308"/>
      <c r="AW109" s="308"/>
      <c r="AX109" s="308"/>
      <c r="AY109" s="544"/>
      <c r="AZ109" s="308"/>
      <c r="BA109" s="308"/>
      <c r="BB109" s="308"/>
      <c r="BC109" s="308"/>
      <c r="BD109" s="308"/>
      <c r="BE109" s="308"/>
      <c r="BF109" s="308"/>
      <c r="BG109" s="308"/>
      <c r="BH109" s="308"/>
      <c r="BI109" s="308"/>
      <c r="BJ109" s="308"/>
      <c r="BK109" s="308"/>
      <c r="BL109" s="308"/>
      <c r="BM109" s="308"/>
      <c r="BN109" s="308"/>
      <c r="BO109" s="308"/>
      <c r="BP109" s="308"/>
      <c r="BQ109" s="308"/>
      <c r="BR109" s="308"/>
      <c r="BS109" s="308"/>
      <c r="BT109" s="308"/>
      <c r="BU109" s="308"/>
      <c r="BV109" s="308"/>
      <c r="BW109" s="308"/>
      <c r="BX109" s="308"/>
      <c r="BY109" s="308"/>
      <c r="BZ109" s="308"/>
      <c r="CA109" s="308"/>
      <c r="CB109" s="308"/>
      <c r="CC109" s="308"/>
      <c r="CD109" s="308"/>
      <c r="CE109" s="308"/>
      <c r="CF109" s="308"/>
      <c r="CG109" s="308"/>
      <c r="CH109" s="308"/>
      <c r="CI109" s="308"/>
      <c r="CJ109" s="308"/>
      <c r="CK109" s="308"/>
      <c r="CL109" s="308"/>
      <c r="CM109" s="308"/>
      <c r="CN109" s="308"/>
      <c r="CO109" s="308"/>
      <c r="CP109" s="308"/>
      <c r="CQ109" s="308"/>
      <c r="CR109" s="308"/>
      <c r="CS109" s="308"/>
      <c r="CT109" s="308"/>
      <c r="CU109" s="308"/>
      <c r="CV109" s="308"/>
      <c r="CW109" s="308"/>
      <c r="CX109" s="308"/>
      <c r="CY109" s="308"/>
      <c r="CZ109" s="308"/>
      <c r="DA109" s="308"/>
      <c r="DB109" s="308"/>
      <c r="DC109" s="308"/>
      <c r="DD109" s="308"/>
      <c r="DE109" s="308"/>
      <c r="DF109" s="308"/>
      <c r="DG109" s="308"/>
      <c r="DH109" s="308"/>
      <c r="DI109" s="308"/>
      <c r="DJ109" s="308"/>
      <c r="DK109" s="308"/>
      <c r="DL109" s="308"/>
      <c r="DM109" s="308"/>
      <c r="DN109" s="308"/>
      <c r="DO109" s="308"/>
      <c r="DP109" s="308"/>
      <c r="DQ109" s="308"/>
      <c r="DR109" s="308"/>
      <c r="DS109" s="308"/>
      <c r="DT109" s="308"/>
      <c r="DU109" s="308"/>
      <c r="DV109" s="308"/>
      <c r="DW109" s="308"/>
      <c r="DX109" s="308"/>
      <c r="DY109" s="308"/>
      <c r="DZ109" s="308"/>
      <c r="EA109" s="308"/>
      <c r="EB109" s="308"/>
      <c r="EC109" s="308"/>
      <c r="ED109" s="308"/>
      <c r="EE109" s="308"/>
      <c r="EF109" s="308"/>
      <c r="EG109" s="308"/>
      <c r="EH109" s="308"/>
      <c r="EI109" s="308"/>
      <c r="EJ109" s="308"/>
      <c r="EK109" s="308"/>
      <c r="EL109" s="308"/>
      <c r="EM109" s="308"/>
      <c r="EN109" s="308"/>
      <c r="EO109" s="308"/>
      <c r="EP109" s="308"/>
      <c r="EQ109" s="308"/>
      <c r="ER109" s="308"/>
      <c r="ES109" s="308"/>
      <c r="ET109" s="308"/>
      <c r="EU109" s="308"/>
      <c r="EV109" s="308"/>
      <c r="EW109" s="308"/>
      <c r="EX109" s="308"/>
      <c r="EY109" s="308"/>
      <c r="EZ109" s="308"/>
      <c r="FA109" s="308"/>
      <c r="FB109" s="308"/>
      <c r="FC109" s="308"/>
      <c r="FD109" s="308"/>
      <c r="FE109" s="308"/>
      <c r="FF109" s="308"/>
      <c r="FG109" s="308"/>
      <c r="FH109" s="308"/>
      <c r="FI109" s="308"/>
      <c r="FJ109" s="308"/>
      <c r="FK109" s="308"/>
      <c r="FL109" s="308"/>
      <c r="FM109" s="308"/>
      <c r="FN109" s="308"/>
      <c r="FO109" s="308"/>
      <c r="FP109" s="308"/>
      <c r="FQ109" s="308"/>
      <c r="FR109" s="308"/>
      <c r="FS109" s="308"/>
      <c r="FT109" s="308"/>
      <c r="FU109" s="308"/>
      <c r="FV109" s="308"/>
      <c r="FW109" s="308"/>
      <c r="FX109" s="308"/>
      <c r="FY109" s="308"/>
      <c r="FZ109" s="308"/>
      <c r="GA109" s="308"/>
      <c r="GB109" s="308"/>
      <c r="GC109" s="308"/>
      <c r="GD109" s="308"/>
      <c r="GE109" s="308"/>
      <c r="GF109" s="308"/>
      <c r="GG109" s="308"/>
      <c r="GH109" s="308"/>
      <c r="GI109" s="308"/>
      <c r="GJ109" s="308"/>
      <c r="GK109" s="308"/>
      <c r="GL109" s="308"/>
      <c r="GM109" s="308"/>
      <c r="GN109" s="308"/>
      <c r="GO109" s="308"/>
      <c r="GP109" s="308"/>
      <c r="GQ109" s="308"/>
      <c r="GR109" s="308"/>
      <c r="GS109" s="308"/>
      <c r="GT109" s="308"/>
      <c r="GU109" s="308"/>
      <c r="GV109" s="308"/>
      <c r="GW109" s="308"/>
      <c r="GX109" s="308"/>
      <c r="GY109" s="308"/>
      <c r="GZ109" s="308"/>
      <c r="HA109" s="308"/>
      <c r="HB109" s="308"/>
      <c r="HC109" s="308"/>
      <c r="HD109" s="308"/>
      <c r="HE109" s="308"/>
      <c r="HF109" s="308"/>
      <c r="HG109" s="308"/>
      <c r="HH109" s="308"/>
      <c r="HI109" s="308"/>
      <c r="HJ109" s="308"/>
      <c r="HK109" s="308"/>
      <c r="HL109" s="308"/>
      <c r="HM109" s="308"/>
      <c r="HN109" s="308"/>
      <c r="HO109" s="308"/>
      <c r="HP109" s="308"/>
      <c r="HQ109" s="308"/>
      <c r="HR109" s="308"/>
      <c r="HS109" s="308"/>
      <c r="HT109" s="308"/>
      <c r="HU109" s="308"/>
      <c r="HV109" s="308"/>
      <c r="HW109" s="308"/>
      <c r="HX109" s="308"/>
      <c r="HY109" s="308"/>
      <c r="HZ109" s="308"/>
      <c r="IA109" s="308"/>
      <c r="IB109" s="308"/>
      <c r="IC109" s="308"/>
      <c r="ID109" s="308"/>
      <c r="IE109" s="308"/>
      <c r="IF109" s="308"/>
      <c r="IG109" s="308"/>
      <c r="IH109" s="308"/>
      <c r="II109" s="308"/>
      <c r="IJ109" s="308"/>
      <c r="IK109" s="308"/>
      <c r="IL109" s="308"/>
      <c r="IM109" s="308"/>
      <c r="IN109" s="308"/>
      <c r="IO109" s="308"/>
      <c r="IP109" s="308"/>
      <c r="IQ109" s="308"/>
      <c r="IR109" s="308"/>
      <c r="IS109" s="308"/>
      <c r="IT109" s="308"/>
      <c r="IU109" s="308"/>
      <c r="IV109" s="308"/>
      <c r="IW109" s="308"/>
      <c r="IX109" s="308"/>
      <c r="IY109" s="308"/>
      <c r="IZ109" s="308"/>
      <c r="JA109" s="308"/>
      <c r="JB109" s="308"/>
      <c r="JC109" s="308"/>
      <c r="JD109" s="308"/>
      <c r="JE109" s="308"/>
      <c r="JF109" s="308"/>
      <c r="JG109" s="308"/>
      <c r="JH109" s="308"/>
      <c r="JI109" s="308"/>
      <c r="JJ109" s="308"/>
      <c r="JK109" s="308"/>
      <c r="JL109" s="308"/>
      <c r="JM109" s="308"/>
      <c r="JN109" s="308"/>
      <c r="JO109" s="308"/>
      <c r="JP109" s="308"/>
      <c r="JQ109" s="308"/>
      <c r="JR109" s="308"/>
      <c r="JS109" s="308"/>
      <c r="JT109" s="308"/>
      <c r="JU109" s="308"/>
      <c r="JV109" s="308"/>
      <c r="JW109" s="308"/>
      <c r="JX109" s="308"/>
      <c r="JY109" s="308"/>
      <c r="JZ109" s="308"/>
      <c r="KA109" s="308"/>
      <c r="KB109" s="308"/>
      <c r="KC109" s="308"/>
      <c r="KD109" s="308"/>
      <c r="KE109" s="308"/>
      <c r="KF109" s="308"/>
      <c r="KG109" s="308"/>
      <c r="KH109" s="308"/>
      <c r="KI109" s="308"/>
      <c r="KJ109" s="308"/>
      <c r="KK109" s="308"/>
      <c r="KL109" s="308"/>
      <c r="KM109" s="308"/>
      <c r="KN109" s="308"/>
      <c r="KO109" s="308"/>
      <c r="KP109" s="308"/>
      <c r="KQ109" s="308"/>
      <c r="KR109" s="308"/>
      <c r="KS109" s="308"/>
      <c r="KT109" s="308"/>
      <c r="KU109" s="308"/>
      <c r="KV109" s="308"/>
      <c r="KW109" s="308"/>
      <c r="KX109" s="308"/>
      <c r="KY109" s="308"/>
      <c r="KZ109" s="308"/>
      <c r="LA109" s="308"/>
      <c r="LB109" s="308"/>
      <c r="LC109" s="308"/>
      <c r="LD109" s="308"/>
      <c r="LE109" s="308"/>
      <c r="LF109" s="308"/>
      <c r="LG109" s="308"/>
      <c r="LH109" s="308"/>
      <c r="LI109" s="308"/>
      <c r="LJ109" s="308"/>
      <c r="LK109" s="308"/>
      <c r="LL109" s="308"/>
      <c r="LM109" s="308"/>
      <c r="LN109" s="308"/>
      <c r="LO109" s="308"/>
      <c r="LP109" s="308"/>
      <c r="LQ109" s="308"/>
      <c r="LR109" s="308"/>
      <c r="LS109" s="308"/>
      <c r="LT109" s="308"/>
      <c r="LU109" s="308"/>
      <c r="LV109" s="308"/>
      <c r="LW109" s="308"/>
      <c r="LX109" s="308"/>
      <c r="LY109" s="308"/>
      <c r="LZ109" s="308"/>
      <c r="MA109" s="308"/>
      <c r="MB109" s="308"/>
      <c r="MC109" s="308"/>
      <c r="MD109" s="308"/>
      <c r="ME109" s="308"/>
      <c r="MF109" s="308"/>
      <c r="MG109" s="308"/>
      <c r="MH109" s="308"/>
      <c r="MI109" s="308"/>
      <c r="MJ109" s="308"/>
      <c r="MK109" s="308"/>
      <c r="ML109" s="308"/>
      <c r="MM109" s="308"/>
      <c r="MN109" s="308"/>
      <c r="MO109" s="308"/>
      <c r="MP109" s="308"/>
      <c r="MQ109" s="308"/>
      <c r="MR109" s="308"/>
      <c r="MS109" s="308"/>
      <c r="MT109" s="308"/>
      <c r="MU109" s="308"/>
      <c r="MV109" s="308"/>
      <c r="MW109" s="308"/>
      <c r="MX109" s="308"/>
      <c r="MY109" s="308"/>
      <c r="MZ109" s="308"/>
      <c r="NA109" s="308"/>
      <c r="NB109" s="308"/>
      <c r="NC109" s="308"/>
      <c r="ND109" s="308"/>
      <c r="NE109" s="308"/>
      <c r="NF109" s="308"/>
      <c r="NG109" s="308"/>
      <c r="NH109" s="308"/>
      <c r="NI109" s="308"/>
      <c r="NJ109" s="308"/>
      <c r="NK109" s="308"/>
      <c r="NL109" s="308"/>
      <c r="NM109" s="308"/>
      <c r="NN109" s="308"/>
      <c r="NO109" s="308"/>
      <c r="NP109" s="308"/>
      <c r="NQ109" s="308"/>
      <c r="NR109" s="308"/>
      <c r="NS109" s="308"/>
      <c r="NT109" s="308"/>
      <c r="NU109" s="308"/>
      <c r="NV109" s="308"/>
      <c r="NW109" s="308"/>
      <c r="NX109" s="308"/>
      <c r="NY109" s="308"/>
      <c r="NZ109" s="308"/>
      <c r="OA109" s="308"/>
      <c r="OB109" s="308"/>
      <c r="OC109" s="308"/>
      <c r="OD109" s="308"/>
      <c r="OE109" s="308"/>
      <c r="OF109" s="308"/>
      <c r="OG109" s="308"/>
      <c r="OH109" s="308"/>
      <c r="OI109" s="308"/>
      <c r="OJ109" s="308"/>
      <c r="OK109" s="308"/>
      <c r="OL109" s="308"/>
      <c r="OM109" s="308"/>
      <c r="ON109" s="308"/>
      <c r="OO109" s="308"/>
      <c r="OP109" s="308"/>
      <c r="OQ109" s="308"/>
      <c r="OR109" s="308"/>
      <c r="OS109" s="308"/>
      <c r="OT109" s="308"/>
      <c r="OU109" s="308"/>
      <c r="OV109" s="308"/>
      <c r="OW109" s="308"/>
      <c r="OX109" s="308"/>
      <c r="OY109" s="308"/>
      <c r="OZ109" s="308"/>
      <c r="PA109" s="308"/>
      <c r="PB109" s="308"/>
      <c r="PC109" s="308"/>
      <c r="PD109" s="308"/>
      <c r="PE109" s="308"/>
      <c r="PF109" s="308"/>
      <c r="PG109" s="308"/>
      <c r="PH109" s="308"/>
      <c r="PI109" s="308"/>
      <c r="PJ109" s="308"/>
      <c r="PK109" s="308"/>
      <c r="PL109" s="308"/>
      <c r="PM109" s="308"/>
      <c r="PN109" s="308"/>
      <c r="PO109" s="308"/>
      <c r="PP109" s="308"/>
      <c r="PQ109" s="308"/>
      <c r="PR109" s="308"/>
      <c r="PS109" s="308"/>
      <c r="PT109" s="308"/>
      <c r="PU109" s="308"/>
      <c r="PV109" s="308"/>
      <c r="PW109" s="308"/>
      <c r="PX109" s="308"/>
      <c r="PY109" s="308"/>
      <c r="PZ109" s="308"/>
      <c r="QA109" s="308"/>
      <c r="QB109" s="308"/>
      <c r="QC109" s="308"/>
      <c r="QD109" s="308"/>
      <c r="QE109" s="308"/>
      <c r="QF109" s="308"/>
      <c r="QG109" s="308"/>
      <c r="QH109" s="308"/>
      <c r="QI109" s="308"/>
      <c r="QJ109" s="308"/>
      <c r="QK109" s="308"/>
      <c r="QL109" s="308"/>
      <c r="QM109" s="308"/>
      <c r="QN109" s="308"/>
      <c r="QO109" s="308"/>
      <c r="QP109" s="308"/>
      <c r="QQ109" s="308"/>
      <c r="QR109" s="308"/>
      <c r="QS109" s="308"/>
      <c r="QT109" s="308"/>
      <c r="QU109" s="308"/>
      <c r="QV109" s="308"/>
      <c r="QW109" s="308"/>
      <c r="QX109" s="308"/>
      <c r="QY109" s="308"/>
      <c r="QZ109" s="308"/>
      <c r="RA109" s="308"/>
      <c r="RB109" s="308"/>
      <c r="RC109" s="308"/>
      <c r="RD109" s="308"/>
      <c r="RE109" s="308"/>
      <c r="RF109" s="308"/>
      <c r="RG109" s="308"/>
      <c r="RH109" s="308"/>
      <c r="RI109" s="308"/>
      <c r="RJ109" s="308"/>
      <c r="RK109" s="308"/>
      <c r="RL109" s="308"/>
      <c r="RM109" s="308"/>
      <c r="RN109" s="308"/>
      <c r="RO109" s="308"/>
      <c r="RP109" s="308"/>
      <c r="RQ109" s="308"/>
      <c r="RR109" s="308"/>
      <c r="RS109" s="308"/>
      <c r="RT109" s="308"/>
      <c r="RU109" s="308"/>
      <c r="RV109" s="308"/>
      <c r="RW109" s="308"/>
      <c r="RX109" s="308"/>
      <c r="RY109" s="308"/>
      <c r="RZ109" s="308"/>
      <c r="SA109" s="308"/>
      <c r="SB109" s="308"/>
      <c r="SC109" s="308"/>
      <c r="SD109" s="308"/>
      <c r="SE109" s="308"/>
      <c r="SF109" s="308"/>
      <c r="SG109" s="308"/>
      <c r="SH109" s="308"/>
      <c r="SI109" s="308"/>
      <c r="SJ109" s="308"/>
      <c r="SK109" s="308"/>
      <c r="SL109" s="308"/>
      <c r="SM109" s="308"/>
      <c r="SN109" s="308"/>
      <c r="SO109" s="308"/>
      <c r="SP109" s="308"/>
      <c r="SQ109" s="308"/>
      <c r="SR109" s="308"/>
      <c r="SS109" s="308"/>
      <c r="ST109" s="308"/>
      <c r="SU109" s="308"/>
      <c r="SV109" s="308"/>
      <c r="SW109" s="308"/>
      <c r="SX109" s="308"/>
      <c r="SY109" s="308"/>
      <c r="SZ109" s="308"/>
      <c r="TA109" s="308"/>
      <c r="TB109" s="308"/>
      <c r="TC109" s="308"/>
      <c r="TD109" s="308"/>
      <c r="TE109" s="308"/>
      <c r="TF109" s="308"/>
      <c r="TG109" s="308"/>
      <c r="TH109" s="308"/>
      <c r="TI109" s="308"/>
      <c r="TJ109" s="308"/>
      <c r="TK109" s="308"/>
      <c r="TL109" s="308"/>
      <c r="TM109" s="308"/>
      <c r="TN109" s="308"/>
      <c r="TO109" s="308"/>
      <c r="TP109" s="308"/>
      <c r="TQ109" s="308"/>
      <c r="TR109" s="308"/>
      <c r="TS109" s="308"/>
      <c r="TT109" s="308"/>
      <c r="TU109" s="308"/>
      <c r="TV109" s="308"/>
      <c r="TW109" s="308"/>
      <c r="TX109" s="308"/>
      <c r="TY109" s="308"/>
      <c r="TZ109" s="308"/>
      <c r="UA109" s="308"/>
      <c r="UB109" s="308"/>
      <c r="UC109" s="308"/>
      <c r="UD109" s="308"/>
      <c r="UE109" s="308"/>
      <c r="UF109" s="308"/>
      <c r="UG109" s="308"/>
      <c r="UH109" s="308"/>
      <c r="UI109" s="308"/>
      <c r="UJ109" s="308"/>
      <c r="UK109" s="308"/>
      <c r="UL109" s="308"/>
      <c r="UM109" s="308"/>
      <c r="UN109" s="308"/>
      <c r="UO109" s="308"/>
      <c r="UP109" s="308"/>
      <c r="UQ109" s="308"/>
      <c r="UR109" s="308"/>
      <c r="US109" s="308"/>
      <c r="UT109" s="308"/>
      <c r="UU109" s="308"/>
      <c r="UV109" s="308"/>
      <c r="UW109" s="308"/>
      <c r="UX109" s="308"/>
      <c r="UY109" s="308"/>
      <c r="UZ109" s="308"/>
      <c r="VA109" s="308"/>
      <c r="VB109" s="308"/>
      <c r="VC109" s="308"/>
      <c r="VD109" s="308"/>
      <c r="VE109" s="308"/>
      <c r="VF109" s="308"/>
      <c r="VG109" s="308"/>
      <c r="VH109" s="308"/>
      <c r="VI109" s="308"/>
      <c r="VJ109" s="308"/>
      <c r="VK109" s="308"/>
      <c r="VL109" s="308"/>
      <c r="VM109" s="308"/>
      <c r="VN109" s="308"/>
      <c r="VO109" s="308"/>
      <c r="VP109" s="308"/>
      <c r="VQ109" s="308"/>
      <c r="VR109" s="308"/>
      <c r="VS109" s="308"/>
      <c r="VT109" s="308"/>
      <c r="VU109" s="308"/>
      <c r="VV109" s="308"/>
      <c r="VW109" s="308"/>
      <c r="VX109" s="308"/>
      <c r="VY109" s="308"/>
      <c r="VZ109" s="308"/>
      <c r="WA109" s="308"/>
      <c r="WB109" s="308"/>
      <c r="WC109" s="308"/>
      <c r="WD109" s="308"/>
      <c r="WE109" s="308"/>
      <c r="WF109" s="308"/>
      <c r="WG109" s="308"/>
      <c r="WH109" s="308"/>
      <c r="WI109" s="308"/>
      <c r="WJ109" s="308"/>
      <c r="WK109" s="308"/>
      <c r="WL109" s="308"/>
      <c r="WM109" s="308"/>
      <c r="WN109" s="308"/>
      <c r="WO109" s="308"/>
      <c r="WP109" s="308"/>
      <c r="WQ109" s="308"/>
      <c r="WR109" s="308"/>
      <c r="WS109" s="308"/>
      <c r="WT109" s="308"/>
      <c r="WU109" s="308"/>
      <c r="WV109" s="308"/>
      <c r="WW109" s="308"/>
      <c r="WX109" s="308"/>
      <c r="WY109" s="308"/>
      <c r="WZ109" s="308"/>
      <c r="XA109" s="308"/>
      <c r="XB109" s="308"/>
      <c r="XC109" s="308"/>
      <c r="XD109" s="308"/>
      <c r="XE109" s="308"/>
      <c r="XF109" s="308"/>
      <c r="XG109" s="308"/>
      <c r="XH109" s="308"/>
      <c r="XI109" s="308"/>
      <c r="XJ109" s="308"/>
      <c r="XK109" s="308"/>
      <c r="XL109" s="308"/>
      <c r="XM109" s="308"/>
      <c r="XN109" s="308"/>
      <c r="XO109" s="308"/>
      <c r="XP109" s="308"/>
      <c r="XQ109" s="308"/>
      <c r="XR109" s="308"/>
      <c r="XS109" s="308"/>
      <c r="XT109" s="308"/>
      <c r="XU109" s="308"/>
      <c r="XV109" s="308"/>
      <c r="XW109" s="308"/>
      <c r="XX109" s="308"/>
      <c r="XY109" s="308"/>
      <c r="XZ109" s="308"/>
      <c r="YA109" s="308"/>
      <c r="YB109" s="308"/>
      <c r="YC109" s="308"/>
      <c r="YD109" s="308"/>
      <c r="YE109" s="308"/>
      <c r="YF109" s="308"/>
      <c r="YG109" s="308"/>
      <c r="YH109" s="308"/>
      <c r="YI109" s="308"/>
      <c r="YJ109" s="308"/>
      <c r="YK109" s="308"/>
      <c r="YL109" s="308"/>
      <c r="YM109" s="308"/>
      <c r="YN109" s="308"/>
      <c r="YO109" s="308"/>
      <c r="YP109" s="308"/>
      <c r="YQ109" s="308"/>
      <c r="YR109" s="308"/>
      <c r="YS109" s="308"/>
      <c r="YT109" s="308"/>
      <c r="YU109" s="308"/>
      <c r="YV109" s="308"/>
      <c r="YW109" s="308"/>
      <c r="YX109" s="308"/>
      <c r="YY109" s="308"/>
      <c r="YZ109" s="308"/>
      <c r="ZA109" s="308"/>
      <c r="ZB109" s="308"/>
      <c r="ZC109" s="308"/>
      <c r="ZD109" s="308"/>
      <c r="ZE109" s="308"/>
      <c r="ZF109" s="308"/>
      <c r="ZG109" s="308"/>
      <c r="ZH109" s="308"/>
      <c r="ZI109" s="308"/>
      <c r="ZJ109" s="308"/>
      <c r="ZK109" s="308"/>
      <c r="ZL109" s="308"/>
      <c r="ZM109" s="308"/>
      <c r="ZN109" s="308"/>
      <c r="ZO109" s="308"/>
      <c r="ZP109" s="308"/>
      <c r="ZQ109" s="308"/>
      <c r="ZR109" s="308"/>
      <c r="ZS109" s="308"/>
      <c r="ZT109" s="308"/>
      <c r="ZU109" s="308"/>
      <c r="ZV109" s="308"/>
      <c r="ZW109" s="308"/>
      <c r="ZX109" s="308"/>
      <c r="ZY109" s="308"/>
      <c r="ZZ109" s="308"/>
      <c r="AAA109" s="308"/>
      <c r="AAB109" s="308"/>
      <c r="AAC109" s="308"/>
      <c r="AAD109" s="308"/>
      <c r="AAE109" s="308"/>
      <c r="AAF109" s="308"/>
      <c r="AAG109" s="308"/>
      <c r="AAH109" s="308"/>
      <c r="AAI109" s="308"/>
      <c r="AAJ109" s="308"/>
      <c r="AAK109" s="308"/>
      <c r="AAL109" s="308"/>
      <c r="AAM109" s="308"/>
      <c r="AAN109" s="308"/>
      <c r="AAO109" s="308"/>
      <c r="AAP109" s="308"/>
      <c r="AAQ109" s="308"/>
      <c r="AAR109" s="308"/>
      <c r="AAS109" s="308"/>
      <c r="AAT109" s="308"/>
      <c r="AAU109" s="308"/>
      <c r="AAV109" s="308"/>
      <c r="AAW109" s="308"/>
      <c r="AAX109" s="308"/>
      <c r="AAY109" s="308"/>
      <c r="AAZ109" s="308"/>
      <c r="ABA109" s="308"/>
      <c r="ABB109" s="308"/>
      <c r="ABC109" s="308"/>
      <c r="ABD109" s="308"/>
      <c r="ABE109" s="308"/>
      <c r="ABF109" s="308"/>
      <c r="ABG109" s="308"/>
      <c r="ABH109" s="308"/>
      <c r="ABI109" s="308"/>
      <c r="ABJ109" s="308"/>
      <c r="ABK109" s="308"/>
      <c r="ABL109" s="308"/>
      <c r="ABM109" s="308"/>
      <c r="ABN109" s="308"/>
      <c r="ABO109" s="308"/>
      <c r="ABP109" s="308"/>
      <c r="ABQ109" s="308"/>
      <c r="ABR109" s="308"/>
      <c r="ABS109" s="308"/>
      <c r="ABT109" s="308"/>
      <c r="ABU109" s="308"/>
      <c r="ABV109" s="308"/>
      <c r="ABW109" s="308"/>
      <c r="ABX109" s="308"/>
      <c r="ABY109" s="308"/>
      <c r="ABZ109" s="308"/>
      <c r="ACA109" s="308"/>
      <c r="ACB109" s="308"/>
      <c r="ACC109" s="308"/>
      <c r="ACD109" s="308"/>
      <c r="ACE109" s="308"/>
      <c r="ACF109" s="308"/>
      <c r="ACG109" s="308"/>
      <c r="ACH109" s="308"/>
      <c r="ACI109" s="308"/>
      <c r="ACJ109" s="308"/>
      <c r="ACK109" s="308"/>
      <c r="ACL109" s="308"/>
      <c r="ACM109" s="308"/>
      <c r="ACN109" s="308"/>
      <c r="ACO109" s="308"/>
      <c r="ACP109" s="308"/>
      <c r="ACQ109" s="308"/>
      <c r="ACR109" s="308"/>
      <c r="ACS109" s="308"/>
      <c r="ACT109" s="308"/>
      <c r="ACU109" s="308"/>
      <c r="ACV109" s="308"/>
      <c r="ACW109" s="308"/>
      <c r="ACX109" s="308"/>
      <c r="ACY109" s="308"/>
      <c r="ACZ109" s="308"/>
      <c r="ADA109" s="308"/>
      <c r="ADB109" s="308"/>
      <c r="ADC109" s="308"/>
      <c r="ADD109" s="308"/>
      <c r="ADE109" s="308"/>
      <c r="ADF109" s="308"/>
      <c r="ADG109" s="308"/>
      <c r="ADH109" s="308"/>
      <c r="ADI109" s="308"/>
      <c r="ADJ109" s="308"/>
      <c r="ADK109" s="308"/>
      <c r="ADL109" s="308"/>
      <c r="ADM109" s="308"/>
      <c r="ADN109" s="308"/>
      <c r="ADO109" s="308"/>
      <c r="ADP109" s="308"/>
      <c r="ADQ109" s="308"/>
      <c r="ADR109" s="308"/>
      <c r="ADS109" s="308"/>
      <c r="ADT109" s="308"/>
      <c r="ADU109" s="308"/>
      <c r="ADV109" s="308"/>
      <c r="ADW109" s="308"/>
      <c r="ADX109" s="308"/>
      <c r="ADY109" s="308"/>
      <c r="ADZ109" s="308"/>
      <c r="AEA109" s="308"/>
      <c r="AEB109" s="308"/>
      <c r="AEC109" s="308"/>
      <c r="AED109" s="308"/>
      <c r="AEE109" s="308"/>
      <c r="AEF109" s="308"/>
      <c r="AEG109" s="308"/>
      <c r="AEH109" s="308"/>
      <c r="AEI109" s="308"/>
      <c r="AEJ109" s="308"/>
      <c r="AEK109" s="308"/>
      <c r="AEL109" s="308"/>
      <c r="AEM109" s="308"/>
      <c r="AEN109" s="308"/>
      <c r="AEO109" s="308"/>
      <c r="AEP109" s="308"/>
      <c r="AEQ109" s="308"/>
      <c r="AER109" s="308"/>
      <c r="AES109" s="308"/>
      <c r="AET109" s="308"/>
      <c r="AEU109" s="308"/>
      <c r="AEV109" s="308"/>
      <c r="AEW109" s="308"/>
      <c r="AEX109" s="308"/>
      <c r="AEY109" s="308"/>
      <c r="AEZ109" s="308"/>
      <c r="AFA109" s="308"/>
      <c r="AFB109" s="308"/>
      <c r="AFC109" s="308"/>
      <c r="AFD109" s="308"/>
      <c r="AFE109" s="308"/>
      <c r="AFF109" s="308"/>
      <c r="AFG109" s="308"/>
      <c r="AFH109" s="308"/>
      <c r="AFI109" s="308"/>
      <c r="AFJ109" s="308"/>
      <c r="AFK109" s="308"/>
      <c r="AFL109" s="308"/>
      <c r="AFM109" s="308"/>
      <c r="AFN109" s="308"/>
      <c r="AFO109" s="308"/>
      <c r="AFP109" s="308"/>
      <c r="AFQ109" s="308"/>
      <c r="AFR109" s="308"/>
      <c r="AFS109" s="308"/>
      <c r="AFT109" s="308"/>
      <c r="AFU109" s="308"/>
      <c r="AFV109" s="308"/>
      <c r="AFW109" s="308"/>
      <c r="AFX109" s="308"/>
      <c r="AFY109" s="308"/>
      <c r="AFZ109" s="308"/>
      <c r="AGA109" s="308"/>
      <c r="AGB109" s="308"/>
      <c r="AGC109" s="308"/>
      <c r="AGD109" s="308"/>
      <c r="AGE109" s="308"/>
      <c r="AGF109" s="308"/>
      <c r="AGG109" s="308"/>
      <c r="AGH109" s="308"/>
      <c r="AGI109" s="308"/>
      <c r="AGJ109" s="308"/>
      <c r="AGK109" s="308"/>
      <c r="AGL109" s="308"/>
      <c r="AGM109" s="308"/>
      <c r="AGN109" s="308"/>
      <c r="AGO109" s="308"/>
      <c r="AGP109" s="308"/>
      <c r="AGQ109" s="308"/>
      <c r="AGR109" s="308"/>
      <c r="AGS109" s="308"/>
      <c r="AGT109" s="308"/>
      <c r="AGU109" s="308"/>
      <c r="AGV109" s="308"/>
      <c r="AGW109" s="308"/>
      <c r="AGX109" s="308"/>
      <c r="AGY109" s="308"/>
      <c r="AGZ109" s="308"/>
      <c r="AHA109" s="308"/>
      <c r="AHB109" s="308"/>
      <c r="AHC109" s="308"/>
      <c r="AHD109" s="308"/>
      <c r="AHE109" s="308"/>
      <c r="AHF109" s="308"/>
      <c r="AHG109" s="308"/>
      <c r="AHH109" s="308"/>
      <c r="AHI109" s="308"/>
      <c r="AHJ109" s="308"/>
      <c r="AHK109" s="308"/>
      <c r="AHL109" s="308"/>
      <c r="AHM109" s="308"/>
      <c r="AHN109" s="308"/>
      <c r="AHO109" s="308"/>
      <c r="AHP109" s="308"/>
      <c r="AHQ109" s="308"/>
      <c r="AHR109" s="308"/>
      <c r="AHS109" s="308"/>
      <c r="AHT109" s="308"/>
      <c r="AHU109" s="308"/>
      <c r="AHV109" s="308"/>
      <c r="AHW109" s="308"/>
      <c r="AHX109" s="308"/>
      <c r="AHY109" s="308"/>
      <c r="AHZ109" s="308"/>
      <c r="AIA109" s="308"/>
      <c r="AIB109" s="308"/>
      <c r="AIC109" s="308"/>
      <c r="AID109" s="308"/>
      <c r="AIE109" s="308"/>
      <c r="AIF109" s="308"/>
      <c r="AIG109" s="308"/>
      <c r="AIH109" s="308"/>
      <c r="AII109" s="308"/>
      <c r="AIJ109" s="308"/>
      <c r="AIK109" s="308"/>
      <c r="AIL109" s="308"/>
      <c r="AIM109" s="308"/>
      <c r="AIN109" s="308"/>
      <c r="AIO109" s="308"/>
      <c r="AIP109" s="308"/>
      <c r="AIQ109" s="308"/>
      <c r="AIR109" s="308"/>
      <c r="AIS109" s="308"/>
      <c r="AIT109" s="308"/>
      <c r="AIU109" s="308"/>
      <c r="AIV109" s="308"/>
      <c r="AIW109" s="308"/>
      <c r="AIX109" s="308"/>
      <c r="AIY109" s="308"/>
      <c r="AIZ109" s="308"/>
      <c r="AJA109" s="308"/>
      <c r="AJB109" s="308"/>
      <c r="AJC109" s="308"/>
    </row>
    <row r="110" spans="1:940" s="546" customFormat="1">
      <c r="A110" s="308"/>
      <c r="B110" s="308"/>
      <c r="C110" s="308"/>
      <c r="D110" s="312"/>
      <c r="E110" s="312"/>
      <c r="F110" s="312"/>
      <c r="G110" s="312"/>
      <c r="H110" s="312"/>
      <c r="I110" s="312"/>
      <c r="J110" s="312"/>
      <c r="K110" s="312"/>
      <c r="L110" s="312"/>
      <c r="M110" s="312"/>
      <c r="N110" s="312"/>
      <c r="O110" s="312"/>
      <c r="P110" s="312"/>
      <c r="Q110" s="312"/>
      <c r="R110" s="312"/>
      <c r="S110" s="312"/>
      <c r="T110" s="575"/>
      <c r="U110" s="308"/>
      <c r="V110" s="576"/>
      <c r="W110" s="577"/>
      <c r="X110" s="308"/>
      <c r="Y110" s="308"/>
      <c r="Z110" s="308"/>
      <c r="AA110" s="308"/>
      <c r="AB110" s="308"/>
      <c r="AC110" s="544"/>
      <c r="AD110" s="544"/>
      <c r="AE110" s="544"/>
      <c r="AF110" s="544"/>
      <c r="AG110" s="544"/>
      <c r="AH110" s="544"/>
      <c r="AI110" s="544"/>
      <c r="AJ110" s="544"/>
      <c r="AK110" s="544"/>
      <c r="AL110" s="308"/>
      <c r="AM110" s="308"/>
      <c r="AN110" s="544"/>
      <c r="AO110" s="544"/>
      <c r="AP110" s="308"/>
      <c r="AQ110" s="308"/>
      <c r="AR110" s="308"/>
      <c r="AS110" s="308"/>
      <c r="AT110" s="544"/>
      <c r="AU110" s="308"/>
      <c r="AV110" s="308"/>
      <c r="AW110" s="308"/>
      <c r="AX110" s="308"/>
      <c r="AY110" s="544"/>
      <c r="AZ110" s="308"/>
      <c r="BA110" s="308"/>
      <c r="BB110" s="308"/>
      <c r="BC110" s="308"/>
      <c r="BD110" s="308"/>
      <c r="BE110" s="308"/>
      <c r="BF110" s="308"/>
      <c r="BG110" s="308"/>
      <c r="BH110" s="308"/>
      <c r="BI110" s="308"/>
      <c r="BJ110" s="308"/>
      <c r="BK110" s="308"/>
      <c r="BL110" s="308"/>
      <c r="BM110" s="308"/>
      <c r="BN110" s="308"/>
      <c r="BO110" s="308"/>
      <c r="BP110" s="308"/>
      <c r="BQ110" s="308"/>
      <c r="BR110" s="308"/>
      <c r="BS110" s="308"/>
      <c r="BT110" s="308"/>
      <c r="BU110" s="308"/>
      <c r="BV110" s="308"/>
      <c r="BW110" s="308"/>
      <c r="BX110" s="308"/>
      <c r="BY110" s="308"/>
      <c r="BZ110" s="308"/>
      <c r="CA110" s="308"/>
      <c r="CB110" s="308"/>
      <c r="CC110" s="308"/>
      <c r="CD110" s="308"/>
      <c r="CE110" s="308"/>
      <c r="CF110" s="308"/>
      <c r="CG110" s="308"/>
      <c r="CH110" s="308"/>
      <c r="CI110" s="308"/>
      <c r="CJ110" s="308"/>
      <c r="CK110" s="308"/>
      <c r="CL110" s="308"/>
      <c r="CM110" s="308"/>
      <c r="CN110" s="308"/>
      <c r="CO110" s="308"/>
      <c r="CP110" s="308"/>
      <c r="CQ110" s="308"/>
      <c r="CR110" s="308"/>
      <c r="CS110" s="308"/>
      <c r="CT110" s="308"/>
      <c r="CU110" s="308"/>
      <c r="CV110" s="308"/>
      <c r="CW110" s="308"/>
      <c r="CX110" s="308"/>
      <c r="CY110" s="308"/>
      <c r="CZ110" s="308"/>
      <c r="DA110" s="308"/>
      <c r="DB110" s="308"/>
      <c r="DC110" s="308"/>
      <c r="DD110" s="308"/>
      <c r="DE110" s="308"/>
      <c r="DF110" s="308"/>
      <c r="DG110" s="308"/>
      <c r="DH110" s="308"/>
      <c r="DI110" s="308"/>
      <c r="DJ110" s="308"/>
      <c r="DK110" s="308"/>
      <c r="DL110" s="308"/>
      <c r="DM110" s="308"/>
      <c r="DN110" s="308"/>
      <c r="DO110" s="308"/>
      <c r="DP110" s="308"/>
      <c r="DQ110" s="308"/>
      <c r="DR110" s="308"/>
      <c r="DS110" s="308"/>
      <c r="DT110" s="308"/>
      <c r="DU110" s="308"/>
      <c r="DV110" s="308"/>
      <c r="DW110" s="308"/>
      <c r="DX110" s="308"/>
      <c r="DY110" s="308"/>
      <c r="DZ110" s="308"/>
      <c r="EA110" s="308"/>
      <c r="EB110" s="308"/>
      <c r="EC110" s="308"/>
      <c r="ED110" s="308"/>
      <c r="EE110" s="308"/>
      <c r="EF110" s="308"/>
      <c r="EG110" s="308"/>
      <c r="EH110" s="308"/>
      <c r="EI110" s="308"/>
      <c r="EJ110" s="308"/>
      <c r="EK110" s="308"/>
      <c r="EL110" s="308"/>
      <c r="EM110" s="308"/>
      <c r="EN110" s="308"/>
      <c r="EO110" s="308"/>
      <c r="EP110" s="308"/>
      <c r="EQ110" s="308"/>
      <c r="ER110" s="308"/>
      <c r="ES110" s="308"/>
      <c r="ET110" s="308"/>
      <c r="EU110" s="308"/>
      <c r="EV110" s="308"/>
      <c r="EW110" s="308"/>
      <c r="EX110" s="308"/>
      <c r="EY110" s="308"/>
      <c r="EZ110" s="308"/>
      <c r="FA110" s="308"/>
      <c r="FB110" s="308"/>
      <c r="FC110" s="308"/>
      <c r="FD110" s="308"/>
      <c r="FE110" s="308"/>
      <c r="FF110" s="308"/>
      <c r="FG110" s="308"/>
      <c r="FH110" s="308"/>
      <c r="FI110" s="308"/>
      <c r="FJ110" s="308"/>
      <c r="FK110" s="308"/>
      <c r="FL110" s="308"/>
      <c r="FM110" s="308"/>
      <c r="FN110" s="308"/>
      <c r="FO110" s="308"/>
      <c r="FP110" s="308"/>
      <c r="FQ110" s="308"/>
      <c r="FR110" s="308"/>
      <c r="FS110" s="308"/>
      <c r="FT110" s="308"/>
      <c r="FU110" s="308"/>
      <c r="FV110" s="308"/>
      <c r="FW110" s="308"/>
      <c r="FX110" s="308"/>
      <c r="FY110" s="308"/>
      <c r="FZ110" s="308"/>
      <c r="GA110" s="308"/>
      <c r="GB110" s="308"/>
      <c r="GC110" s="308"/>
      <c r="GD110" s="308"/>
      <c r="GE110" s="308"/>
      <c r="GF110" s="308"/>
      <c r="GG110" s="308"/>
      <c r="GH110" s="308"/>
      <c r="GI110" s="308"/>
      <c r="GJ110" s="308"/>
      <c r="GK110" s="308"/>
      <c r="GL110" s="308"/>
      <c r="GM110" s="308"/>
      <c r="GN110" s="308"/>
      <c r="GO110" s="308"/>
      <c r="GP110" s="308"/>
      <c r="GQ110" s="308"/>
      <c r="GR110" s="308"/>
      <c r="GS110" s="308"/>
      <c r="GT110" s="308"/>
      <c r="GU110" s="308"/>
      <c r="GV110" s="308"/>
      <c r="GW110" s="308"/>
      <c r="GX110" s="308"/>
      <c r="GY110" s="308"/>
      <c r="GZ110" s="308"/>
      <c r="HA110" s="308"/>
      <c r="HB110" s="308"/>
      <c r="HC110" s="308"/>
      <c r="HD110" s="308"/>
      <c r="HE110" s="308"/>
      <c r="HF110" s="308"/>
      <c r="HG110" s="308"/>
      <c r="HH110" s="308"/>
      <c r="HI110" s="308"/>
      <c r="HJ110" s="308"/>
      <c r="HK110" s="308"/>
      <c r="HL110" s="308"/>
      <c r="HM110" s="308"/>
      <c r="HN110" s="308"/>
      <c r="HO110" s="308"/>
      <c r="HP110" s="308"/>
      <c r="HQ110" s="308"/>
      <c r="HR110" s="308"/>
      <c r="HS110" s="308"/>
      <c r="HT110" s="308"/>
      <c r="HU110" s="308"/>
      <c r="HV110" s="308"/>
      <c r="HW110" s="308"/>
      <c r="HX110" s="308"/>
      <c r="HY110" s="308"/>
      <c r="HZ110" s="308"/>
      <c r="IA110" s="308"/>
      <c r="IB110" s="308"/>
      <c r="IC110" s="308"/>
      <c r="ID110" s="308"/>
      <c r="IE110" s="308"/>
      <c r="IF110" s="308"/>
      <c r="IG110" s="308"/>
      <c r="IH110" s="308"/>
      <c r="II110" s="308"/>
      <c r="IJ110" s="308"/>
      <c r="IK110" s="308"/>
      <c r="IL110" s="308"/>
      <c r="IM110" s="308"/>
      <c r="IN110" s="308"/>
      <c r="IO110" s="308"/>
      <c r="IP110" s="308"/>
      <c r="IQ110" s="308"/>
      <c r="IR110" s="308"/>
      <c r="IS110" s="308"/>
      <c r="IT110" s="308"/>
      <c r="IU110" s="308"/>
      <c r="IV110" s="308"/>
      <c r="IW110" s="308"/>
      <c r="IX110" s="308"/>
      <c r="IY110" s="308"/>
      <c r="IZ110" s="308"/>
      <c r="JA110" s="308"/>
      <c r="JB110" s="308"/>
      <c r="JC110" s="308"/>
      <c r="JD110" s="308"/>
      <c r="JE110" s="308"/>
      <c r="JF110" s="308"/>
      <c r="JG110" s="308"/>
      <c r="JH110" s="308"/>
      <c r="JI110" s="308"/>
      <c r="JJ110" s="308"/>
      <c r="JK110" s="308"/>
      <c r="JL110" s="308"/>
      <c r="JM110" s="308"/>
      <c r="JN110" s="308"/>
      <c r="JO110" s="308"/>
      <c r="JP110" s="308"/>
      <c r="JQ110" s="308"/>
      <c r="JR110" s="308"/>
      <c r="JS110" s="308"/>
      <c r="JT110" s="308"/>
      <c r="JU110" s="308"/>
      <c r="JV110" s="308"/>
      <c r="JW110" s="308"/>
      <c r="JX110" s="308"/>
      <c r="JY110" s="308"/>
      <c r="JZ110" s="308"/>
      <c r="KA110" s="308"/>
      <c r="KB110" s="308"/>
      <c r="KC110" s="308"/>
      <c r="KD110" s="308"/>
      <c r="KE110" s="308"/>
      <c r="KF110" s="308"/>
      <c r="KG110" s="308"/>
      <c r="KH110" s="308"/>
      <c r="KI110" s="308"/>
      <c r="KJ110" s="308"/>
      <c r="KK110" s="308"/>
      <c r="KL110" s="308"/>
      <c r="KM110" s="308"/>
      <c r="KN110" s="308"/>
      <c r="KO110" s="308"/>
      <c r="KP110" s="308"/>
      <c r="KQ110" s="308"/>
      <c r="KR110" s="308"/>
      <c r="KS110" s="308"/>
      <c r="KT110" s="308"/>
      <c r="KU110" s="308"/>
      <c r="KV110" s="308"/>
      <c r="KW110" s="308"/>
      <c r="KX110" s="308"/>
      <c r="KY110" s="308"/>
      <c r="KZ110" s="308"/>
      <c r="LA110" s="308"/>
      <c r="LB110" s="308"/>
      <c r="LC110" s="308"/>
      <c r="LD110" s="308"/>
      <c r="LE110" s="308"/>
      <c r="LF110" s="308"/>
      <c r="LG110" s="308"/>
      <c r="LH110" s="308"/>
      <c r="LI110" s="308"/>
      <c r="LJ110" s="308"/>
      <c r="LK110" s="308"/>
      <c r="LL110" s="308"/>
      <c r="LM110" s="308"/>
      <c r="LN110" s="308"/>
      <c r="LO110" s="308"/>
      <c r="LP110" s="308"/>
      <c r="LQ110" s="308"/>
      <c r="LR110" s="308"/>
      <c r="LS110" s="308"/>
      <c r="LT110" s="308"/>
      <c r="LU110" s="308"/>
      <c r="LV110" s="308"/>
      <c r="LW110" s="308"/>
      <c r="LX110" s="308"/>
      <c r="LY110" s="308"/>
      <c r="LZ110" s="308"/>
      <c r="MA110" s="308"/>
      <c r="MB110" s="308"/>
      <c r="MC110" s="308"/>
      <c r="MD110" s="308"/>
      <c r="ME110" s="308"/>
      <c r="MF110" s="308"/>
      <c r="MG110" s="308"/>
      <c r="MH110" s="308"/>
      <c r="MI110" s="308"/>
      <c r="MJ110" s="308"/>
      <c r="MK110" s="308"/>
      <c r="ML110" s="308"/>
      <c r="MM110" s="308"/>
      <c r="MN110" s="308"/>
      <c r="MO110" s="308"/>
      <c r="MP110" s="308"/>
      <c r="MQ110" s="308"/>
      <c r="MR110" s="308"/>
      <c r="MS110" s="308"/>
      <c r="MT110" s="308"/>
      <c r="MU110" s="308"/>
      <c r="MV110" s="308"/>
      <c r="MW110" s="308"/>
      <c r="MX110" s="308"/>
      <c r="MY110" s="308"/>
      <c r="MZ110" s="308"/>
      <c r="NA110" s="308"/>
      <c r="NB110" s="308"/>
      <c r="NC110" s="308"/>
      <c r="ND110" s="308"/>
      <c r="NE110" s="308"/>
      <c r="NF110" s="308"/>
      <c r="NG110" s="308"/>
      <c r="NH110" s="308"/>
      <c r="NI110" s="308"/>
      <c r="NJ110" s="308"/>
      <c r="NK110" s="308"/>
      <c r="NL110" s="308"/>
      <c r="NM110" s="308"/>
      <c r="NN110" s="308"/>
      <c r="NO110" s="308"/>
      <c r="NP110" s="308"/>
      <c r="NQ110" s="308"/>
      <c r="NR110" s="308"/>
      <c r="NS110" s="308"/>
      <c r="NT110" s="308"/>
      <c r="NU110" s="308"/>
      <c r="NV110" s="308"/>
      <c r="NW110" s="308"/>
      <c r="NX110" s="308"/>
      <c r="NY110" s="308"/>
      <c r="NZ110" s="308"/>
      <c r="OA110" s="308"/>
      <c r="OB110" s="308"/>
      <c r="OC110" s="308"/>
      <c r="OD110" s="308"/>
      <c r="OE110" s="308"/>
      <c r="OF110" s="308"/>
      <c r="OG110" s="308"/>
      <c r="OH110" s="308"/>
      <c r="OI110" s="308"/>
      <c r="OJ110" s="308"/>
      <c r="OK110" s="308"/>
      <c r="OL110" s="308"/>
      <c r="OM110" s="308"/>
      <c r="ON110" s="308"/>
      <c r="OO110" s="308"/>
      <c r="OP110" s="308"/>
      <c r="OQ110" s="308"/>
      <c r="OR110" s="308"/>
      <c r="OS110" s="308"/>
      <c r="OT110" s="308"/>
      <c r="OU110" s="308"/>
      <c r="OV110" s="308"/>
      <c r="OW110" s="308"/>
      <c r="OX110" s="308"/>
      <c r="OY110" s="308"/>
      <c r="OZ110" s="308"/>
      <c r="PA110" s="308"/>
      <c r="PB110" s="308"/>
      <c r="PC110" s="308"/>
      <c r="PD110" s="308"/>
      <c r="PE110" s="308"/>
      <c r="PF110" s="308"/>
      <c r="PG110" s="308"/>
      <c r="PH110" s="308"/>
      <c r="PI110" s="308"/>
      <c r="PJ110" s="308"/>
      <c r="PK110" s="308"/>
      <c r="PL110" s="308"/>
      <c r="PM110" s="308"/>
      <c r="PN110" s="308"/>
      <c r="PO110" s="308"/>
      <c r="PP110" s="308"/>
      <c r="PQ110" s="308"/>
      <c r="PR110" s="308"/>
      <c r="PS110" s="308"/>
      <c r="PT110" s="308"/>
      <c r="PU110" s="308"/>
      <c r="PV110" s="308"/>
      <c r="PW110" s="308"/>
      <c r="PX110" s="308"/>
      <c r="PY110" s="308"/>
      <c r="PZ110" s="308"/>
      <c r="QA110" s="308"/>
      <c r="QB110" s="308"/>
      <c r="QC110" s="308"/>
      <c r="QD110" s="308"/>
      <c r="QE110" s="308"/>
      <c r="QF110" s="308"/>
      <c r="QG110" s="308"/>
      <c r="QH110" s="308"/>
      <c r="QI110" s="308"/>
      <c r="QJ110" s="308"/>
      <c r="QK110" s="308"/>
      <c r="QL110" s="308"/>
      <c r="QM110" s="308"/>
      <c r="QN110" s="308"/>
      <c r="QO110" s="308"/>
      <c r="QP110" s="308"/>
      <c r="QQ110" s="308"/>
      <c r="QR110" s="308"/>
      <c r="QS110" s="308"/>
      <c r="QT110" s="308"/>
      <c r="QU110" s="308"/>
      <c r="QV110" s="308"/>
      <c r="QW110" s="308"/>
      <c r="QX110" s="308"/>
      <c r="QY110" s="308"/>
      <c r="QZ110" s="308"/>
      <c r="RA110" s="308"/>
      <c r="RB110" s="308"/>
      <c r="RC110" s="308"/>
      <c r="RD110" s="308"/>
      <c r="RE110" s="308"/>
      <c r="RF110" s="308"/>
      <c r="RG110" s="308"/>
      <c r="RH110" s="308"/>
      <c r="RI110" s="308"/>
      <c r="RJ110" s="308"/>
      <c r="RK110" s="308"/>
      <c r="RL110" s="308"/>
      <c r="RM110" s="308"/>
      <c r="RN110" s="308"/>
      <c r="RO110" s="308"/>
      <c r="RP110" s="308"/>
      <c r="RQ110" s="308"/>
      <c r="RR110" s="308"/>
      <c r="RS110" s="308"/>
      <c r="RT110" s="308"/>
      <c r="RU110" s="308"/>
      <c r="RV110" s="308"/>
      <c r="RW110" s="308"/>
      <c r="RX110" s="308"/>
      <c r="RY110" s="308"/>
      <c r="RZ110" s="308"/>
      <c r="SA110" s="308"/>
      <c r="SB110" s="308"/>
      <c r="SC110" s="308"/>
      <c r="SD110" s="308"/>
      <c r="SE110" s="308"/>
      <c r="SF110" s="308"/>
      <c r="SG110" s="308"/>
      <c r="SH110" s="308"/>
      <c r="SI110" s="308"/>
      <c r="SJ110" s="308"/>
      <c r="SK110" s="308"/>
      <c r="SL110" s="308"/>
      <c r="SM110" s="308"/>
      <c r="SN110" s="308"/>
      <c r="SO110" s="308"/>
      <c r="SP110" s="308"/>
      <c r="SQ110" s="308"/>
      <c r="SR110" s="308"/>
      <c r="SS110" s="308"/>
      <c r="ST110" s="308"/>
      <c r="SU110" s="308"/>
      <c r="SV110" s="308"/>
      <c r="SW110" s="308"/>
      <c r="SX110" s="308"/>
      <c r="SY110" s="308"/>
      <c r="SZ110" s="308"/>
      <c r="TA110" s="308"/>
      <c r="TB110" s="308"/>
      <c r="TC110" s="308"/>
      <c r="TD110" s="308"/>
      <c r="TE110" s="308"/>
      <c r="TF110" s="308"/>
      <c r="TG110" s="308"/>
      <c r="TH110" s="308"/>
      <c r="TI110" s="308"/>
      <c r="TJ110" s="308"/>
      <c r="TK110" s="308"/>
      <c r="TL110" s="308"/>
      <c r="TM110" s="308"/>
      <c r="TN110" s="308"/>
      <c r="TO110" s="308"/>
      <c r="TP110" s="308"/>
      <c r="TQ110" s="308"/>
      <c r="TR110" s="308"/>
      <c r="TS110" s="308"/>
      <c r="TT110" s="308"/>
      <c r="TU110" s="308"/>
      <c r="TV110" s="308"/>
      <c r="TW110" s="308"/>
      <c r="TX110" s="308"/>
      <c r="TY110" s="308"/>
      <c r="TZ110" s="308"/>
      <c r="UA110" s="308"/>
      <c r="UB110" s="308"/>
      <c r="UC110" s="308"/>
      <c r="UD110" s="308"/>
      <c r="UE110" s="308"/>
      <c r="UF110" s="308"/>
      <c r="UG110" s="308"/>
      <c r="UH110" s="308"/>
      <c r="UI110" s="308"/>
      <c r="UJ110" s="308"/>
      <c r="UK110" s="308"/>
      <c r="UL110" s="308"/>
      <c r="UM110" s="308"/>
      <c r="UN110" s="308"/>
      <c r="UO110" s="308"/>
      <c r="UP110" s="308"/>
      <c r="UQ110" s="308"/>
      <c r="UR110" s="308"/>
      <c r="US110" s="308"/>
      <c r="UT110" s="308"/>
      <c r="UU110" s="308"/>
      <c r="UV110" s="308"/>
      <c r="UW110" s="308"/>
      <c r="UX110" s="308"/>
      <c r="UY110" s="308"/>
      <c r="UZ110" s="308"/>
      <c r="VA110" s="308"/>
      <c r="VB110" s="308"/>
      <c r="VC110" s="308"/>
      <c r="VD110" s="308"/>
      <c r="VE110" s="308"/>
      <c r="VF110" s="308"/>
      <c r="VG110" s="308"/>
      <c r="VH110" s="308"/>
      <c r="VI110" s="308"/>
      <c r="VJ110" s="308"/>
      <c r="VK110" s="308"/>
      <c r="VL110" s="308"/>
      <c r="VM110" s="308"/>
      <c r="VN110" s="308"/>
      <c r="VO110" s="308"/>
      <c r="VP110" s="308"/>
      <c r="VQ110" s="308"/>
      <c r="VR110" s="308"/>
      <c r="VS110" s="308"/>
      <c r="VT110" s="308"/>
      <c r="VU110" s="308"/>
      <c r="VV110" s="308"/>
      <c r="VW110" s="308"/>
      <c r="VX110" s="308"/>
      <c r="VY110" s="308"/>
      <c r="VZ110" s="308"/>
      <c r="WA110" s="308"/>
      <c r="WB110" s="308"/>
      <c r="WC110" s="308"/>
      <c r="WD110" s="308"/>
      <c r="WE110" s="308"/>
      <c r="WF110" s="308"/>
      <c r="WG110" s="308"/>
      <c r="WH110" s="308"/>
      <c r="WI110" s="308"/>
      <c r="WJ110" s="308"/>
      <c r="WK110" s="308"/>
      <c r="WL110" s="308"/>
      <c r="WM110" s="308"/>
      <c r="WN110" s="308"/>
      <c r="WO110" s="308"/>
      <c r="WP110" s="308"/>
      <c r="WQ110" s="308"/>
      <c r="WR110" s="308"/>
      <c r="WS110" s="308"/>
      <c r="WT110" s="308"/>
      <c r="WU110" s="308"/>
      <c r="WV110" s="308"/>
      <c r="WW110" s="308"/>
      <c r="WX110" s="308"/>
      <c r="WY110" s="308"/>
      <c r="WZ110" s="308"/>
      <c r="XA110" s="308"/>
      <c r="XB110" s="308"/>
      <c r="XC110" s="308"/>
      <c r="XD110" s="308"/>
      <c r="XE110" s="308"/>
      <c r="XF110" s="308"/>
      <c r="XG110" s="308"/>
      <c r="XH110" s="308"/>
      <c r="XI110" s="308"/>
      <c r="XJ110" s="308"/>
      <c r="XK110" s="308"/>
      <c r="XL110" s="308"/>
      <c r="XM110" s="308"/>
      <c r="XN110" s="308"/>
      <c r="XO110" s="308"/>
      <c r="XP110" s="308"/>
      <c r="XQ110" s="308"/>
      <c r="XR110" s="308"/>
      <c r="XS110" s="308"/>
      <c r="XT110" s="308"/>
      <c r="XU110" s="308"/>
      <c r="XV110" s="308"/>
      <c r="XW110" s="308"/>
      <c r="XX110" s="308"/>
      <c r="XY110" s="308"/>
      <c r="XZ110" s="308"/>
      <c r="YA110" s="308"/>
      <c r="YB110" s="308"/>
      <c r="YC110" s="308"/>
      <c r="YD110" s="308"/>
      <c r="YE110" s="308"/>
      <c r="YF110" s="308"/>
      <c r="YG110" s="308"/>
      <c r="YH110" s="308"/>
      <c r="YI110" s="308"/>
      <c r="YJ110" s="308"/>
      <c r="YK110" s="308"/>
      <c r="YL110" s="308"/>
      <c r="YM110" s="308"/>
      <c r="YN110" s="308"/>
      <c r="YO110" s="308"/>
      <c r="YP110" s="308"/>
      <c r="YQ110" s="308"/>
      <c r="YR110" s="308"/>
      <c r="YS110" s="308"/>
      <c r="YT110" s="308"/>
      <c r="YU110" s="308"/>
      <c r="YV110" s="308"/>
      <c r="YW110" s="308"/>
      <c r="YX110" s="308"/>
      <c r="YY110" s="308"/>
      <c r="YZ110" s="308"/>
      <c r="ZA110" s="308"/>
      <c r="ZB110" s="308"/>
      <c r="ZC110" s="308"/>
      <c r="ZD110" s="308"/>
      <c r="ZE110" s="308"/>
      <c r="ZF110" s="308"/>
      <c r="ZG110" s="308"/>
      <c r="ZH110" s="308"/>
      <c r="ZI110" s="308"/>
      <c r="ZJ110" s="308"/>
      <c r="ZK110" s="308"/>
      <c r="ZL110" s="308"/>
      <c r="ZM110" s="308"/>
      <c r="ZN110" s="308"/>
      <c r="ZO110" s="308"/>
      <c r="ZP110" s="308"/>
      <c r="ZQ110" s="308"/>
      <c r="ZR110" s="308"/>
      <c r="ZS110" s="308"/>
      <c r="ZT110" s="308"/>
      <c r="ZU110" s="308"/>
      <c r="ZV110" s="308"/>
      <c r="ZW110" s="308"/>
      <c r="ZX110" s="308"/>
      <c r="ZY110" s="308"/>
      <c r="ZZ110" s="308"/>
      <c r="AAA110" s="308"/>
      <c r="AAB110" s="308"/>
      <c r="AAC110" s="308"/>
      <c r="AAD110" s="308"/>
      <c r="AAE110" s="308"/>
      <c r="AAF110" s="308"/>
      <c r="AAG110" s="308"/>
      <c r="AAH110" s="308"/>
      <c r="AAI110" s="308"/>
      <c r="AAJ110" s="308"/>
      <c r="AAK110" s="308"/>
      <c r="AAL110" s="308"/>
      <c r="AAM110" s="308"/>
      <c r="AAN110" s="308"/>
      <c r="AAO110" s="308"/>
      <c r="AAP110" s="308"/>
      <c r="AAQ110" s="308"/>
      <c r="AAR110" s="308"/>
      <c r="AAS110" s="308"/>
      <c r="AAT110" s="308"/>
      <c r="AAU110" s="308"/>
      <c r="AAV110" s="308"/>
      <c r="AAW110" s="308"/>
      <c r="AAX110" s="308"/>
      <c r="AAY110" s="308"/>
      <c r="AAZ110" s="308"/>
      <c r="ABA110" s="308"/>
      <c r="ABB110" s="308"/>
      <c r="ABC110" s="308"/>
      <c r="ABD110" s="308"/>
      <c r="ABE110" s="308"/>
      <c r="ABF110" s="308"/>
      <c r="ABG110" s="308"/>
      <c r="ABH110" s="308"/>
      <c r="ABI110" s="308"/>
      <c r="ABJ110" s="308"/>
      <c r="ABK110" s="308"/>
      <c r="ABL110" s="308"/>
      <c r="ABM110" s="308"/>
      <c r="ABN110" s="308"/>
      <c r="ABO110" s="308"/>
      <c r="ABP110" s="308"/>
      <c r="ABQ110" s="308"/>
      <c r="ABR110" s="308"/>
      <c r="ABS110" s="308"/>
      <c r="ABT110" s="308"/>
      <c r="ABU110" s="308"/>
      <c r="ABV110" s="308"/>
      <c r="ABW110" s="308"/>
      <c r="ABX110" s="308"/>
      <c r="ABY110" s="308"/>
      <c r="ABZ110" s="308"/>
      <c r="ACA110" s="308"/>
      <c r="ACB110" s="308"/>
      <c r="ACC110" s="308"/>
      <c r="ACD110" s="308"/>
      <c r="ACE110" s="308"/>
      <c r="ACF110" s="308"/>
      <c r="ACG110" s="308"/>
      <c r="ACH110" s="308"/>
      <c r="ACI110" s="308"/>
      <c r="ACJ110" s="308"/>
      <c r="ACK110" s="308"/>
      <c r="ACL110" s="308"/>
      <c r="ACM110" s="308"/>
      <c r="ACN110" s="308"/>
      <c r="ACO110" s="308"/>
      <c r="ACP110" s="308"/>
      <c r="ACQ110" s="308"/>
      <c r="ACR110" s="308"/>
      <c r="ACS110" s="308"/>
      <c r="ACT110" s="308"/>
      <c r="ACU110" s="308"/>
      <c r="ACV110" s="308"/>
      <c r="ACW110" s="308"/>
      <c r="ACX110" s="308"/>
      <c r="ACY110" s="308"/>
      <c r="ACZ110" s="308"/>
      <c r="ADA110" s="308"/>
      <c r="ADB110" s="308"/>
      <c r="ADC110" s="308"/>
      <c r="ADD110" s="308"/>
      <c r="ADE110" s="308"/>
      <c r="ADF110" s="308"/>
      <c r="ADG110" s="308"/>
      <c r="ADH110" s="308"/>
      <c r="ADI110" s="308"/>
      <c r="ADJ110" s="308"/>
      <c r="ADK110" s="308"/>
      <c r="ADL110" s="308"/>
      <c r="ADM110" s="308"/>
      <c r="ADN110" s="308"/>
      <c r="ADO110" s="308"/>
      <c r="ADP110" s="308"/>
      <c r="ADQ110" s="308"/>
      <c r="ADR110" s="308"/>
      <c r="ADS110" s="308"/>
      <c r="ADT110" s="308"/>
      <c r="ADU110" s="308"/>
      <c r="ADV110" s="308"/>
      <c r="ADW110" s="308"/>
      <c r="ADX110" s="308"/>
      <c r="ADY110" s="308"/>
      <c r="ADZ110" s="308"/>
      <c r="AEA110" s="308"/>
      <c r="AEB110" s="308"/>
      <c r="AEC110" s="308"/>
      <c r="AED110" s="308"/>
      <c r="AEE110" s="308"/>
      <c r="AEF110" s="308"/>
      <c r="AEG110" s="308"/>
      <c r="AEH110" s="308"/>
      <c r="AEI110" s="308"/>
      <c r="AEJ110" s="308"/>
      <c r="AEK110" s="308"/>
      <c r="AEL110" s="308"/>
      <c r="AEM110" s="308"/>
      <c r="AEN110" s="308"/>
      <c r="AEO110" s="308"/>
      <c r="AEP110" s="308"/>
      <c r="AEQ110" s="308"/>
      <c r="AER110" s="308"/>
      <c r="AES110" s="308"/>
      <c r="AET110" s="308"/>
      <c r="AEU110" s="308"/>
      <c r="AEV110" s="308"/>
      <c r="AEW110" s="308"/>
      <c r="AEX110" s="308"/>
      <c r="AEY110" s="308"/>
      <c r="AEZ110" s="308"/>
      <c r="AFA110" s="308"/>
      <c r="AFB110" s="308"/>
      <c r="AFC110" s="308"/>
      <c r="AFD110" s="308"/>
      <c r="AFE110" s="308"/>
      <c r="AFF110" s="308"/>
      <c r="AFG110" s="308"/>
      <c r="AFH110" s="308"/>
      <c r="AFI110" s="308"/>
      <c r="AFJ110" s="308"/>
      <c r="AFK110" s="308"/>
      <c r="AFL110" s="308"/>
      <c r="AFM110" s="308"/>
      <c r="AFN110" s="308"/>
      <c r="AFO110" s="308"/>
      <c r="AFP110" s="308"/>
      <c r="AFQ110" s="308"/>
      <c r="AFR110" s="308"/>
      <c r="AFS110" s="308"/>
      <c r="AFT110" s="308"/>
      <c r="AFU110" s="308"/>
      <c r="AFV110" s="308"/>
      <c r="AFW110" s="308"/>
      <c r="AFX110" s="308"/>
      <c r="AFY110" s="308"/>
      <c r="AFZ110" s="308"/>
      <c r="AGA110" s="308"/>
      <c r="AGB110" s="308"/>
      <c r="AGC110" s="308"/>
      <c r="AGD110" s="308"/>
      <c r="AGE110" s="308"/>
      <c r="AGF110" s="308"/>
      <c r="AGG110" s="308"/>
      <c r="AGH110" s="308"/>
      <c r="AGI110" s="308"/>
      <c r="AGJ110" s="308"/>
      <c r="AGK110" s="308"/>
      <c r="AGL110" s="308"/>
      <c r="AGM110" s="308"/>
      <c r="AGN110" s="308"/>
      <c r="AGO110" s="308"/>
      <c r="AGP110" s="308"/>
      <c r="AGQ110" s="308"/>
      <c r="AGR110" s="308"/>
      <c r="AGS110" s="308"/>
      <c r="AGT110" s="308"/>
      <c r="AGU110" s="308"/>
      <c r="AGV110" s="308"/>
      <c r="AGW110" s="308"/>
      <c r="AGX110" s="308"/>
      <c r="AGY110" s="308"/>
      <c r="AGZ110" s="308"/>
      <c r="AHA110" s="308"/>
      <c r="AHB110" s="308"/>
      <c r="AHC110" s="308"/>
      <c r="AHD110" s="308"/>
      <c r="AHE110" s="308"/>
      <c r="AHF110" s="308"/>
      <c r="AHG110" s="308"/>
      <c r="AHH110" s="308"/>
      <c r="AHI110" s="308"/>
      <c r="AHJ110" s="308"/>
      <c r="AHK110" s="308"/>
      <c r="AHL110" s="308"/>
      <c r="AHM110" s="308"/>
      <c r="AHN110" s="308"/>
      <c r="AHO110" s="308"/>
      <c r="AHP110" s="308"/>
      <c r="AHQ110" s="308"/>
      <c r="AHR110" s="308"/>
      <c r="AHS110" s="308"/>
      <c r="AHT110" s="308"/>
      <c r="AHU110" s="308"/>
      <c r="AHV110" s="308"/>
      <c r="AHW110" s="308"/>
      <c r="AHX110" s="308"/>
      <c r="AHY110" s="308"/>
      <c r="AHZ110" s="308"/>
      <c r="AIA110" s="308"/>
      <c r="AIB110" s="308"/>
      <c r="AIC110" s="308"/>
      <c r="AID110" s="308"/>
      <c r="AIE110" s="308"/>
      <c r="AIF110" s="308"/>
      <c r="AIG110" s="308"/>
      <c r="AIH110" s="308"/>
      <c r="AII110" s="308"/>
      <c r="AIJ110" s="308"/>
      <c r="AIK110" s="308"/>
      <c r="AIL110" s="308"/>
      <c r="AIM110" s="308"/>
      <c r="AIN110" s="308"/>
      <c r="AIO110" s="308"/>
      <c r="AIP110" s="308"/>
      <c r="AIQ110" s="308"/>
      <c r="AIR110" s="308"/>
      <c r="AIS110" s="308"/>
      <c r="AIT110" s="308"/>
      <c r="AIU110" s="308"/>
      <c r="AIV110" s="308"/>
      <c r="AIW110" s="308"/>
      <c r="AIX110" s="308"/>
      <c r="AIY110" s="308"/>
      <c r="AIZ110" s="308"/>
      <c r="AJA110" s="308"/>
      <c r="AJB110" s="308"/>
      <c r="AJC110" s="308"/>
    </row>
  </sheetData>
  <mergeCells count="4">
    <mergeCell ref="AB5:AM5"/>
    <mergeCell ref="AO5:AS5"/>
    <mergeCell ref="AT5:AX5"/>
    <mergeCell ref="T5:Z5"/>
  </mergeCells>
  <conditionalFormatting sqref="AD6">
    <cfRule type="cellIs" dxfId="187" priority="7" operator="equal">
      <formula>0</formula>
    </cfRule>
  </conditionalFormatting>
  <conditionalFormatting sqref="AE6">
    <cfRule type="cellIs" dxfId="186" priority="6" operator="equal">
      <formula>0</formula>
    </cfRule>
  </conditionalFormatting>
  <conditionalFormatting sqref="AF6">
    <cfRule type="cellIs" dxfId="185" priority="5" operator="equal">
      <formula>0</formula>
    </cfRule>
  </conditionalFormatting>
  <conditionalFormatting sqref="AG6">
    <cfRule type="cellIs" dxfId="184" priority="4" operator="equal">
      <formula>0</formula>
    </cfRule>
  </conditionalFormatting>
  <conditionalFormatting sqref="AH6">
    <cfRule type="cellIs" dxfId="183" priority="3" operator="equal">
      <formula>0</formula>
    </cfRule>
  </conditionalFormatting>
  <conditionalFormatting sqref="AI6">
    <cfRule type="cellIs" dxfId="182" priority="2" operator="equal">
      <formula>0</formula>
    </cfRule>
  </conditionalFormatting>
  <conditionalFormatting sqref="AJ6">
    <cfRule type="cellIs" dxfId="181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rstPageNumber="0" fitToHeight="0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C154"/>
  <sheetViews>
    <sheetView showZeros="0" rightToLeft="1" zoomScaleNormal="100" workbookViewId="0">
      <pane xSplit="3" ySplit="4" topLeftCell="T5" activePane="bottomRight" state="frozen"/>
      <selection activeCell="T20" sqref="T20"/>
      <selection pane="topRight" activeCell="T20" sqref="T20"/>
      <selection pane="bottomLeft" activeCell="T20" sqref="T20"/>
      <selection pane="bottomRight" activeCell="T20" sqref="T20"/>
    </sheetView>
  </sheetViews>
  <sheetFormatPr defaultColWidth="9.1796875" defaultRowHeight="14"/>
  <cols>
    <col min="1" max="1" width="4" style="418" customWidth="1"/>
    <col min="2" max="2" width="5" style="247" customWidth="1"/>
    <col min="3" max="3" width="29.453125" style="247" customWidth="1"/>
    <col min="4" max="4" width="12.7265625" style="248" hidden="1" customWidth="1"/>
    <col min="5" max="5" width="12.453125" style="248" hidden="1" customWidth="1"/>
    <col min="6" max="6" width="11.1796875" style="248" hidden="1" customWidth="1"/>
    <col min="7" max="7" width="14" style="248" hidden="1" customWidth="1"/>
    <col min="8" max="8" width="12" style="248" hidden="1" customWidth="1"/>
    <col min="9" max="9" width="9.1796875" style="248" hidden="1" customWidth="1"/>
    <col min="10" max="10" width="11.7265625" style="248" hidden="1" customWidth="1"/>
    <col min="11" max="11" width="11.26953125" style="248" hidden="1" customWidth="1"/>
    <col min="12" max="14" width="11.1796875" style="248" hidden="1" customWidth="1"/>
    <col min="15" max="15" width="11" style="248" hidden="1" customWidth="1"/>
    <col min="16" max="16" width="11.1796875" style="248" hidden="1" customWidth="1"/>
    <col min="17" max="18" width="11.54296875" style="248" hidden="1" customWidth="1"/>
    <col min="19" max="19" width="12" style="248" hidden="1" customWidth="1"/>
    <col min="20" max="20" width="9" style="248" customWidth="1"/>
    <col min="21" max="22" width="11.1796875" style="247" customWidth="1"/>
    <col min="23" max="23" width="6.26953125" style="247" customWidth="1"/>
    <col min="24" max="24" width="8.81640625" style="247" customWidth="1"/>
    <col min="25" max="25" width="10.26953125" style="247" customWidth="1"/>
    <col min="26" max="26" width="11.1796875" style="247" customWidth="1"/>
    <col min="27" max="27" width="12" style="247" hidden="1" customWidth="1"/>
    <col min="28" max="28" width="14.1796875" style="247" hidden="1" customWidth="1"/>
    <col min="29" max="36" width="16" style="247" hidden="1" customWidth="1"/>
    <col min="37" max="38" width="11.1796875" style="247" hidden="1" customWidth="1"/>
    <col min="39" max="39" width="11.26953125" style="247" customWidth="1"/>
    <col min="40" max="40" width="11.1796875" style="247" bestFit="1" customWidth="1"/>
    <col min="41" max="41" width="11.1796875" style="247" customWidth="1"/>
    <col min="42" max="43" width="6.26953125" style="247" customWidth="1"/>
    <col min="44" max="44" width="10.1796875" style="247" customWidth="1"/>
    <col min="45" max="45" width="10.453125" style="247" customWidth="1"/>
    <col min="46" max="46" width="11.1796875" style="247" hidden="1" customWidth="1"/>
    <col min="47" max="49" width="9.1796875" style="247" hidden="1" customWidth="1"/>
    <col min="50" max="50" width="10.453125" style="247" hidden="1" customWidth="1"/>
    <col min="51" max="51" width="11.1796875" style="247" hidden="1" customWidth="1"/>
    <col min="52" max="53" width="9.1796875" style="247" hidden="1" customWidth="1"/>
    <col min="54" max="54" width="10.1796875" style="247" hidden="1" customWidth="1"/>
    <col min="55" max="55" width="11.453125" style="247" hidden="1" customWidth="1"/>
    <col min="56" max="16384" width="9.1796875" style="247"/>
  </cols>
  <sheetData>
    <row r="1" spans="1:55" s="416" customFormat="1" ht="18">
      <c r="A1" s="122" t="s">
        <v>1431</v>
      </c>
      <c r="B1" s="415"/>
      <c r="C1" s="415"/>
      <c r="D1" s="415"/>
      <c r="E1" s="529"/>
      <c r="F1" s="415"/>
      <c r="G1" s="529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  <c r="U1" s="415"/>
      <c r="V1" s="415"/>
      <c r="W1" s="415"/>
      <c r="X1" s="415"/>
      <c r="Y1" s="415"/>
      <c r="Z1" s="415"/>
      <c r="AS1" s="494"/>
      <c r="AT1" s="494"/>
    </row>
    <row r="2" spans="1:55" s="416" customFormat="1" ht="11.25" customHeight="1">
      <c r="B2" s="415"/>
      <c r="C2" s="415"/>
      <c r="D2" s="415"/>
      <c r="E2" s="529"/>
      <c r="F2" s="415"/>
      <c r="G2" s="529"/>
      <c r="H2" s="415"/>
      <c r="I2" s="415"/>
      <c r="J2" s="415"/>
      <c r="K2" s="415"/>
      <c r="L2" s="415"/>
      <c r="M2" s="415"/>
      <c r="N2" s="415"/>
      <c r="O2" s="415"/>
      <c r="P2" s="415"/>
      <c r="Q2" s="415"/>
      <c r="R2" s="415"/>
      <c r="S2" s="415"/>
      <c r="T2" s="415"/>
      <c r="U2" s="415"/>
      <c r="V2" s="415"/>
      <c r="W2" s="415"/>
      <c r="X2" s="415"/>
      <c r="Y2" s="415"/>
      <c r="Z2" s="415"/>
    </row>
    <row r="3" spans="1:55">
      <c r="A3" s="530"/>
      <c r="B3" s="531"/>
      <c r="C3" s="531"/>
      <c r="D3" s="531"/>
      <c r="E3" s="531"/>
      <c r="F3" s="531"/>
      <c r="G3" s="531"/>
      <c r="H3" s="531"/>
      <c r="I3" s="531"/>
      <c r="J3" s="531"/>
      <c r="K3" s="531"/>
      <c r="L3" s="531"/>
      <c r="M3" s="531"/>
      <c r="N3" s="531"/>
      <c r="O3" s="531"/>
      <c r="P3" s="531"/>
      <c r="Q3" s="531"/>
      <c r="R3" s="531"/>
      <c r="S3" s="531"/>
      <c r="T3" s="738" t="s">
        <v>146</v>
      </c>
      <c r="U3" s="739"/>
      <c r="V3" s="739"/>
      <c r="W3" s="739"/>
      <c r="X3" s="739"/>
      <c r="Y3" s="739"/>
      <c r="Z3" s="740"/>
      <c r="AB3" s="735" t="s">
        <v>489</v>
      </c>
      <c r="AC3" s="736"/>
      <c r="AD3" s="736"/>
      <c r="AE3" s="736"/>
      <c r="AF3" s="736"/>
      <c r="AG3" s="736"/>
      <c r="AH3" s="736"/>
      <c r="AI3" s="736"/>
      <c r="AJ3" s="736"/>
      <c r="AK3" s="736"/>
      <c r="AL3" s="736"/>
      <c r="AM3" s="737"/>
      <c r="AN3" s="110"/>
      <c r="AO3" s="735" t="s">
        <v>834</v>
      </c>
      <c r="AP3" s="736"/>
      <c r="AQ3" s="736"/>
      <c r="AR3" s="736"/>
      <c r="AS3" s="737"/>
      <c r="AT3" s="735" t="s">
        <v>835</v>
      </c>
      <c r="AU3" s="736"/>
      <c r="AV3" s="736"/>
      <c r="AW3" s="736"/>
      <c r="AX3" s="737"/>
      <c r="AY3" s="735" t="s">
        <v>836</v>
      </c>
      <c r="AZ3" s="736"/>
      <c r="BA3" s="736"/>
      <c r="BB3" s="736"/>
      <c r="BC3" s="737"/>
    </row>
    <row r="4" spans="1:55" s="422" customFormat="1" ht="86.25" customHeight="1">
      <c r="A4" s="250" t="s">
        <v>0</v>
      </c>
      <c r="B4" s="250" t="s">
        <v>1</v>
      </c>
      <c r="C4" s="250" t="s">
        <v>2</v>
      </c>
      <c r="D4" s="250" t="s">
        <v>3</v>
      </c>
      <c r="E4" s="250" t="s">
        <v>4</v>
      </c>
      <c r="F4" s="250" t="s">
        <v>5</v>
      </c>
      <c r="G4" s="250" t="s">
        <v>6</v>
      </c>
      <c r="H4" s="250" t="s">
        <v>7</v>
      </c>
      <c r="I4" s="250" t="s">
        <v>9</v>
      </c>
      <c r="J4" s="250" t="s">
        <v>318</v>
      </c>
      <c r="K4" s="250" t="s">
        <v>10</v>
      </c>
      <c r="L4" s="250" t="s">
        <v>11</v>
      </c>
      <c r="M4" s="11" t="s">
        <v>309</v>
      </c>
      <c r="N4" s="250" t="s">
        <v>310</v>
      </c>
      <c r="O4" s="250" t="s">
        <v>311</v>
      </c>
      <c r="P4" s="250" t="s">
        <v>12</v>
      </c>
      <c r="Q4" s="250" t="s">
        <v>319</v>
      </c>
      <c r="R4" s="250" t="s">
        <v>320</v>
      </c>
      <c r="S4" s="250" t="s">
        <v>314</v>
      </c>
      <c r="T4" s="250" t="s">
        <v>315</v>
      </c>
      <c r="U4" s="250" t="s">
        <v>316</v>
      </c>
      <c r="V4" s="250" t="s">
        <v>13</v>
      </c>
      <c r="W4" s="250" t="s">
        <v>14</v>
      </c>
      <c r="X4" s="250" t="s">
        <v>15</v>
      </c>
      <c r="Y4" s="250" t="s">
        <v>523</v>
      </c>
      <c r="Z4" s="250" t="s">
        <v>140</v>
      </c>
      <c r="AA4" s="532" t="s">
        <v>16</v>
      </c>
      <c r="AB4" s="107" t="s">
        <v>490</v>
      </c>
      <c r="AC4" s="107" t="s">
        <v>491</v>
      </c>
      <c r="AD4" s="107" t="s">
        <v>492</v>
      </c>
      <c r="AE4" s="107" t="s">
        <v>493</v>
      </c>
      <c r="AF4" s="107" t="s">
        <v>494</v>
      </c>
      <c r="AG4" s="107" t="s">
        <v>495</v>
      </c>
      <c r="AH4" s="107" t="s">
        <v>496</v>
      </c>
      <c r="AI4" s="107" t="s">
        <v>497</v>
      </c>
      <c r="AJ4" s="107" t="s">
        <v>498</v>
      </c>
      <c r="AK4" s="498" t="s">
        <v>837</v>
      </c>
      <c r="AL4" s="498" t="s">
        <v>838</v>
      </c>
      <c r="AM4" s="498" t="s">
        <v>839</v>
      </c>
      <c r="AN4" s="498" t="s">
        <v>840</v>
      </c>
      <c r="AO4" s="498" t="s">
        <v>13</v>
      </c>
      <c r="AP4" s="498" t="s">
        <v>14</v>
      </c>
      <c r="AQ4" s="498" t="s">
        <v>15</v>
      </c>
      <c r="AR4" s="498" t="s">
        <v>523</v>
      </c>
      <c r="AS4" s="498" t="s">
        <v>140</v>
      </c>
      <c r="AT4" s="498" t="s">
        <v>13</v>
      </c>
      <c r="AU4" s="498" t="s">
        <v>14</v>
      </c>
      <c r="AV4" s="498" t="s">
        <v>15</v>
      </c>
      <c r="AW4" s="498" t="s">
        <v>523</v>
      </c>
      <c r="AX4" s="498" t="s">
        <v>140</v>
      </c>
      <c r="AY4" s="498" t="s">
        <v>13</v>
      </c>
      <c r="AZ4" s="498" t="s">
        <v>14</v>
      </c>
      <c r="BA4" s="498" t="s">
        <v>15</v>
      </c>
      <c r="BB4" s="498" t="s">
        <v>523</v>
      </c>
      <c r="BC4" s="498" t="s">
        <v>140</v>
      </c>
    </row>
    <row r="5" spans="1:55" s="258" customFormat="1">
      <c r="A5" s="254">
        <v>1</v>
      </c>
      <c r="B5" s="254">
        <v>382</v>
      </c>
      <c r="C5" s="254" t="s">
        <v>127</v>
      </c>
      <c r="D5" s="255">
        <f>45781930+3800000</f>
        <v>49581930</v>
      </c>
      <c r="E5" s="255">
        <v>45781930</v>
      </c>
      <c r="F5" s="255">
        <f t="shared" ref="F5:F68" si="0">D5-E5</f>
        <v>3800000</v>
      </c>
      <c r="G5" s="255">
        <v>36881330</v>
      </c>
      <c r="H5" s="255">
        <v>31771988.18</v>
      </c>
      <c r="I5" s="255"/>
      <c r="J5" s="255">
        <v>492304.91</v>
      </c>
      <c r="K5" s="255">
        <f t="shared" ref="K5:K66" si="1">SUM(I5:J5)</f>
        <v>492304.91</v>
      </c>
      <c r="L5" s="255">
        <f t="shared" ref="L5:L22" si="2">K5+H5</f>
        <v>32264293.09</v>
      </c>
      <c r="M5" s="255">
        <f t="shared" ref="M5:M22" si="3">P5+S5</f>
        <v>4617036.91</v>
      </c>
      <c r="N5" s="255">
        <f>8900600+3800000-2700600</f>
        <v>10000000</v>
      </c>
      <c r="O5" s="255">
        <f>D5-L5-M5-N5</f>
        <v>2700600</v>
      </c>
      <c r="P5" s="255">
        <f>G5-L5</f>
        <v>4617036.91</v>
      </c>
      <c r="Q5" s="255"/>
      <c r="R5" s="255"/>
      <c r="S5" s="255">
        <f>SUM(Q5:R5)</f>
        <v>0</v>
      </c>
      <c r="T5" s="255">
        <f>P5-M5+S5</f>
        <v>0</v>
      </c>
      <c r="U5" s="255">
        <f>N5-T5</f>
        <v>10000000</v>
      </c>
      <c r="V5" s="255">
        <f>U5-X5-Y5-Z5</f>
        <v>10000000</v>
      </c>
      <c r="W5" s="255"/>
      <c r="X5" s="255"/>
      <c r="Y5" s="255"/>
      <c r="Z5" s="254"/>
      <c r="AA5" s="528">
        <v>742000</v>
      </c>
      <c r="AB5" s="254"/>
      <c r="AC5" s="254"/>
      <c r="AD5" s="254"/>
      <c r="AE5" s="254"/>
      <c r="AF5" s="255">
        <v>1500000</v>
      </c>
      <c r="AG5" s="255"/>
      <c r="AH5" s="255">
        <v>1500000</v>
      </c>
      <c r="AI5" s="255">
        <v>1500000</v>
      </c>
      <c r="AJ5" s="255">
        <v>1500000</v>
      </c>
      <c r="AK5" s="255">
        <f t="shared" ref="AK5:AK15" si="4">SUM(AB5:AJ5)</f>
        <v>6000000</v>
      </c>
      <c r="AL5" s="255">
        <v>4000000</v>
      </c>
      <c r="AM5" s="255">
        <f>AL5+AK5</f>
        <v>10000000</v>
      </c>
      <c r="AN5" s="255">
        <f>U5-AM5</f>
        <v>0</v>
      </c>
      <c r="AO5" s="255">
        <f>AM5-AP5-AQ5-AR5-AS5</f>
        <v>10000000</v>
      </c>
      <c r="AP5" s="255"/>
      <c r="AQ5" s="255"/>
      <c r="AR5" s="255"/>
      <c r="AS5" s="255"/>
      <c r="AT5" s="255">
        <f>AL5-AU5-AV5-AW5-AX5</f>
        <v>4000000</v>
      </c>
      <c r="AU5" s="255"/>
      <c r="AV5" s="255"/>
      <c r="AW5" s="255"/>
      <c r="AX5" s="255"/>
      <c r="AY5" s="255">
        <f>AN5-AZ5-BA5-BB5-BC5</f>
        <v>0</v>
      </c>
      <c r="AZ5" s="255"/>
      <c r="BA5" s="255"/>
      <c r="BB5" s="255"/>
      <c r="BC5" s="255"/>
    </row>
    <row r="6" spans="1:55" s="258" customFormat="1" ht="28">
      <c r="A6" s="254">
        <f>A5+1</f>
        <v>2</v>
      </c>
      <c r="B6" s="244">
        <v>437</v>
      </c>
      <c r="C6" s="244" t="s">
        <v>925</v>
      </c>
      <c r="D6" s="255">
        <v>11000000</v>
      </c>
      <c r="E6" s="255">
        <v>11000000</v>
      </c>
      <c r="F6" s="255">
        <f t="shared" si="0"/>
        <v>0</v>
      </c>
      <c r="G6" s="255">
        <v>11000000</v>
      </c>
      <c r="H6" s="255">
        <v>9417219.4100000001</v>
      </c>
      <c r="I6" s="255"/>
      <c r="J6" s="255">
        <v>1582779.12</v>
      </c>
      <c r="K6" s="255">
        <f t="shared" si="1"/>
        <v>1582779.12</v>
      </c>
      <c r="L6" s="255">
        <f t="shared" si="2"/>
        <v>10999998.530000001</v>
      </c>
      <c r="M6" s="255">
        <f t="shared" si="3"/>
        <v>1.4699999988079071</v>
      </c>
      <c r="N6" s="255"/>
      <c r="O6" s="255">
        <f t="shared" ref="O6:O69" si="5">D6-L6-M6-N6</f>
        <v>0</v>
      </c>
      <c r="P6" s="255">
        <f t="shared" ref="P6:P69" si="6">G6-L6</f>
        <v>1.4699999988079071</v>
      </c>
      <c r="Q6" s="255"/>
      <c r="R6" s="255"/>
      <c r="S6" s="255">
        <f t="shared" ref="S6:S17" si="7">SUM(Q6:R6)</f>
        <v>0</v>
      </c>
      <c r="T6" s="255">
        <f t="shared" ref="T6:T69" si="8">P6-M6+S6</f>
        <v>0</v>
      </c>
      <c r="U6" s="255">
        <f t="shared" ref="U6:U16" si="9">N6-T6</f>
        <v>0</v>
      </c>
      <c r="V6" s="255">
        <f t="shared" ref="V6:V24" si="10">U6-X6-Y6-Z6</f>
        <v>0</v>
      </c>
      <c r="W6" s="255"/>
      <c r="X6" s="255"/>
      <c r="Y6" s="255"/>
      <c r="Z6" s="254"/>
      <c r="AA6" s="528">
        <v>742000</v>
      </c>
      <c r="AB6" s="254"/>
      <c r="AC6" s="254"/>
      <c r="AD6" s="254"/>
      <c r="AE6" s="254"/>
      <c r="AF6" s="254"/>
      <c r="AG6" s="254"/>
      <c r="AH6" s="254"/>
      <c r="AI6" s="254"/>
      <c r="AJ6" s="254"/>
      <c r="AK6" s="254">
        <f t="shared" si="4"/>
        <v>0</v>
      </c>
      <c r="AL6" s="255"/>
      <c r="AM6" s="255">
        <f t="shared" ref="AM6:AM69" si="11">AL6+AK6</f>
        <v>0</v>
      </c>
      <c r="AN6" s="255">
        <f t="shared" ref="AN6:AN69" si="12">U6-AM6</f>
        <v>0</v>
      </c>
      <c r="AO6" s="255">
        <f t="shared" ref="AO6:AO69" si="13">AM6-AP6-AQ6-AR6-AS6</f>
        <v>0</v>
      </c>
      <c r="AP6" s="255"/>
      <c r="AQ6" s="255"/>
      <c r="AR6" s="255"/>
      <c r="AS6" s="255"/>
      <c r="AT6" s="255">
        <f t="shared" ref="AT6:AT69" si="14">AL6-AU6-AV6-AW6-AX6</f>
        <v>0</v>
      </c>
      <c r="AU6" s="255"/>
      <c r="AV6" s="255"/>
      <c r="AW6" s="255"/>
      <c r="AX6" s="255"/>
      <c r="AY6" s="255">
        <f t="shared" ref="AY6:AY69" si="15">AN6-AZ6-BA6-BB6-BC6</f>
        <v>0</v>
      </c>
      <c r="AZ6" s="255"/>
      <c r="BA6" s="255"/>
      <c r="BB6" s="255"/>
      <c r="BC6" s="255"/>
    </row>
    <row r="7" spans="1:55" s="259" customFormat="1" ht="28">
      <c r="A7" s="254">
        <f t="shared" ref="A7:A70" si="16">A6+1</f>
        <v>3</v>
      </c>
      <c r="B7" s="244">
        <v>439</v>
      </c>
      <c r="C7" s="244" t="s">
        <v>926</v>
      </c>
      <c r="D7" s="255">
        <v>17090803</v>
      </c>
      <c r="E7" s="255">
        <v>17090803</v>
      </c>
      <c r="F7" s="255">
        <f t="shared" si="0"/>
        <v>0</v>
      </c>
      <c r="G7" s="255">
        <v>17090803</v>
      </c>
      <c r="H7" s="255">
        <v>16323383</v>
      </c>
      <c r="I7" s="255"/>
      <c r="J7" s="255">
        <v>67420.12</v>
      </c>
      <c r="K7" s="255">
        <f t="shared" si="1"/>
        <v>67420.12</v>
      </c>
      <c r="L7" s="255">
        <f t="shared" si="2"/>
        <v>16390803.119999999</v>
      </c>
      <c r="M7" s="255">
        <f t="shared" si="3"/>
        <v>699999.88000000082</v>
      </c>
      <c r="N7" s="255"/>
      <c r="O7" s="255">
        <f t="shared" si="5"/>
        <v>0</v>
      </c>
      <c r="P7" s="255">
        <f t="shared" si="6"/>
        <v>699999.88000000082</v>
      </c>
      <c r="Q7" s="255"/>
      <c r="R7" s="255"/>
      <c r="S7" s="255">
        <f t="shared" si="7"/>
        <v>0</v>
      </c>
      <c r="T7" s="255">
        <f t="shared" si="8"/>
        <v>0</v>
      </c>
      <c r="U7" s="255">
        <f t="shared" si="9"/>
        <v>0</v>
      </c>
      <c r="V7" s="255">
        <f t="shared" si="10"/>
        <v>0</v>
      </c>
      <c r="W7" s="255"/>
      <c r="X7" s="255"/>
      <c r="Y7" s="255"/>
      <c r="Z7" s="254"/>
      <c r="AA7" s="528">
        <v>742000</v>
      </c>
      <c r="AB7" s="260"/>
      <c r="AC7" s="260"/>
      <c r="AD7" s="260"/>
      <c r="AE7" s="260"/>
      <c r="AF7" s="260"/>
      <c r="AG7" s="260"/>
      <c r="AH7" s="260"/>
      <c r="AI7" s="260"/>
      <c r="AJ7" s="260"/>
      <c r="AK7" s="254">
        <f t="shared" si="4"/>
        <v>0</v>
      </c>
      <c r="AL7" s="255"/>
      <c r="AM7" s="255">
        <f t="shared" si="11"/>
        <v>0</v>
      </c>
      <c r="AN7" s="255">
        <f t="shared" si="12"/>
        <v>0</v>
      </c>
      <c r="AO7" s="255">
        <f t="shared" si="13"/>
        <v>0</v>
      </c>
      <c r="AP7" s="255"/>
      <c r="AQ7" s="255"/>
      <c r="AR7" s="255"/>
      <c r="AS7" s="255"/>
      <c r="AT7" s="255">
        <f t="shared" si="14"/>
        <v>0</v>
      </c>
      <c r="AU7" s="255"/>
      <c r="AV7" s="255"/>
      <c r="AW7" s="255"/>
      <c r="AX7" s="255"/>
      <c r="AY7" s="255">
        <f t="shared" si="15"/>
        <v>0</v>
      </c>
      <c r="AZ7" s="255"/>
      <c r="BA7" s="255"/>
      <c r="BB7" s="255"/>
      <c r="BC7" s="255"/>
    </row>
    <row r="8" spans="1:55" s="259" customFormat="1">
      <c r="A8" s="254">
        <f t="shared" si="16"/>
        <v>4</v>
      </c>
      <c r="B8" s="254">
        <v>532</v>
      </c>
      <c r="C8" s="254" t="s">
        <v>128</v>
      </c>
      <c r="D8" s="255">
        <v>80090000</v>
      </c>
      <c r="E8" s="255">
        <v>80090000</v>
      </c>
      <c r="F8" s="255">
        <f t="shared" si="0"/>
        <v>0</v>
      </c>
      <c r="G8" s="255">
        <f>68690000+6400000</f>
        <v>75090000</v>
      </c>
      <c r="H8" s="255">
        <v>58868690.310000002</v>
      </c>
      <c r="I8" s="255"/>
      <c r="J8" s="255">
        <v>765919.28</v>
      </c>
      <c r="K8" s="255">
        <f t="shared" si="1"/>
        <v>765919.28</v>
      </c>
      <c r="L8" s="255">
        <f t="shared" si="2"/>
        <v>59634609.590000004</v>
      </c>
      <c r="M8" s="255">
        <f t="shared" si="3"/>
        <v>15455390.409999996</v>
      </c>
      <c r="N8" s="255">
        <v>5000000</v>
      </c>
      <c r="O8" s="255">
        <f t="shared" si="5"/>
        <v>0</v>
      </c>
      <c r="P8" s="255">
        <f t="shared" si="6"/>
        <v>15455390.409999996</v>
      </c>
      <c r="Q8" s="255"/>
      <c r="R8" s="255"/>
      <c r="S8" s="255">
        <f t="shared" si="7"/>
        <v>0</v>
      </c>
      <c r="T8" s="255">
        <f t="shared" si="8"/>
        <v>0</v>
      </c>
      <c r="U8" s="255">
        <f t="shared" si="9"/>
        <v>5000000</v>
      </c>
      <c r="V8" s="255">
        <f t="shared" si="10"/>
        <v>5000000</v>
      </c>
      <c r="W8" s="255"/>
      <c r="X8" s="255"/>
      <c r="Y8" s="255"/>
      <c r="Z8" s="254"/>
      <c r="AA8" s="528">
        <v>742000</v>
      </c>
      <c r="AB8" s="260"/>
      <c r="AC8" s="260"/>
      <c r="AD8" s="260"/>
      <c r="AE8" s="260"/>
      <c r="AF8" s="260"/>
      <c r="AG8" s="260"/>
      <c r="AH8" s="260"/>
      <c r="AI8" s="260"/>
      <c r="AJ8" s="260"/>
      <c r="AK8" s="255">
        <f t="shared" si="4"/>
        <v>0</v>
      </c>
      <c r="AL8" s="255">
        <v>5000000</v>
      </c>
      <c r="AM8" s="255">
        <f t="shared" si="11"/>
        <v>5000000</v>
      </c>
      <c r="AN8" s="255">
        <f t="shared" si="12"/>
        <v>0</v>
      </c>
      <c r="AO8" s="255">
        <f t="shared" si="13"/>
        <v>5000000</v>
      </c>
      <c r="AP8" s="255"/>
      <c r="AQ8" s="255"/>
      <c r="AR8" s="255"/>
      <c r="AS8" s="255"/>
      <c r="AT8" s="255">
        <f t="shared" si="14"/>
        <v>5000000</v>
      </c>
      <c r="AU8" s="255"/>
      <c r="AV8" s="255"/>
      <c r="AW8" s="255"/>
      <c r="AX8" s="255"/>
      <c r="AY8" s="255">
        <f t="shared" si="15"/>
        <v>0</v>
      </c>
      <c r="AZ8" s="255"/>
      <c r="BA8" s="255"/>
      <c r="BB8" s="255"/>
      <c r="BC8" s="255"/>
    </row>
    <row r="9" spans="1:55" s="259" customFormat="1">
      <c r="A9" s="254">
        <f t="shared" si="16"/>
        <v>5</v>
      </c>
      <c r="B9" s="254">
        <v>576</v>
      </c>
      <c r="C9" s="254" t="s">
        <v>129</v>
      </c>
      <c r="D9" s="255">
        <v>55113000</v>
      </c>
      <c r="E9" s="255">
        <f>45113000+10000000</f>
        <v>55113000</v>
      </c>
      <c r="F9" s="255">
        <f t="shared" si="0"/>
        <v>0</v>
      </c>
      <c r="G9" s="255">
        <v>45113000</v>
      </c>
      <c r="H9" s="255">
        <v>42336585.600000001</v>
      </c>
      <c r="I9" s="255"/>
      <c r="J9" s="255">
        <v>1464266.78</v>
      </c>
      <c r="K9" s="255">
        <f t="shared" si="1"/>
        <v>1464266.78</v>
      </c>
      <c r="L9" s="255">
        <f t="shared" si="2"/>
        <v>43800852.380000003</v>
      </c>
      <c r="M9" s="255">
        <f t="shared" si="3"/>
        <v>112147.61999999732</v>
      </c>
      <c r="N9" s="255">
        <f>5000000+5000000</f>
        <v>10000000</v>
      </c>
      <c r="O9" s="255">
        <f t="shared" si="5"/>
        <v>1200000</v>
      </c>
      <c r="P9" s="255">
        <f t="shared" si="6"/>
        <v>1312147.6199999973</v>
      </c>
      <c r="Q9" s="255">
        <f>1200000-1200000</f>
        <v>0</v>
      </c>
      <c r="R9" s="423">
        <f>2800000+6000000-1200000-8800000</f>
        <v>-1200000</v>
      </c>
      <c r="S9" s="255">
        <f t="shared" si="7"/>
        <v>-1200000</v>
      </c>
      <c r="T9" s="255">
        <f t="shared" si="8"/>
        <v>0</v>
      </c>
      <c r="U9" s="255">
        <f t="shared" si="9"/>
        <v>10000000</v>
      </c>
      <c r="V9" s="255">
        <f t="shared" si="10"/>
        <v>5000000</v>
      </c>
      <c r="W9" s="255"/>
      <c r="X9" s="255"/>
      <c r="Y9" s="255"/>
      <c r="Z9" s="255">
        <f>4000000+1000000</f>
        <v>5000000</v>
      </c>
      <c r="AA9" s="528">
        <v>760000</v>
      </c>
      <c r="AB9" s="260"/>
      <c r="AC9" s="260"/>
      <c r="AD9" s="260"/>
      <c r="AE9" s="260"/>
      <c r="AF9" s="260"/>
      <c r="AG9" s="260"/>
      <c r="AH9" s="260"/>
      <c r="AI9" s="260"/>
      <c r="AJ9" s="533">
        <f>2000000-2000000</f>
        <v>0</v>
      </c>
      <c r="AK9" s="255">
        <f t="shared" si="4"/>
        <v>0</v>
      </c>
      <c r="AL9" s="255">
        <v>10000000</v>
      </c>
      <c r="AM9" s="255">
        <f t="shared" si="11"/>
        <v>10000000</v>
      </c>
      <c r="AN9" s="255">
        <f t="shared" si="12"/>
        <v>0</v>
      </c>
      <c r="AO9" s="255">
        <f t="shared" si="13"/>
        <v>5000000</v>
      </c>
      <c r="AP9" s="255"/>
      <c r="AQ9" s="255"/>
      <c r="AR9" s="255"/>
      <c r="AS9" s="255">
        <v>5000000</v>
      </c>
      <c r="AT9" s="255">
        <f t="shared" si="14"/>
        <v>5000000</v>
      </c>
      <c r="AU9" s="255"/>
      <c r="AV9" s="255"/>
      <c r="AW9" s="255"/>
      <c r="AX9" s="255">
        <v>5000000</v>
      </c>
      <c r="AY9" s="255">
        <f t="shared" si="15"/>
        <v>0</v>
      </c>
      <c r="AZ9" s="255"/>
      <c r="BA9" s="255"/>
      <c r="BB9" s="255"/>
      <c r="BC9" s="255"/>
    </row>
    <row r="10" spans="1:55" s="259" customFormat="1">
      <c r="A10" s="254">
        <f t="shared" si="16"/>
        <v>6</v>
      </c>
      <c r="B10" s="254">
        <v>634</v>
      </c>
      <c r="C10" s="254" t="s">
        <v>130</v>
      </c>
      <c r="D10" s="255">
        <v>57250000</v>
      </c>
      <c r="E10" s="255">
        <v>57250000</v>
      </c>
      <c r="F10" s="255">
        <f t="shared" si="0"/>
        <v>0</v>
      </c>
      <c r="G10" s="255">
        <v>57250000</v>
      </c>
      <c r="H10" s="255">
        <v>54492773.850000001</v>
      </c>
      <c r="I10" s="255"/>
      <c r="J10" s="255">
        <v>1810217.45</v>
      </c>
      <c r="K10" s="255">
        <f t="shared" si="1"/>
        <v>1810217.45</v>
      </c>
      <c r="L10" s="255">
        <f t="shared" si="2"/>
        <v>56302991.300000004</v>
      </c>
      <c r="M10" s="255">
        <f t="shared" si="3"/>
        <v>947008.69999999553</v>
      </c>
      <c r="N10" s="255"/>
      <c r="O10" s="255">
        <f t="shared" si="5"/>
        <v>0</v>
      </c>
      <c r="P10" s="255">
        <f t="shared" si="6"/>
        <v>947008.69999999553</v>
      </c>
      <c r="Q10" s="255"/>
      <c r="R10" s="255"/>
      <c r="S10" s="255">
        <f t="shared" si="7"/>
        <v>0</v>
      </c>
      <c r="T10" s="255">
        <f t="shared" si="8"/>
        <v>0</v>
      </c>
      <c r="U10" s="255">
        <f t="shared" si="9"/>
        <v>0</v>
      </c>
      <c r="V10" s="255">
        <f t="shared" si="10"/>
        <v>0</v>
      </c>
      <c r="W10" s="255"/>
      <c r="X10" s="255"/>
      <c r="Y10" s="255"/>
      <c r="Z10" s="254"/>
      <c r="AA10" s="528">
        <v>732000</v>
      </c>
      <c r="AB10" s="260"/>
      <c r="AC10" s="260"/>
      <c r="AD10" s="260"/>
      <c r="AE10" s="260"/>
      <c r="AF10" s="260"/>
      <c r="AG10" s="260"/>
      <c r="AH10" s="260"/>
      <c r="AI10" s="260"/>
      <c r="AJ10" s="260"/>
      <c r="AK10" s="255">
        <f t="shared" si="4"/>
        <v>0</v>
      </c>
      <c r="AL10" s="255"/>
      <c r="AM10" s="255">
        <f t="shared" si="11"/>
        <v>0</v>
      </c>
      <c r="AN10" s="255">
        <f t="shared" si="12"/>
        <v>0</v>
      </c>
      <c r="AO10" s="255">
        <f t="shared" si="13"/>
        <v>0</v>
      </c>
      <c r="AP10" s="255"/>
      <c r="AQ10" s="255"/>
      <c r="AR10" s="255"/>
      <c r="AS10" s="255"/>
      <c r="AT10" s="255">
        <f t="shared" si="14"/>
        <v>0</v>
      </c>
      <c r="AU10" s="255"/>
      <c r="AV10" s="255"/>
      <c r="AW10" s="255"/>
      <c r="AX10" s="255"/>
      <c r="AY10" s="255">
        <f t="shared" si="15"/>
        <v>0</v>
      </c>
      <c r="AZ10" s="255"/>
      <c r="BA10" s="255"/>
      <c r="BB10" s="255"/>
      <c r="BC10" s="255"/>
    </row>
    <row r="11" spans="1:55" s="259" customFormat="1">
      <c r="A11" s="254">
        <f t="shared" si="16"/>
        <v>7</v>
      </c>
      <c r="B11" s="244">
        <v>642</v>
      </c>
      <c r="C11" s="244" t="s">
        <v>927</v>
      </c>
      <c r="D11" s="255">
        <v>15780000</v>
      </c>
      <c r="E11" s="255">
        <v>15780000</v>
      </c>
      <c r="F11" s="255">
        <f t="shared" si="0"/>
        <v>0</v>
      </c>
      <c r="G11" s="255">
        <v>15780000</v>
      </c>
      <c r="H11" s="255">
        <v>15562441.880000001</v>
      </c>
      <c r="I11" s="255"/>
      <c r="J11" s="255">
        <v>120227.98</v>
      </c>
      <c r="K11" s="255">
        <f t="shared" si="1"/>
        <v>120227.98</v>
      </c>
      <c r="L11" s="255">
        <f t="shared" si="2"/>
        <v>15682669.860000001</v>
      </c>
      <c r="M11" s="255">
        <f t="shared" si="3"/>
        <v>97330.139999998733</v>
      </c>
      <c r="N11" s="255"/>
      <c r="O11" s="255">
        <f t="shared" si="5"/>
        <v>0</v>
      </c>
      <c r="P11" s="255">
        <f t="shared" si="6"/>
        <v>97330.139999998733</v>
      </c>
      <c r="Q11" s="255"/>
      <c r="R11" s="255"/>
      <c r="S11" s="255">
        <f t="shared" si="7"/>
        <v>0</v>
      </c>
      <c r="T11" s="255">
        <f t="shared" si="8"/>
        <v>0</v>
      </c>
      <c r="U11" s="255">
        <f t="shared" si="9"/>
        <v>0</v>
      </c>
      <c r="V11" s="255">
        <f t="shared" si="10"/>
        <v>0</v>
      </c>
      <c r="W11" s="255"/>
      <c r="X11" s="255"/>
      <c r="Y11" s="255"/>
      <c r="Z11" s="254"/>
      <c r="AA11" s="528">
        <v>742000</v>
      </c>
      <c r="AB11" s="260"/>
      <c r="AC11" s="260"/>
      <c r="AD11" s="260"/>
      <c r="AE11" s="260"/>
      <c r="AF11" s="260"/>
      <c r="AG11" s="260"/>
      <c r="AH11" s="260"/>
      <c r="AI11" s="260"/>
      <c r="AJ11" s="260"/>
      <c r="AK11" s="255">
        <f t="shared" si="4"/>
        <v>0</v>
      </c>
      <c r="AL11" s="255"/>
      <c r="AM11" s="255">
        <f t="shared" si="11"/>
        <v>0</v>
      </c>
      <c r="AN11" s="255">
        <f t="shared" si="12"/>
        <v>0</v>
      </c>
      <c r="AO11" s="255">
        <f t="shared" si="13"/>
        <v>0</v>
      </c>
      <c r="AP11" s="255"/>
      <c r="AQ11" s="255"/>
      <c r="AR11" s="255"/>
      <c r="AS11" s="255"/>
      <c r="AT11" s="255">
        <f t="shared" si="14"/>
        <v>0</v>
      </c>
      <c r="AU11" s="255"/>
      <c r="AV11" s="255"/>
      <c r="AW11" s="255"/>
      <c r="AX11" s="255"/>
      <c r="AY11" s="255">
        <f t="shared" si="15"/>
        <v>0</v>
      </c>
      <c r="AZ11" s="255"/>
      <c r="BA11" s="255"/>
      <c r="BB11" s="255"/>
      <c r="BC11" s="255"/>
    </row>
    <row r="12" spans="1:55" s="258" customFormat="1">
      <c r="A12" s="254">
        <f t="shared" si="16"/>
        <v>8</v>
      </c>
      <c r="B12" s="254">
        <v>1067</v>
      </c>
      <c r="C12" s="254" t="s">
        <v>131</v>
      </c>
      <c r="D12" s="255">
        <f>3575000+150000</f>
        <v>3725000</v>
      </c>
      <c r="E12" s="255">
        <v>3575000</v>
      </c>
      <c r="F12" s="255">
        <f t="shared" si="0"/>
        <v>150000</v>
      </c>
      <c r="G12" s="255">
        <f>3075000+500000</f>
        <v>3575000</v>
      </c>
      <c r="H12" s="255">
        <v>2460319.44</v>
      </c>
      <c r="I12" s="255"/>
      <c r="J12" s="255">
        <v>128997.98</v>
      </c>
      <c r="K12" s="255">
        <f t="shared" si="1"/>
        <v>128997.98</v>
      </c>
      <c r="L12" s="255">
        <f t="shared" si="2"/>
        <v>2589317.42</v>
      </c>
      <c r="M12" s="255">
        <f t="shared" si="3"/>
        <v>985682.58000000007</v>
      </c>
      <c r="N12" s="255">
        <v>150000</v>
      </c>
      <c r="O12" s="255">
        <f t="shared" si="5"/>
        <v>0</v>
      </c>
      <c r="P12" s="255">
        <f t="shared" si="6"/>
        <v>985682.58000000007</v>
      </c>
      <c r="Q12" s="255"/>
      <c r="R12" s="255"/>
      <c r="S12" s="255">
        <f t="shared" si="7"/>
        <v>0</v>
      </c>
      <c r="T12" s="255">
        <f t="shared" si="8"/>
        <v>0</v>
      </c>
      <c r="U12" s="255">
        <f t="shared" si="9"/>
        <v>150000</v>
      </c>
      <c r="V12" s="255">
        <f t="shared" si="10"/>
        <v>150000</v>
      </c>
      <c r="W12" s="255"/>
      <c r="X12" s="255"/>
      <c r="Y12" s="255"/>
      <c r="Z12" s="254"/>
      <c r="AA12" s="528">
        <v>742000</v>
      </c>
      <c r="AB12" s="254"/>
      <c r="AC12" s="254"/>
      <c r="AD12" s="254"/>
      <c r="AE12" s="254"/>
      <c r="AF12" s="254"/>
      <c r="AG12" s="254"/>
      <c r="AH12" s="254"/>
      <c r="AI12" s="254"/>
      <c r="AJ12" s="254"/>
      <c r="AK12" s="255">
        <f t="shared" si="4"/>
        <v>0</v>
      </c>
      <c r="AL12" s="255">
        <v>150000</v>
      </c>
      <c r="AM12" s="255">
        <f t="shared" si="11"/>
        <v>150000</v>
      </c>
      <c r="AN12" s="255">
        <f t="shared" si="12"/>
        <v>0</v>
      </c>
      <c r="AO12" s="255">
        <f t="shared" si="13"/>
        <v>150000</v>
      </c>
      <c r="AP12" s="255"/>
      <c r="AQ12" s="255"/>
      <c r="AR12" s="255"/>
      <c r="AS12" s="255"/>
      <c r="AT12" s="255">
        <f t="shared" si="14"/>
        <v>150000</v>
      </c>
      <c r="AU12" s="255"/>
      <c r="AV12" s="255"/>
      <c r="AW12" s="255"/>
      <c r="AX12" s="255"/>
      <c r="AY12" s="255">
        <f t="shared" si="15"/>
        <v>0</v>
      </c>
      <c r="AZ12" s="255"/>
      <c r="BA12" s="255"/>
      <c r="BB12" s="255"/>
      <c r="BC12" s="255"/>
    </row>
    <row r="13" spans="1:55" s="259" customFormat="1">
      <c r="A13" s="254">
        <f t="shared" si="16"/>
        <v>9</v>
      </c>
      <c r="B13" s="254">
        <v>1207</v>
      </c>
      <c r="C13" s="254" t="s">
        <v>132</v>
      </c>
      <c r="D13" s="255">
        <f>32500000+20000000-1850000</f>
        <v>50650000</v>
      </c>
      <c r="E13" s="255">
        <v>32500000</v>
      </c>
      <c r="F13" s="255">
        <f t="shared" si="0"/>
        <v>18150000</v>
      </c>
      <c r="G13" s="255">
        <f>17800000+3850000</f>
        <v>21650000</v>
      </c>
      <c r="H13" s="255">
        <v>17799797.899999999</v>
      </c>
      <c r="I13" s="255"/>
      <c r="J13" s="255"/>
      <c r="K13" s="255">
        <f t="shared" si="1"/>
        <v>0</v>
      </c>
      <c r="L13" s="255">
        <f t="shared" si="2"/>
        <v>17799797.899999999</v>
      </c>
      <c r="M13" s="255">
        <f t="shared" si="3"/>
        <v>3850202.1000000015</v>
      </c>
      <c r="N13" s="255">
        <f>19000000-5000000</f>
        <v>14000000</v>
      </c>
      <c r="O13" s="255">
        <f t="shared" si="5"/>
        <v>15000000</v>
      </c>
      <c r="P13" s="255">
        <f t="shared" si="6"/>
        <v>3850202.1000000015</v>
      </c>
      <c r="Q13" s="255"/>
      <c r="R13" s="255"/>
      <c r="S13" s="255">
        <f t="shared" si="7"/>
        <v>0</v>
      </c>
      <c r="T13" s="255">
        <f t="shared" si="8"/>
        <v>0</v>
      </c>
      <c r="U13" s="255">
        <f t="shared" si="9"/>
        <v>14000000</v>
      </c>
      <c r="V13" s="255">
        <f t="shared" si="10"/>
        <v>14000000</v>
      </c>
      <c r="W13" s="255"/>
      <c r="X13" s="255"/>
      <c r="Y13" s="255"/>
      <c r="Z13" s="254"/>
      <c r="AA13" s="528">
        <v>742000</v>
      </c>
      <c r="AB13" s="260"/>
      <c r="AC13" s="260"/>
      <c r="AD13" s="260"/>
      <c r="AE13" s="260"/>
      <c r="AF13" s="260"/>
      <c r="AG13" s="260"/>
      <c r="AH13" s="260"/>
      <c r="AI13" s="260"/>
      <c r="AJ13" s="255">
        <v>1000000</v>
      </c>
      <c r="AK13" s="255">
        <f t="shared" si="4"/>
        <v>1000000</v>
      </c>
      <c r="AL13" s="255">
        <v>13000000</v>
      </c>
      <c r="AM13" s="255">
        <f t="shared" si="11"/>
        <v>14000000</v>
      </c>
      <c r="AN13" s="255">
        <f t="shared" si="12"/>
        <v>0</v>
      </c>
      <c r="AO13" s="255">
        <f t="shared" si="13"/>
        <v>14000000</v>
      </c>
      <c r="AP13" s="255"/>
      <c r="AQ13" s="255"/>
      <c r="AR13" s="255"/>
      <c r="AS13" s="255"/>
      <c r="AT13" s="255">
        <f t="shared" si="14"/>
        <v>13000000</v>
      </c>
      <c r="AU13" s="255"/>
      <c r="AV13" s="255"/>
      <c r="AW13" s="255"/>
      <c r="AX13" s="255"/>
      <c r="AY13" s="255">
        <f t="shared" si="15"/>
        <v>0</v>
      </c>
      <c r="AZ13" s="255"/>
      <c r="BA13" s="255"/>
      <c r="BB13" s="255"/>
      <c r="BC13" s="255"/>
    </row>
    <row r="14" spans="1:55" s="259" customFormat="1">
      <c r="A14" s="254">
        <f t="shared" si="16"/>
        <v>10</v>
      </c>
      <c r="B14" s="254">
        <v>1238</v>
      </c>
      <c r="C14" s="254" t="s">
        <v>133</v>
      </c>
      <c r="D14" s="255">
        <v>32940000</v>
      </c>
      <c r="E14" s="255">
        <v>32940000</v>
      </c>
      <c r="F14" s="255">
        <f t="shared" si="0"/>
        <v>0</v>
      </c>
      <c r="G14" s="255">
        <v>26440000</v>
      </c>
      <c r="H14" s="255">
        <v>24923061.199999999</v>
      </c>
      <c r="I14" s="255"/>
      <c r="J14" s="255">
        <v>1151575.6499999999</v>
      </c>
      <c r="K14" s="255">
        <f t="shared" si="1"/>
        <v>1151575.6499999999</v>
      </c>
      <c r="L14" s="255">
        <f t="shared" si="2"/>
        <v>26074636.849999998</v>
      </c>
      <c r="M14" s="255">
        <f t="shared" si="3"/>
        <v>365363.15000000224</v>
      </c>
      <c r="N14" s="255">
        <f>5500000-5500000</f>
        <v>0</v>
      </c>
      <c r="O14" s="255">
        <f t="shared" si="5"/>
        <v>6500000</v>
      </c>
      <c r="P14" s="255">
        <f t="shared" si="6"/>
        <v>365363.15000000224</v>
      </c>
      <c r="Q14" s="255"/>
      <c r="R14" s="255"/>
      <c r="S14" s="255">
        <f t="shared" si="7"/>
        <v>0</v>
      </c>
      <c r="T14" s="255">
        <f t="shared" si="8"/>
        <v>0</v>
      </c>
      <c r="U14" s="255">
        <f t="shared" si="9"/>
        <v>0</v>
      </c>
      <c r="V14" s="255">
        <f t="shared" si="10"/>
        <v>0</v>
      </c>
      <c r="W14" s="255"/>
      <c r="X14" s="255"/>
      <c r="Y14" s="255"/>
      <c r="Z14" s="254"/>
      <c r="AA14" s="528">
        <v>742000</v>
      </c>
      <c r="AB14" s="260"/>
      <c r="AC14" s="260"/>
      <c r="AD14" s="260"/>
      <c r="AE14" s="260"/>
      <c r="AF14" s="260"/>
      <c r="AG14" s="260"/>
      <c r="AH14" s="260"/>
      <c r="AI14" s="260"/>
      <c r="AJ14" s="260"/>
      <c r="AK14" s="254">
        <f t="shared" si="4"/>
        <v>0</v>
      </c>
      <c r="AL14" s="255"/>
      <c r="AM14" s="255">
        <f t="shared" si="11"/>
        <v>0</v>
      </c>
      <c r="AN14" s="255">
        <f t="shared" si="12"/>
        <v>0</v>
      </c>
      <c r="AO14" s="255">
        <f t="shared" si="13"/>
        <v>0</v>
      </c>
      <c r="AP14" s="255"/>
      <c r="AQ14" s="255"/>
      <c r="AR14" s="255"/>
      <c r="AS14" s="255"/>
      <c r="AT14" s="255">
        <f t="shared" si="14"/>
        <v>0</v>
      </c>
      <c r="AU14" s="255"/>
      <c r="AV14" s="255"/>
      <c r="AW14" s="255"/>
      <c r="AX14" s="255"/>
      <c r="AY14" s="255">
        <f t="shared" si="15"/>
        <v>0</v>
      </c>
      <c r="AZ14" s="255"/>
      <c r="BA14" s="255"/>
      <c r="BB14" s="255"/>
      <c r="BC14" s="255"/>
    </row>
    <row r="15" spans="1:55" s="259" customFormat="1">
      <c r="A15" s="254">
        <f t="shared" si="16"/>
        <v>11</v>
      </c>
      <c r="B15" s="254">
        <v>1298</v>
      </c>
      <c r="C15" s="254" t="s">
        <v>40</v>
      </c>
      <c r="D15" s="255">
        <f>3600000+500000</f>
        <v>4100000</v>
      </c>
      <c r="E15" s="255">
        <v>3600000</v>
      </c>
      <c r="F15" s="255">
        <f t="shared" si="0"/>
        <v>500000</v>
      </c>
      <c r="G15" s="255">
        <f>3200000+400000</f>
        <v>3600000</v>
      </c>
      <c r="H15" s="255">
        <v>2954710.87</v>
      </c>
      <c r="I15" s="255"/>
      <c r="J15" s="255">
        <v>130265.74</v>
      </c>
      <c r="K15" s="255">
        <f t="shared" si="1"/>
        <v>130265.74</v>
      </c>
      <c r="L15" s="255">
        <f t="shared" si="2"/>
        <v>3084976.6100000003</v>
      </c>
      <c r="M15" s="255">
        <f t="shared" si="3"/>
        <v>515023.38999999966</v>
      </c>
      <c r="N15" s="255">
        <v>500000</v>
      </c>
      <c r="O15" s="255">
        <f>D15-L15-M15-N15</f>
        <v>0</v>
      </c>
      <c r="P15" s="255">
        <f t="shared" si="6"/>
        <v>515023.38999999966</v>
      </c>
      <c r="Q15" s="255"/>
      <c r="R15" s="255"/>
      <c r="S15" s="255">
        <f t="shared" si="7"/>
        <v>0</v>
      </c>
      <c r="T15" s="255">
        <f t="shared" si="8"/>
        <v>0</v>
      </c>
      <c r="U15" s="255">
        <f t="shared" si="9"/>
        <v>500000</v>
      </c>
      <c r="V15" s="255">
        <f t="shared" si="10"/>
        <v>500000</v>
      </c>
      <c r="W15" s="255"/>
      <c r="X15" s="255"/>
      <c r="Y15" s="255"/>
      <c r="Z15" s="254"/>
      <c r="AA15" s="528">
        <v>742000</v>
      </c>
      <c r="AB15" s="260"/>
      <c r="AC15" s="260"/>
      <c r="AD15" s="260"/>
      <c r="AE15" s="260"/>
      <c r="AF15" s="260"/>
      <c r="AG15" s="260"/>
      <c r="AH15" s="260"/>
      <c r="AI15" s="255">
        <v>200000</v>
      </c>
      <c r="AJ15" s="255"/>
      <c r="AK15" s="255">
        <f t="shared" si="4"/>
        <v>200000</v>
      </c>
      <c r="AL15" s="255">
        <v>300000</v>
      </c>
      <c r="AM15" s="255">
        <f t="shared" si="11"/>
        <v>500000</v>
      </c>
      <c r="AN15" s="255">
        <f t="shared" si="12"/>
        <v>0</v>
      </c>
      <c r="AO15" s="255">
        <f t="shared" si="13"/>
        <v>500000</v>
      </c>
      <c r="AP15" s="255"/>
      <c r="AQ15" s="255"/>
      <c r="AR15" s="255"/>
      <c r="AS15" s="255"/>
      <c r="AT15" s="255">
        <f t="shared" si="14"/>
        <v>300000</v>
      </c>
      <c r="AU15" s="255"/>
      <c r="AV15" s="255"/>
      <c r="AW15" s="255"/>
      <c r="AX15" s="255"/>
      <c r="AY15" s="255">
        <f t="shared" si="15"/>
        <v>0</v>
      </c>
      <c r="AZ15" s="255"/>
      <c r="BA15" s="255"/>
      <c r="BB15" s="255"/>
      <c r="BC15" s="255"/>
    </row>
    <row r="16" spans="1:55" s="258" customFormat="1">
      <c r="A16" s="254">
        <f t="shared" si="16"/>
        <v>12</v>
      </c>
      <c r="B16" s="254">
        <v>1312</v>
      </c>
      <c r="C16" s="254" t="s">
        <v>41</v>
      </c>
      <c r="D16" s="255">
        <f>115000000+6000000</f>
        <v>121000000</v>
      </c>
      <c r="E16" s="255">
        <v>115000000</v>
      </c>
      <c r="F16" s="255">
        <f t="shared" si="0"/>
        <v>6000000</v>
      </c>
      <c r="G16" s="255">
        <f>109000000+500000</f>
        <v>109500000</v>
      </c>
      <c r="H16" s="255">
        <v>96034748</v>
      </c>
      <c r="I16" s="255"/>
      <c r="J16" s="255">
        <v>12441678.390000001</v>
      </c>
      <c r="K16" s="255">
        <f t="shared" si="1"/>
        <v>12441678.390000001</v>
      </c>
      <c r="L16" s="255">
        <f t="shared" si="2"/>
        <v>108476426.39</v>
      </c>
      <c r="M16" s="255">
        <f t="shared" si="3"/>
        <v>1023573.6099999994</v>
      </c>
      <c r="N16" s="255">
        <f>5500000+6000000-11000000</f>
        <v>500000</v>
      </c>
      <c r="O16" s="255">
        <f t="shared" si="5"/>
        <v>11000000</v>
      </c>
      <c r="P16" s="255">
        <f t="shared" si="6"/>
        <v>1023573.6099999994</v>
      </c>
      <c r="Q16" s="255"/>
      <c r="R16" s="255"/>
      <c r="S16" s="255">
        <f t="shared" si="7"/>
        <v>0</v>
      </c>
      <c r="T16" s="255">
        <f t="shared" si="8"/>
        <v>0</v>
      </c>
      <c r="U16" s="255">
        <f t="shared" si="9"/>
        <v>500000</v>
      </c>
      <c r="V16" s="255">
        <f t="shared" si="10"/>
        <v>500000</v>
      </c>
      <c r="W16" s="255"/>
      <c r="X16" s="255"/>
      <c r="Y16" s="255"/>
      <c r="Z16" s="254"/>
      <c r="AA16" s="528">
        <v>930000</v>
      </c>
      <c r="AB16" s="254"/>
      <c r="AC16" s="254"/>
      <c r="AD16" s="254"/>
      <c r="AE16" s="254"/>
      <c r="AF16" s="254"/>
      <c r="AG16" s="254"/>
      <c r="AH16" s="254"/>
      <c r="AI16" s="254"/>
      <c r="AJ16" s="254"/>
      <c r="AK16" s="254">
        <f t="shared" ref="AK16:AK22" si="17">SUM(AB16:AJ16)</f>
        <v>0</v>
      </c>
      <c r="AL16" s="255"/>
      <c r="AM16" s="255">
        <f t="shared" si="11"/>
        <v>0</v>
      </c>
      <c r="AN16" s="255">
        <f t="shared" si="12"/>
        <v>500000</v>
      </c>
      <c r="AO16" s="255">
        <f t="shared" si="13"/>
        <v>0</v>
      </c>
      <c r="AP16" s="255"/>
      <c r="AQ16" s="255"/>
      <c r="AR16" s="255"/>
      <c r="AS16" s="255"/>
      <c r="AT16" s="255">
        <f t="shared" si="14"/>
        <v>0</v>
      </c>
      <c r="AU16" s="255"/>
      <c r="AV16" s="255"/>
      <c r="AW16" s="255"/>
      <c r="AX16" s="255"/>
      <c r="AY16" s="255">
        <f t="shared" si="15"/>
        <v>500000</v>
      </c>
      <c r="AZ16" s="255"/>
      <c r="BA16" s="255"/>
      <c r="BB16" s="255"/>
      <c r="BC16" s="255"/>
    </row>
    <row r="17" spans="1:55" s="258" customFormat="1">
      <c r="A17" s="254">
        <f t="shared" si="16"/>
        <v>13</v>
      </c>
      <c r="B17" s="254">
        <v>1375</v>
      </c>
      <c r="C17" s="254" t="s">
        <v>134</v>
      </c>
      <c r="D17" s="255">
        <v>39800000</v>
      </c>
      <c r="E17" s="255">
        <v>39800000</v>
      </c>
      <c r="F17" s="255">
        <f t="shared" si="0"/>
        <v>0</v>
      </c>
      <c r="G17" s="255">
        <v>28950000</v>
      </c>
      <c r="H17" s="255">
        <v>26650448.710000001</v>
      </c>
      <c r="I17" s="255"/>
      <c r="J17" s="255">
        <v>903370.19</v>
      </c>
      <c r="K17" s="255">
        <f t="shared" si="1"/>
        <v>903370.19</v>
      </c>
      <c r="L17" s="255">
        <f t="shared" si="2"/>
        <v>27553818.900000002</v>
      </c>
      <c r="M17" s="255">
        <f t="shared" si="3"/>
        <v>1946181.0999999978</v>
      </c>
      <c r="N17" s="255">
        <f>10300000-10300000</f>
        <v>0</v>
      </c>
      <c r="O17" s="255">
        <f t="shared" si="5"/>
        <v>10300000</v>
      </c>
      <c r="P17" s="255">
        <f t="shared" si="6"/>
        <v>1396181.0999999978</v>
      </c>
      <c r="Q17" s="423">
        <v>550000</v>
      </c>
      <c r="R17" s="255"/>
      <c r="S17" s="255">
        <f t="shared" si="7"/>
        <v>550000</v>
      </c>
      <c r="T17" s="255">
        <f t="shared" si="8"/>
        <v>0</v>
      </c>
      <c r="U17" s="255">
        <f>N17-T17</f>
        <v>0</v>
      </c>
      <c r="V17" s="255">
        <f t="shared" si="10"/>
        <v>0</v>
      </c>
      <c r="W17" s="255"/>
      <c r="X17" s="255"/>
      <c r="Y17" s="255"/>
      <c r="Z17" s="254"/>
      <c r="AA17" s="528">
        <v>747000</v>
      </c>
      <c r="AB17" s="254"/>
      <c r="AC17" s="254"/>
      <c r="AD17" s="254"/>
      <c r="AE17" s="254"/>
      <c r="AF17" s="254"/>
      <c r="AG17" s="254"/>
      <c r="AH17" s="254"/>
      <c r="AI17" s="254"/>
      <c r="AJ17" s="254"/>
      <c r="AK17" s="254">
        <f t="shared" si="17"/>
        <v>0</v>
      </c>
      <c r="AL17" s="255"/>
      <c r="AM17" s="255">
        <f t="shared" si="11"/>
        <v>0</v>
      </c>
      <c r="AN17" s="255">
        <f t="shared" si="12"/>
        <v>0</v>
      </c>
      <c r="AO17" s="255">
        <f t="shared" si="13"/>
        <v>0</v>
      </c>
      <c r="AP17" s="255"/>
      <c r="AQ17" s="255"/>
      <c r="AR17" s="255"/>
      <c r="AS17" s="255"/>
      <c r="AT17" s="255">
        <f t="shared" si="14"/>
        <v>0</v>
      </c>
      <c r="AU17" s="255"/>
      <c r="AV17" s="255"/>
      <c r="AW17" s="255"/>
      <c r="AX17" s="255"/>
      <c r="AY17" s="255">
        <f t="shared" si="15"/>
        <v>0</v>
      </c>
      <c r="AZ17" s="255"/>
      <c r="BA17" s="255"/>
      <c r="BB17" s="255"/>
      <c r="BC17" s="255"/>
    </row>
    <row r="18" spans="1:55" s="259" customFormat="1" ht="28">
      <c r="A18" s="254">
        <f t="shared" si="16"/>
        <v>14</v>
      </c>
      <c r="B18" s="244">
        <v>1396</v>
      </c>
      <c r="C18" s="244" t="s">
        <v>933</v>
      </c>
      <c r="D18" s="255">
        <v>6280000</v>
      </c>
      <c r="E18" s="255">
        <v>6280000</v>
      </c>
      <c r="F18" s="255">
        <f t="shared" si="0"/>
        <v>0</v>
      </c>
      <c r="G18" s="255">
        <v>6280000</v>
      </c>
      <c r="H18" s="255">
        <v>5687644.4100000001</v>
      </c>
      <c r="I18" s="255"/>
      <c r="J18" s="255">
        <v>540897.4</v>
      </c>
      <c r="K18" s="255">
        <f t="shared" si="1"/>
        <v>540897.4</v>
      </c>
      <c r="L18" s="255">
        <f t="shared" si="2"/>
        <v>6228541.8100000005</v>
      </c>
      <c r="M18" s="255">
        <f t="shared" si="3"/>
        <v>51458.189999999478</v>
      </c>
      <c r="N18" s="255"/>
      <c r="O18" s="255">
        <f>D18-L18-M18-N18</f>
        <v>0</v>
      </c>
      <c r="P18" s="255">
        <f t="shared" si="6"/>
        <v>51458.189999999478</v>
      </c>
      <c r="Q18" s="255"/>
      <c r="R18" s="255"/>
      <c r="S18" s="255">
        <f t="shared" ref="S18:S51" si="18">SUM(Q18:R18)</f>
        <v>0</v>
      </c>
      <c r="T18" s="255">
        <f t="shared" si="8"/>
        <v>0</v>
      </c>
      <c r="U18" s="255">
        <f t="shared" ref="U18:U81" si="19">N18-T18</f>
        <v>0</v>
      </c>
      <c r="V18" s="255">
        <f t="shared" si="10"/>
        <v>0</v>
      </c>
      <c r="W18" s="255"/>
      <c r="X18" s="255"/>
      <c r="Y18" s="255"/>
      <c r="Z18" s="254"/>
      <c r="AA18" s="528">
        <v>826000</v>
      </c>
      <c r="AB18" s="260"/>
      <c r="AC18" s="260"/>
      <c r="AD18" s="260"/>
      <c r="AE18" s="260"/>
      <c r="AF18" s="260"/>
      <c r="AG18" s="260"/>
      <c r="AH18" s="260"/>
      <c r="AI18" s="260"/>
      <c r="AJ18" s="260"/>
      <c r="AK18" s="254">
        <f t="shared" si="17"/>
        <v>0</v>
      </c>
      <c r="AL18" s="255"/>
      <c r="AM18" s="255">
        <f t="shared" si="11"/>
        <v>0</v>
      </c>
      <c r="AN18" s="255">
        <f t="shared" si="12"/>
        <v>0</v>
      </c>
      <c r="AO18" s="255">
        <f t="shared" si="13"/>
        <v>0</v>
      </c>
      <c r="AP18" s="255"/>
      <c r="AQ18" s="255"/>
      <c r="AR18" s="255"/>
      <c r="AS18" s="255"/>
      <c r="AT18" s="255">
        <f t="shared" si="14"/>
        <v>0</v>
      </c>
      <c r="AU18" s="255"/>
      <c r="AV18" s="255"/>
      <c r="AW18" s="255"/>
      <c r="AX18" s="255"/>
      <c r="AY18" s="255">
        <f t="shared" si="15"/>
        <v>0</v>
      </c>
      <c r="AZ18" s="255"/>
      <c r="BA18" s="255"/>
      <c r="BB18" s="255"/>
      <c r="BC18" s="255"/>
    </row>
    <row r="19" spans="1:55" s="258" customFormat="1">
      <c r="A19" s="254">
        <f t="shared" si="16"/>
        <v>15</v>
      </c>
      <c r="B19" s="254">
        <v>1402</v>
      </c>
      <c r="C19" s="254" t="s">
        <v>135</v>
      </c>
      <c r="D19" s="255">
        <v>7700000</v>
      </c>
      <c r="E19" s="255">
        <v>7700000</v>
      </c>
      <c r="F19" s="255">
        <f t="shared" si="0"/>
        <v>0</v>
      </c>
      <c r="G19" s="255">
        <f>6500000+1200000</f>
        <v>7700000</v>
      </c>
      <c r="H19" s="255">
        <v>5803120.6200000001</v>
      </c>
      <c r="I19" s="255"/>
      <c r="J19" s="255">
        <v>836963.52</v>
      </c>
      <c r="K19" s="255">
        <f t="shared" si="1"/>
        <v>836963.52</v>
      </c>
      <c r="L19" s="255">
        <f t="shared" si="2"/>
        <v>6640084.1400000006</v>
      </c>
      <c r="M19" s="255">
        <f t="shared" si="3"/>
        <v>1059915.8599999994</v>
      </c>
      <c r="N19" s="255"/>
      <c r="O19" s="255">
        <f t="shared" si="5"/>
        <v>0</v>
      </c>
      <c r="P19" s="255">
        <f t="shared" si="6"/>
        <v>1059915.8599999994</v>
      </c>
      <c r="Q19" s="255"/>
      <c r="R19" s="255"/>
      <c r="S19" s="255">
        <f t="shared" si="18"/>
        <v>0</v>
      </c>
      <c r="T19" s="255">
        <f t="shared" si="8"/>
        <v>0</v>
      </c>
      <c r="U19" s="255">
        <f t="shared" si="19"/>
        <v>0</v>
      </c>
      <c r="V19" s="255">
        <f t="shared" si="10"/>
        <v>0</v>
      </c>
      <c r="W19" s="255"/>
      <c r="X19" s="255"/>
      <c r="Y19" s="255"/>
      <c r="Z19" s="254"/>
      <c r="AA19" s="528">
        <v>714000</v>
      </c>
      <c r="AB19" s="254"/>
      <c r="AC19" s="254"/>
      <c r="AD19" s="254"/>
      <c r="AE19" s="254"/>
      <c r="AF19" s="254"/>
      <c r="AG19" s="254"/>
      <c r="AH19" s="254"/>
      <c r="AI19" s="254"/>
      <c r="AJ19" s="254"/>
      <c r="AK19" s="254">
        <f t="shared" si="17"/>
        <v>0</v>
      </c>
      <c r="AL19" s="255"/>
      <c r="AM19" s="255">
        <f t="shared" si="11"/>
        <v>0</v>
      </c>
      <c r="AN19" s="255">
        <f t="shared" si="12"/>
        <v>0</v>
      </c>
      <c r="AO19" s="255">
        <f t="shared" si="13"/>
        <v>0</v>
      </c>
      <c r="AP19" s="255"/>
      <c r="AQ19" s="255"/>
      <c r="AR19" s="255"/>
      <c r="AS19" s="255"/>
      <c r="AT19" s="255">
        <f t="shared" si="14"/>
        <v>0</v>
      </c>
      <c r="AU19" s="255"/>
      <c r="AV19" s="255"/>
      <c r="AW19" s="255"/>
      <c r="AX19" s="255"/>
      <c r="AY19" s="255">
        <f t="shared" si="15"/>
        <v>0</v>
      </c>
      <c r="AZ19" s="255"/>
      <c r="BA19" s="255"/>
      <c r="BB19" s="255"/>
      <c r="BC19" s="255"/>
    </row>
    <row r="20" spans="1:55" s="258" customFormat="1" ht="42">
      <c r="A20" s="254">
        <f t="shared" si="16"/>
        <v>16</v>
      </c>
      <c r="B20" s="254">
        <v>1403</v>
      </c>
      <c r="C20" s="434" t="s">
        <v>846</v>
      </c>
      <c r="D20" s="255">
        <f>26050000+3700000</f>
        <v>29750000</v>
      </c>
      <c r="E20" s="255">
        <v>26050000</v>
      </c>
      <c r="F20" s="255">
        <f t="shared" si="0"/>
        <v>3700000</v>
      </c>
      <c r="G20" s="255">
        <f>14050000+1500000</f>
        <v>15550000</v>
      </c>
      <c r="H20" s="255">
        <v>4399774.8600000003</v>
      </c>
      <c r="I20" s="255"/>
      <c r="J20" s="255">
        <v>7848899.2300000004</v>
      </c>
      <c r="K20" s="255">
        <f t="shared" si="1"/>
        <v>7848899.2300000004</v>
      </c>
      <c r="L20" s="255">
        <f t="shared" si="2"/>
        <v>12248674.09</v>
      </c>
      <c r="M20" s="255">
        <f t="shared" si="3"/>
        <v>3301325.91</v>
      </c>
      <c r="N20" s="255">
        <f>7000000+3500000+3700000</f>
        <v>14200000</v>
      </c>
      <c r="O20" s="255">
        <f t="shared" si="5"/>
        <v>0</v>
      </c>
      <c r="P20" s="255">
        <f t="shared" si="6"/>
        <v>3301325.91</v>
      </c>
      <c r="Q20" s="255"/>
      <c r="R20" s="255"/>
      <c r="S20" s="255">
        <f t="shared" si="18"/>
        <v>0</v>
      </c>
      <c r="T20" s="255">
        <f t="shared" si="8"/>
        <v>0</v>
      </c>
      <c r="U20" s="255">
        <f t="shared" si="19"/>
        <v>14200000</v>
      </c>
      <c r="V20" s="255">
        <f t="shared" si="10"/>
        <v>650000</v>
      </c>
      <c r="W20" s="255"/>
      <c r="X20" s="255">
        <v>1250000</v>
      </c>
      <c r="Y20" s="255"/>
      <c r="Z20" s="255">
        <v>12300000</v>
      </c>
      <c r="AA20" s="528">
        <v>826000</v>
      </c>
      <c r="AB20" s="254"/>
      <c r="AC20" s="255"/>
      <c r="AD20" s="255">
        <v>5200000</v>
      </c>
      <c r="AE20" s="255"/>
      <c r="AF20" s="255"/>
      <c r="AG20" s="255"/>
      <c r="AH20" s="255">
        <f>12299800-5200000</f>
        <v>7099800</v>
      </c>
      <c r="AI20" s="254"/>
      <c r="AJ20" s="255">
        <v>650000</v>
      </c>
      <c r="AK20" s="255">
        <f t="shared" si="17"/>
        <v>12949800</v>
      </c>
      <c r="AL20" s="255"/>
      <c r="AM20" s="255">
        <f t="shared" si="11"/>
        <v>12949800</v>
      </c>
      <c r="AN20" s="255">
        <f t="shared" si="12"/>
        <v>1250200</v>
      </c>
      <c r="AO20" s="255">
        <f t="shared" si="13"/>
        <v>650000</v>
      </c>
      <c r="AP20" s="255"/>
      <c r="AQ20" s="255"/>
      <c r="AR20" s="255"/>
      <c r="AS20" s="255">
        <v>12299800</v>
      </c>
      <c r="AT20" s="255">
        <f t="shared" si="14"/>
        <v>0</v>
      </c>
      <c r="AU20" s="255"/>
      <c r="AV20" s="255"/>
      <c r="AW20" s="255"/>
      <c r="AX20" s="255"/>
      <c r="AY20" s="255">
        <f t="shared" si="15"/>
        <v>0</v>
      </c>
      <c r="AZ20" s="255"/>
      <c r="BA20" s="255">
        <v>1250000</v>
      </c>
      <c r="BB20" s="255"/>
      <c r="BC20" s="255">
        <v>200</v>
      </c>
    </row>
    <row r="21" spans="1:55" s="258" customFormat="1">
      <c r="A21" s="254">
        <f t="shared" si="16"/>
        <v>17</v>
      </c>
      <c r="B21" s="254">
        <v>1443</v>
      </c>
      <c r="C21" s="254" t="s">
        <v>136</v>
      </c>
      <c r="D21" s="255">
        <v>78500000</v>
      </c>
      <c r="E21" s="255">
        <v>78500000</v>
      </c>
      <c r="F21" s="255">
        <f t="shared" si="0"/>
        <v>0</v>
      </c>
      <c r="G21" s="255">
        <v>50840000</v>
      </c>
      <c r="H21" s="255">
        <v>50824299</v>
      </c>
      <c r="I21" s="255"/>
      <c r="J21" s="255"/>
      <c r="K21" s="255">
        <f t="shared" si="1"/>
        <v>0</v>
      </c>
      <c r="L21" s="255">
        <f t="shared" si="2"/>
        <v>50824299</v>
      </c>
      <c r="M21" s="255">
        <f t="shared" si="3"/>
        <v>15701</v>
      </c>
      <c r="N21" s="255"/>
      <c r="O21" s="255">
        <f t="shared" si="5"/>
        <v>27660000</v>
      </c>
      <c r="P21" s="255">
        <f t="shared" si="6"/>
        <v>15701</v>
      </c>
      <c r="Q21" s="255"/>
      <c r="R21" s="255"/>
      <c r="S21" s="255">
        <f t="shared" si="18"/>
        <v>0</v>
      </c>
      <c r="T21" s="255">
        <f t="shared" si="8"/>
        <v>0</v>
      </c>
      <c r="U21" s="255">
        <f t="shared" si="19"/>
        <v>0</v>
      </c>
      <c r="V21" s="255">
        <f t="shared" si="10"/>
        <v>0</v>
      </c>
      <c r="W21" s="255"/>
      <c r="X21" s="255"/>
      <c r="Y21" s="255"/>
      <c r="Z21" s="255"/>
      <c r="AA21" s="528">
        <v>749000</v>
      </c>
      <c r="AB21" s="254"/>
      <c r="AC21" s="255"/>
      <c r="AD21" s="255"/>
      <c r="AE21" s="255"/>
      <c r="AF21" s="255"/>
      <c r="AG21" s="255"/>
      <c r="AH21" s="255"/>
      <c r="AI21" s="255"/>
      <c r="AJ21" s="255"/>
      <c r="AK21" s="255">
        <f t="shared" si="17"/>
        <v>0</v>
      </c>
      <c r="AL21" s="255"/>
      <c r="AM21" s="255">
        <f t="shared" si="11"/>
        <v>0</v>
      </c>
      <c r="AN21" s="255">
        <f t="shared" si="12"/>
        <v>0</v>
      </c>
      <c r="AO21" s="255">
        <f t="shared" si="13"/>
        <v>0</v>
      </c>
      <c r="AP21" s="255"/>
      <c r="AQ21" s="255"/>
      <c r="AR21" s="255"/>
      <c r="AS21" s="255"/>
      <c r="AT21" s="255">
        <f t="shared" si="14"/>
        <v>0</v>
      </c>
      <c r="AU21" s="255"/>
      <c r="AV21" s="255"/>
      <c r="AW21" s="255"/>
      <c r="AX21" s="255"/>
      <c r="AY21" s="255">
        <f t="shared" si="15"/>
        <v>0</v>
      </c>
      <c r="AZ21" s="255"/>
      <c r="BA21" s="255"/>
      <c r="BB21" s="255"/>
      <c r="BC21" s="255"/>
    </row>
    <row r="22" spans="1:55" s="258" customFormat="1">
      <c r="A22" s="254">
        <f t="shared" si="16"/>
        <v>18</v>
      </c>
      <c r="B22" s="254">
        <v>1446</v>
      </c>
      <c r="C22" s="254" t="s">
        <v>321</v>
      </c>
      <c r="D22" s="255">
        <v>14250000</v>
      </c>
      <c r="E22" s="255">
        <v>14250000</v>
      </c>
      <c r="F22" s="255">
        <f t="shared" si="0"/>
        <v>0</v>
      </c>
      <c r="G22" s="255">
        <v>5000000</v>
      </c>
      <c r="H22" s="255">
        <v>2758381.42</v>
      </c>
      <c r="I22" s="255">
        <v>1.1599999999999999</v>
      </c>
      <c r="J22" s="255">
        <v>2142767.17</v>
      </c>
      <c r="K22" s="255">
        <f t="shared" si="1"/>
        <v>2142768.33</v>
      </c>
      <c r="L22" s="255">
        <f t="shared" si="2"/>
        <v>4901149.75</v>
      </c>
      <c r="M22" s="255">
        <f t="shared" si="3"/>
        <v>98850.25</v>
      </c>
      <c r="N22" s="255">
        <f>6000000-3000000</f>
        <v>3000000</v>
      </c>
      <c r="O22" s="255">
        <f t="shared" si="5"/>
        <v>6250000</v>
      </c>
      <c r="P22" s="255">
        <f t="shared" si="6"/>
        <v>98850.25</v>
      </c>
      <c r="Q22" s="255"/>
      <c r="R22" s="255"/>
      <c r="S22" s="255">
        <f t="shared" si="18"/>
        <v>0</v>
      </c>
      <c r="T22" s="255">
        <f t="shared" si="8"/>
        <v>0</v>
      </c>
      <c r="U22" s="255">
        <f t="shared" si="19"/>
        <v>3000000</v>
      </c>
      <c r="V22" s="255">
        <f t="shared" si="10"/>
        <v>3000000</v>
      </c>
      <c r="W22" s="255"/>
      <c r="X22" s="255"/>
      <c r="Y22" s="255"/>
      <c r="Z22" s="254"/>
      <c r="AA22" s="528">
        <v>742000</v>
      </c>
      <c r="AB22" s="254"/>
      <c r="AC22" s="255"/>
      <c r="AD22" s="255"/>
      <c r="AE22" s="255"/>
      <c r="AF22" s="255"/>
      <c r="AG22" s="255"/>
      <c r="AH22" s="255"/>
      <c r="AI22" s="255"/>
      <c r="AJ22" s="255"/>
      <c r="AK22" s="255">
        <f t="shared" si="17"/>
        <v>0</v>
      </c>
      <c r="AL22" s="255">
        <v>3000000</v>
      </c>
      <c r="AM22" s="255">
        <f t="shared" si="11"/>
        <v>3000000</v>
      </c>
      <c r="AN22" s="255">
        <f t="shared" si="12"/>
        <v>0</v>
      </c>
      <c r="AO22" s="255">
        <f t="shared" si="13"/>
        <v>3000000</v>
      </c>
      <c r="AP22" s="255"/>
      <c r="AQ22" s="255"/>
      <c r="AR22" s="255"/>
      <c r="AS22" s="255"/>
      <c r="AT22" s="255">
        <f t="shared" si="14"/>
        <v>3000000</v>
      </c>
      <c r="AU22" s="255"/>
      <c r="AV22" s="255"/>
      <c r="AW22" s="255"/>
      <c r="AX22" s="255"/>
      <c r="AY22" s="255">
        <f t="shared" si="15"/>
        <v>0</v>
      </c>
      <c r="AZ22" s="255"/>
      <c r="BA22" s="255"/>
      <c r="BB22" s="255"/>
      <c r="BC22" s="255"/>
    </row>
    <row r="23" spans="1:55" s="258" customFormat="1">
      <c r="A23" s="254">
        <f t="shared" si="16"/>
        <v>19</v>
      </c>
      <c r="B23" s="244">
        <v>1448</v>
      </c>
      <c r="C23" s="244" t="s">
        <v>917</v>
      </c>
      <c r="D23" s="255">
        <v>6002877</v>
      </c>
      <c r="E23" s="255">
        <v>6002877</v>
      </c>
      <c r="F23" s="255">
        <f t="shared" si="0"/>
        <v>0</v>
      </c>
      <c r="G23" s="255">
        <v>6002877</v>
      </c>
      <c r="H23" s="255">
        <v>5965343</v>
      </c>
      <c r="I23" s="255"/>
      <c r="J23" s="255"/>
      <c r="K23" s="255">
        <f t="shared" si="1"/>
        <v>0</v>
      </c>
      <c r="L23" s="255">
        <f>K23+H23</f>
        <v>5965343</v>
      </c>
      <c r="M23" s="255">
        <f>P23+S23</f>
        <v>37534</v>
      </c>
      <c r="N23" s="255"/>
      <c r="O23" s="255">
        <f>D23-L23-M23-N23</f>
        <v>0</v>
      </c>
      <c r="P23" s="255">
        <f t="shared" si="6"/>
        <v>37534</v>
      </c>
      <c r="Q23" s="255"/>
      <c r="R23" s="255"/>
      <c r="S23" s="255">
        <f t="shared" si="18"/>
        <v>0</v>
      </c>
      <c r="T23" s="255">
        <f t="shared" si="8"/>
        <v>0</v>
      </c>
      <c r="U23" s="255">
        <f t="shared" si="19"/>
        <v>0</v>
      </c>
      <c r="V23" s="255">
        <f t="shared" si="10"/>
        <v>0</v>
      </c>
      <c r="W23" s="255"/>
      <c r="X23" s="255"/>
      <c r="Y23" s="255"/>
      <c r="Z23" s="254"/>
      <c r="AA23" s="528">
        <v>850000</v>
      </c>
      <c r="AB23" s="254"/>
      <c r="AC23" s="255"/>
      <c r="AD23" s="255"/>
      <c r="AE23" s="255"/>
      <c r="AF23" s="255"/>
      <c r="AG23" s="255"/>
      <c r="AH23" s="255"/>
      <c r="AI23" s="255"/>
      <c r="AJ23" s="255"/>
      <c r="AK23" s="255">
        <f t="shared" ref="AK23:AK86" si="20">SUM(AB23:AJ23)</f>
        <v>0</v>
      </c>
      <c r="AL23" s="255"/>
      <c r="AM23" s="255">
        <f t="shared" si="11"/>
        <v>0</v>
      </c>
      <c r="AN23" s="255">
        <f t="shared" si="12"/>
        <v>0</v>
      </c>
      <c r="AO23" s="255">
        <f t="shared" si="13"/>
        <v>0</v>
      </c>
      <c r="AP23" s="255"/>
      <c r="AQ23" s="255"/>
      <c r="AR23" s="255"/>
      <c r="AS23" s="255"/>
      <c r="AT23" s="255">
        <f t="shared" si="14"/>
        <v>0</v>
      </c>
      <c r="AU23" s="255"/>
      <c r="AV23" s="255"/>
      <c r="AW23" s="255"/>
      <c r="AX23" s="255"/>
      <c r="AY23" s="255">
        <f t="shared" si="15"/>
        <v>0</v>
      </c>
      <c r="AZ23" s="255"/>
      <c r="BA23" s="255"/>
      <c r="BB23" s="255"/>
      <c r="BC23" s="255"/>
    </row>
    <row r="24" spans="1:55" s="258" customFormat="1">
      <c r="A24" s="254">
        <f t="shared" si="16"/>
        <v>20</v>
      </c>
      <c r="B24" s="254">
        <v>1455</v>
      </c>
      <c r="C24" s="254" t="s">
        <v>45</v>
      </c>
      <c r="D24" s="255">
        <v>4500000</v>
      </c>
      <c r="E24" s="255">
        <v>4500000</v>
      </c>
      <c r="F24" s="255">
        <f t="shared" si="0"/>
        <v>0</v>
      </c>
      <c r="G24" s="255">
        <v>4500000</v>
      </c>
      <c r="H24" s="255">
        <v>1012824.7</v>
      </c>
      <c r="I24" s="255"/>
      <c r="J24" s="255">
        <v>3358103.86</v>
      </c>
      <c r="K24" s="255">
        <f t="shared" si="1"/>
        <v>3358103.86</v>
      </c>
      <c r="L24" s="255">
        <f t="shared" ref="L24:L30" si="21">K24+H24</f>
        <v>4370928.5599999996</v>
      </c>
      <c r="M24" s="255">
        <f t="shared" ref="M24:M30" si="22">P24+S24</f>
        <v>129071.44000000041</v>
      </c>
      <c r="N24" s="255"/>
      <c r="O24" s="255">
        <f t="shared" si="5"/>
        <v>0</v>
      </c>
      <c r="P24" s="255">
        <f t="shared" si="6"/>
        <v>129071.44000000041</v>
      </c>
      <c r="Q24" s="255"/>
      <c r="R24" s="255"/>
      <c r="S24" s="255">
        <f t="shared" si="18"/>
        <v>0</v>
      </c>
      <c r="T24" s="255">
        <f t="shared" si="8"/>
        <v>0</v>
      </c>
      <c r="U24" s="255">
        <f t="shared" si="19"/>
        <v>0</v>
      </c>
      <c r="V24" s="255">
        <f t="shared" si="10"/>
        <v>0</v>
      </c>
      <c r="W24" s="255"/>
      <c r="X24" s="255"/>
      <c r="Y24" s="255"/>
      <c r="Z24" s="254"/>
      <c r="AA24" s="528">
        <v>742000</v>
      </c>
      <c r="AB24" s="254"/>
      <c r="AC24" s="255"/>
      <c r="AD24" s="255"/>
      <c r="AE24" s="255"/>
      <c r="AF24" s="255"/>
      <c r="AG24" s="255"/>
      <c r="AH24" s="255"/>
      <c r="AI24" s="255"/>
      <c r="AJ24" s="255"/>
      <c r="AK24" s="255">
        <f t="shared" si="20"/>
        <v>0</v>
      </c>
      <c r="AL24" s="255"/>
      <c r="AM24" s="255">
        <f t="shared" si="11"/>
        <v>0</v>
      </c>
      <c r="AN24" s="255">
        <f t="shared" si="12"/>
        <v>0</v>
      </c>
      <c r="AO24" s="255">
        <f t="shared" si="13"/>
        <v>0</v>
      </c>
      <c r="AP24" s="255"/>
      <c r="AQ24" s="255"/>
      <c r="AR24" s="255"/>
      <c r="AS24" s="255"/>
      <c r="AT24" s="255">
        <f t="shared" si="14"/>
        <v>0</v>
      </c>
      <c r="AU24" s="255"/>
      <c r="AV24" s="255"/>
      <c r="AW24" s="255"/>
      <c r="AX24" s="255"/>
      <c r="AY24" s="255">
        <f t="shared" si="15"/>
        <v>0</v>
      </c>
      <c r="AZ24" s="255"/>
      <c r="BA24" s="255"/>
      <c r="BB24" s="255"/>
      <c r="BC24" s="255"/>
    </row>
    <row r="25" spans="1:55" s="258" customFormat="1" ht="28">
      <c r="A25" s="254">
        <f t="shared" si="16"/>
        <v>21</v>
      </c>
      <c r="B25" s="254">
        <v>1462</v>
      </c>
      <c r="C25" s="254" t="s">
        <v>603</v>
      </c>
      <c r="D25" s="255">
        <v>7500000</v>
      </c>
      <c r="E25" s="255">
        <v>7500000</v>
      </c>
      <c r="F25" s="255">
        <f t="shared" si="0"/>
        <v>0</v>
      </c>
      <c r="G25" s="255">
        <v>4600000</v>
      </c>
      <c r="H25" s="255">
        <v>159320.70000000001</v>
      </c>
      <c r="I25" s="255"/>
      <c r="J25" s="255">
        <v>225442.01</v>
      </c>
      <c r="K25" s="255">
        <f t="shared" si="1"/>
        <v>225442.01</v>
      </c>
      <c r="L25" s="255">
        <f t="shared" si="21"/>
        <v>384762.71</v>
      </c>
      <c r="M25" s="255">
        <f t="shared" si="22"/>
        <v>4215237.29</v>
      </c>
      <c r="N25" s="255">
        <v>2900000</v>
      </c>
      <c r="O25" s="255">
        <f t="shared" si="5"/>
        <v>0</v>
      </c>
      <c r="P25" s="255">
        <f t="shared" si="6"/>
        <v>4215237.29</v>
      </c>
      <c r="Q25" s="255"/>
      <c r="R25" s="255"/>
      <c r="S25" s="255">
        <f>SUM(Q25:R25)</f>
        <v>0</v>
      </c>
      <c r="T25" s="255">
        <f t="shared" si="8"/>
        <v>0</v>
      </c>
      <c r="U25" s="255">
        <f t="shared" si="19"/>
        <v>2900000</v>
      </c>
      <c r="V25" s="255">
        <f>U25-Z25-X25-Y25</f>
        <v>2900000</v>
      </c>
      <c r="W25" s="255"/>
      <c r="X25" s="255"/>
      <c r="Y25" s="255"/>
      <c r="Z25" s="254"/>
      <c r="AA25" s="528">
        <v>742000</v>
      </c>
      <c r="AB25" s="254"/>
      <c r="AC25" s="255"/>
      <c r="AD25" s="255"/>
      <c r="AE25" s="255"/>
      <c r="AF25" s="255"/>
      <c r="AG25" s="255"/>
      <c r="AH25" s="255"/>
      <c r="AI25" s="255"/>
      <c r="AJ25" s="255">
        <v>900000</v>
      </c>
      <c r="AK25" s="255">
        <f t="shared" si="20"/>
        <v>900000</v>
      </c>
      <c r="AL25" s="255">
        <v>2000000</v>
      </c>
      <c r="AM25" s="255">
        <f t="shared" si="11"/>
        <v>2900000</v>
      </c>
      <c r="AN25" s="255">
        <f t="shared" si="12"/>
        <v>0</v>
      </c>
      <c r="AO25" s="255">
        <f t="shared" si="13"/>
        <v>2900000</v>
      </c>
      <c r="AP25" s="255"/>
      <c r="AQ25" s="255"/>
      <c r="AR25" s="255"/>
      <c r="AS25" s="255"/>
      <c r="AT25" s="255">
        <f t="shared" si="14"/>
        <v>2000000</v>
      </c>
      <c r="AU25" s="255"/>
      <c r="AV25" s="255"/>
      <c r="AW25" s="255"/>
      <c r="AX25" s="255"/>
      <c r="AY25" s="255">
        <f t="shared" si="15"/>
        <v>0</v>
      </c>
      <c r="AZ25" s="255"/>
      <c r="BA25" s="255"/>
      <c r="BB25" s="255"/>
      <c r="BC25" s="255"/>
    </row>
    <row r="26" spans="1:55" s="258" customFormat="1">
      <c r="A26" s="254">
        <f t="shared" si="16"/>
        <v>22</v>
      </c>
      <c r="B26" s="254">
        <v>1539</v>
      </c>
      <c r="C26" s="254" t="s">
        <v>47</v>
      </c>
      <c r="D26" s="255">
        <v>16300000</v>
      </c>
      <c r="E26" s="255">
        <v>16300000</v>
      </c>
      <c r="F26" s="255">
        <f t="shared" si="0"/>
        <v>0</v>
      </c>
      <c r="G26" s="255">
        <f>4000000+2800000+4440068</f>
        <v>11240068</v>
      </c>
      <c r="H26" s="255">
        <v>790924.97</v>
      </c>
      <c r="I26" s="255">
        <v>54264.4</v>
      </c>
      <c r="J26" s="255">
        <v>2809223.31</v>
      </c>
      <c r="K26" s="255">
        <f t="shared" si="1"/>
        <v>2863487.71</v>
      </c>
      <c r="L26" s="255">
        <f t="shared" si="21"/>
        <v>3654412.6799999997</v>
      </c>
      <c r="M26" s="255">
        <f t="shared" si="22"/>
        <v>7585655.3200000003</v>
      </c>
      <c r="N26" s="255">
        <f>6000000-940068</f>
        <v>5059932</v>
      </c>
      <c r="O26" s="255">
        <f t="shared" si="5"/>
        <v>0</v>
      </c>
      <c r="P26" s="255">
        <f t="shared" si="6"/>
        <v>7585655.3200000003</v>
      </c>
      <c r="Q26" s="255"/>
      <c r="R26" s="255"/>
      <c r="S26" s="255">
        <f t="shared" si="18"/>
        <v>0</v>
      </c>
      <c r="T26" s="255">
        <f t="shared" si="8"/>
        <v>0</v>
      </c>
      <c r="U26" s="255">
        <f t="shared" si="19"/>
        <v>5059932</v>
      </c>
      <c r="V26" s="255">
        <f>U26-X26-Y26-Z26</f>
        <v>5059932</v>
      </c>
      <c r="W26" s="255"/>
      <c r="X26" s="255"/>
      <c r="Y26" s="255"/>
      <c r="Z26" s="254"/>
      <c r="AA26" s="528">
        <v>742000</v>
      </c>
      <c r="AB26" s="254"/>
      <c r="AC26" s="255"/>
      <c r="AD26" s="255"/>
      <c r="AE26" s="255"/>
      <c r="AF26" s="255"/>
      <c r="AG26" s="255"/>
      <c r="AH26" s="255"/>
      <c r="AI26" s="255"/>
      <c r="AJ26" s="255"/>
      <c r="AK26" s="255">
        <f t="shared" si="20"/>
        <v>0</v>
      </c>
      <c r="AL26" s="255">
        <v>5059932</v>
      </c>
      <c r="AM26" s="255">
        <f t="shared" si="11"/>
        <v>5059932</v>
      </c>
      <c r="AN26" s="255">
        <f t="shared" si="12"/>
        <v>0</v>
      </c>
      <c r="AO26" s="255">
        <f t="shared" si="13"/>
        <v>5059932</v>
      </c>
      <c r="AP26" s="255"/>
      <c r="AQ26" s="255"/>
      <c r="AR26" s="255"/>
      <c r="AS26" s="255"/>
      <c r="AT26" s="255">
        <f t="shared" si="14"/>
        <v>5059932</v>
      </c>
      <c r="AU26" s="255"/>
      <c r="AV26" s="255"/>
      <c r="AW26" s="255"/>
      <c r="AX26" s="255"/>
      <c r="AY26" s="255">
        <f t="shared" si="15"/>
        <v>0</v>
      </c>
      <c r="AZ26" s="255"/>
      <c r="BA26" s="255"/>
      <c r="BB26" s="255"/>
      <c r="BC26" s="255"/>
    </row>
    <row r="27" spans="1:55" s="259" customFormat="1" ht="28">
      <c r="A27" s="254">
        <f t="shared" si="16"/>
        <v>23</v>
      </c>
      <c r="B27" s="244">
        <v>1541</v>
      </c>
      <c r="C27" s="244" t="s">
        <v>934</v>
      </c>
      <c r="D27" s="255">
        <v>2650000</v>
      </c>
      <c r="E27" s="255">
        <v>2650000</v>
      </c>
      <c r="F27" s="255">
        <f t="shared" si="0"/>
        <v>0</v>
      </c>
      <c r="G27" s="255">
        <v>2650000</v>
      </c>
      <c r="H27" s="255">
        <v>2560554.56</v>
      </c>
      <c r="I27" s="255"/>
      <c r="J27" s="255"/>
      <c r="K27" s="255">
        <f t="shared" si="1"/>
        <v>0</v>
      </c>
      <c r="L27" s="255">
        <f t="shared" si="21"/>
        <v>2560554.56</v>
      </c>
      <c r="M27" s="255">
        <f t="shared" si="22"/>
        <v>89445.439999999944</v>
      </c>
      <c r="N27" s="255"/>
      <c r="O27" s="255">
        <f t="shared" si="5"/>
        <v>0</v>
      </c>
      <c r="P27" s="255">
        <f t="shared" si="6"/>
        <v>89445.439999999944</v>
      </c>
      <c r="Q27" s="255"/>
      <c r="R27" s="255"/>
      <c r="S27" s="255">
        <f t="shared" si="18"/>
        <v>0</v>
      </c>
      <c r="T27" s="255">
        <f t="shared" si="8"/>
        <v>0</v>
      </c>
      <c r="U27" s="255">
        <f t="shared" si="19"/>
        <v>0</v>
      </c>
      <c r="V27" s="255">
        <f>U27-X27-Y27-Z27</f>
        <v>0</v>
      </c>
      <c r="W27" s="255"/>
      <c r="X27" s="255"/>
      <c r="Y27" s="255"/>
      <c r="Z27" s="254"/>
      <c r="AA27" s="528">
        <v>829000</v>
      </c>
      <c r="AB27" s="260"/>
      <c r="AC27" s="255"/>
      <c r="AD27" s="255"/>
      <c r="AE27" s="255"/>
      <c r="AF27" s="255"/>
      <c r="AG27" s="255"/>
      <c r="AH27" s="255"/>
      <c r="AI27" s="255"/>
      <c r="AJ27" s="255"/>
      <c r="AK27" s="255">
        <f t="shared" si="20"/>
        <v>0</v>
      </c>
      <c r="AL27" s="255"/>
      <c r="AM27" s="255">
        <f t="shared" si="11"/>
        <v>0</v>
      </c>
      <c r="AN27" s="255">
        <f t="shared" si="12"/>
        <v>0</v>
      </c>
      <c r="AO27" s="255">
        <f t="shared" si="13"/>
        <v>0</v>
      </c>
      <c r="AP27" s="255"/>
      <c r="AQ27" s="255"/>
      <c r="AR27" s="255"/>
      <c r="AS27" s="255"/>
      <c r="AT27" s="255">
        <f t="shared" si="14"/>
        <v>0</v>
      </c>
      <c r="AU27" s="255"/>
      <c r="AV27" s="255"/>
      <c r="AW27" s="255"/>
      <c r="AX27" s="255"/>
      <c r="AY27" s="255">
        <f t="shared" si="15"/>
        <v>0</v>
      </c>
      <c r="AZ27" s="255"/>
      <c r="BA27" s="255"/>
      <c r="BB27" s="255"/>
      <c r="BC27" s="255"/>
    </row>
    <row r="28" spans="1:55" s="259" customFormat="1">
      <c r="A28" s="254">
        <f t="shared" si="16"/>
        <v>24</v>
      </c>
      <c r="B28" s="244">
        <v>1555</v>
      </c>
      <c r="C28" s="244" t="s">
        <v>928</v>
      </c>
      <c r="D28" s="255">
        <v>4250000</v>
      </c>
      <c r="E28" s="255">
        <v>4250000</v>
      </c>
      <c r="F28" s="255">
        <f t="shared" si="0"/>
        <v>0</v>
      </c>
      <c r="G28" s="255">
        <v>4250000</v>
      </c>
      <c r="H28" s="255">
        <v>3663275</v>
      </c>
      <c r="I28" s="255"/>
      <c r="J28" s="255">
        <v>561713.98</v>
      </c>
      <c r="K28" s="255">
        <f t="shared" si="1"/>
        <v>561713.98</v>
      </c>
      <c r="L28" s="255">
        <f t="shared" si="21"/>
        <v>4224988.9800000004</v>
      </c>
      <c r="M28" s="255">
        <f t="shared" si="22"/>
        <v>25011.019999999553</v>
      </c>
      <c r="N28" s="255"/>
      <c r="O28" s="255">
        <f t="shared" si="5"/>
        <v>0</v>
      </c>
      <c r="P28" s="255">
        <f t="shared" si="6"/>
        <v>25011.019999999553</v>
      </c>
      <c r="Q28" s="255"/>
      <c r="R28" s="255"/>
      <c r="S28" s="255">
        <f t="shared" si="18"/>
        <v>0</v>
      </c>
      <c r="T28" s="255">
        <f t="shared" si="8"/>
        <v>0</v>
      </c>
      <c r="U28" s="255">
        <f t="shared" si="19"/>
        <v>0</v>
      </c>
      <c r="V28" s="255">
        <f>U28-X28-Y28-Z28</f>
        <v>0</v>
      </c>
      <c r="W28" s="255"/>
      <c r="X28" s="255"/>
      <c r="Y28" s="255"/>
      <c r="Z28" s="254"/>
      <c r="AA28" s="528">
        <v>828000</v>
      </c>
      <c r="AB28" s="260"/>
      <c r="AC28" s="255"/>
      <c r="AD28" s="255"/>
      <c r="AE28" s="255"/>
      <c r="AF28" s="255"/>
      <c r="AG28" s="255"/>
      <c r="AH28" s="255"/>
      <c r="AI28" s="255"/>
      <c r="AJ28" s="255"/>
      <c r="AK28" s="255">
        <f t="shared" si="20"/>
        <v>0</v>
      </c>
      <c r="AL28" s="255"/>
      <c r="AM28" s="255">
        <f t="shared" si="11"/>
        <v>0</v>
      </c>
      <c r="AN28" s="255">
        <f t="shared" si="12"/>
        <v>0</v>
      </c>
      <c r="AO28" s="255">
        <f t="shared" si="13"/>
        <v>0</v>
      </c>
      <c r="AP28" s="255"/>
      <c r="AQ28" s="255"/>
      <c r="AR28" s="255"/>
      <c r="AS28" s="255"/>
      <c r="AT28" s="255">
        <f t="shared" si="14"/>
        <v>0</v>
      </c>
      <c r="AU28" s="255"/>
      <c r="AV28" s="255"/>
      <c r="AW28" s="255"/>
      <c r="AX28" s="255"/>
      <c r="AY28" s="255">
        <f t="shared" si="15"/>
        <v>0</v>
      </c>
      <c r="AZ28" s="255"/>
      <c r="BA28" s="255"/>
      <c r="BB28" s="255"/>
      <c r="BC28" s="255"/>
    </row>
    <row r="29" spans="1:55" s="258" customFormat="1">
      <c r="A29" s="254">
        <f t="shared" si="16"/>
        <v>25</v>
      </c>
      <c r="B29" s="254">
        <v>1588</v>
      </c>
      <c r="C29" s="254" t="s">
        <v>31</v>
      </c>
      <c r="D29" s="255">
        <v>50500000</v>
      </c>
      <c r="E29" s="255">
        <v>50500000</v>
      </c>
      <c r="F29" s="255">
        <f t="shared" si="0"/>
        <v>0</v>
      </c>
      <c r="G29" s="255">
        <v>3000000</v>
      </c>
      <c r="H29" s="255">
        <v>1089361.1299999999</v>
      </c>
      <c r="I29" s="255">
        <v>801012.77</v>
      </c>
      <c r="J29" s="255">
        <v>480123.9</v>
      </c>
      <c r="K29" s="255">
        <f t="shared" si="1"/>
        <v>1281136.67</v>
      </c>
      <c r="L29" s="255">
        <f t="shared" si="21"/>
        <v>2370497.7999999998</v>
      </c>
      <c r="M29" s="255">
        <f t="shared" si="22"/>
        <v>5629502.2000000002</v>
      </c>
      <c r="N29" s="255">
        <f>20000000-15000000</f>
        <v>5000000</v>
      </c>
      <c r="O29" s="255">
        <f t="shared" si="5"/>
        <v>37500000</v>
      </c>
      <c r="P29" s="255">
        <f t="shared" si="6"/>
        <v>629502.20000000019</v>
      </c>
      <c r="Q29" s="423">
        <v>5000000</v>
      </c>
      <c r="R29" s="255"/>
      <c r="S29" s="255">
        <f>SUM(Q29:R29)</f>
        <v>5000000</v>
      </c>
      <c r="T29" s="255">
        <f t="shared" si="8"/>
        <v>0</v>
      </c>
      <c r="U29" s="255">
        <f t="shared" si="19"/>
        <v>5000000</v>
      </c>
      <c r="V29" s="255">
        <f>U29-Z29-X29-Y29</f>
        <v>5000000</v>
      </c>
      <c r="W29" s="255"/>
      <c r="X29" s="255"/>
      <c r="Y29" s="255"/>
      <c r="Z29" s="254"/>
      <c r="AA29" s="528">
        <v>742000</v>
      </c>
      <c r="AB29" s="254"/>
      <c r="AC29" s="255"/>
      <c r="AD29" s="255"/>
      <c r="AE29" s="255"/>
      <c r="AF29" s="255">
        <v>5000000</v>
      </c>
      <c r="AG29" s="255"/>
      <c r="AH29" s="255"/>
      <c r="AI29" s="255"/>
      <c r="AJ29" s="255"/>
      <c r="AK29" s="255">
        <f t="shared" si="20"/>
        <v>5000000</v>
      </c>
      <c r="AL29" s="255"/>
      <c r="AM29" s="255">
        <f t="shared" si="11"/>
        <v>5000000</v>
      </c>
      <c r="AN29" s="255">
        <f t="shared" si="12"/>
        <v>0</v>
      </c>
      <c r="AO29" s="255">
        <f t="shared" si="13"/>
        <v>5000000</v>
      </c>
      <c r="AP29" s="255"/>
      <c r="AQ29" s="255"/>
      <c r="AR29" s="255"/>
      <c r="AS29" s="255"/>
      <c r="AT29" s="255">
        <f t="shared" si="14"/>
        <v>0</v>
      </c>
      <c r="AU29" s="255"/>
      <c r="AV29" s="255"/>
      <c r="AW29" s="255"/>
      <c r="AX29" s="255"/>
      <c r="AY29" s="255">
        <f t="shared" si="15"/>
        <v>0</v>
      </c>
      <c r="AZ29" s="255"/>
      <c r="BA29" s="255"/>
      <c r="BB29" s="255"/>
      <c r="BC29" s="255"/>
    </row>
    <row r="30" spans="1:55" s="258" customFormat="1">
      <c r="A30" s="254">
        <f t="shared" si="16"/>
        <v>26</v>
      </c>
      <c r="B30" s="254">
        <v>1614</v>
      </c>
      <c r="C30" s="254" t="s">
        <v>586</v>
      </c>
      <c r="D30" s="255">
        <v>7200000</v>
      </c>
      <c r="E30" s="255">
        <v>7200000</v>
      </c>
      <c r="F30" s="255">
        <f t="shared" si="0"/>
        <v>0</v>
      </c>
      <c r="G30" s="255">
        <v>500000</v>
      </c>
      <c r="H30" s="255">
        <v>89237</v>
      </c>
      <c r="I30" s="255">
        <v>4790.92</v>
      </c>
      <c r="J30" s="255">
        <v>81227.210000000006</v>
      </c>
      <c r="K30" s="255">
        <f t="shared" si="1"/>
        <v>86018.13</v>
      </c>
      <c r="L30" s="255">
        <f t="shared" si="21"/>
        <v>175255.13</v>
      </c>
      <c r="M30" s="255">
        <f t="shared" si="22"/>
        <v>324744.87</v>
      </c>
      <c r="N30" s="255">
        <f>6700000-1000000</f>
        <v>5700000</v>
      </c>
      <c r="O30" s="255">
        <f t="shared" si="5"/>
        <v>1000000</v>
      </c>
      <c r="P30" s="255">
        <f t="shared" si="6"/>
        <v>324744.87</v>
      </c>
      <c r="Q30" s="255"/>
      <c r="R30" s="255"/>
      <c r="S30" s="255">
        <f>SUM(Q30:R30)</f>
        <v>0</v>
      </c>
      <c r="T30" s="255">
        <f t="shared" si="8"/>
        <v>0</v>
      </c>
      <c r="U30" s="255">
        <f t="shared" si="19"/>
        <v>5700000</v>
      </c>
      <c r="V30" s="255">
        <f>U30-Z30-X30-Y30</f>
        <v>5700000</v>
      </c>
      <c r="W30" s="255"/>
      <c r="X30" s="255"/>
      <c r="Y30" s="255"/>
      <c r="Z30" s="255"/>
      <c r="AA30" s="528">
        <v>742000</v>
      </c>
      <c r="AB30" s="254"/>
      <c r="AC30" s="254"/>
      <c r="AD30" s="254"/>
      <c r="AE30" s="254"/>
      <c r="AF30" s="254"/>
      <c r="AG30" s="254"/>
      <c r="AH30" s="254"/>
      <c r="AI30" s="254"/>
      <c r="AJ30" s="255">
        <v>700000</v>
      </c>
      <c r="AK30" s="255">
        <f t="shared" si="20"/>
        <v>700000</v>
      </c>
      <c r="AL30" s="255">
        <v>5000000</v>
      </c>
      <c r="AM30" s="255">
        <f t="shared" si="11"/>
        <v>5700000</v>
      </c>
      <c r="AN30" s="255">
        <f t="shared" si="12"/>
        <v>0</v>
      </c>
      <c r="AO30" s="255">
        <f t="shared" si="13"/>
        <v>5700000</v>
      </c>
      <c r="AP30" s="255"/>
      <c r="AQ30" s="255"/>
      <c r="AR30" s="255"/>
      <c r="AS30" s="255"/>
      <c r="AT30" s="255">
        <f t="shared" si="14"/>
        <v>5000000</v>
      </c>
      <c r="AU30" s="255"/>
      <c r="AV30" s="255"/>
      <c r="AW30" s="255"/>
      <c r="AX30" s="255"/>
      <c r="AY30" s="255">
        <f t="shared" si="15"/>
        <v>0</v>
      </c>
      <c r="AZ30" s="255"/>
      <c r="BA30" s="255"/>
      <c r="BB30" s="255"/>
      <c r="BC30" s="255"/>
    </row>
    <row r="31" spans="1:55" s="258" customFormat="1">
      <c r="A31" s="254">
        <f t="shared" si="16"/>
        <v>27</v>
      </c>
      <c r="B31" s="254">
        <v>1615</v>
      </c>
      <c r="C31" s="254" t="s">
        <v>200</v>
      </c>
      <c r="D31" s="255">
        <v>27700000</v>
      </c>
      <c r="E31" s="255">
        <v>27700000</v>
      </c>
      <c r="F31" s="255">
        <f t="shared" si="0"/>
        <v>0</v>
      </c>
      <c r="G31" s="255">
        <f>3200000+10000000</f>
        <v>13200000</v>
      </c>
      <c r="H31" s="255">
        <v>847470.96</v>
      </c>
      <c r="I31" s="255">
        <v>20762.150000000001</v>
      </c>
      <c r="J31" s="255">
        <v>1484605.93</v>
      </c>
      <c r="K31" s="255">
        <f t="shared" si="1"/>
        <v>1505368.0799999998</v>
      </c>
      <c r="L31" s="255">
        <f>K31+H31</f>
        <v>2352839.04</v>
      </c>
      <c r="M31" s="255">
        <f>P31+S31</f>
        <v>10847160.960000001</v>
      </c>
      <c r="N31" s="255">
        <f>10000000-3000000</f>
        <v>7000000</v>
      </c>
      <c r="O31" s="255">
        <f t="shared" si="5"/>
        <v>7500000</v>
      </c>
      <c r="P31" s="255">
        <f t="shared" si="6"/>
        <v>10847160.960000001</v>
      </c>
      <c r="Q31" s="255"/>
      <c r="R31" s="255"/>
      <c r="S31" s="255">
        <f>SUM(Q31:R31)</f>
        <v>0</v>
      </c>
      <c r="T31" s="255">
        <f t="shared" si="8"/>
        <v>0</v>
      </c>
      <c r="U31" s="255">
        <f t="shared" si="19"/>
        <v>7000000</v>
      </c>
      <c r="V31" s="255">
        <f>U31-Z31-X31-Y31</f>
        <v>7000000</v>
      </c>
      <c r="W31" s="255"/>
      <c r="X31" s="255"/>
      <c r="Y31" s="255"/>
      <c r="Z31" s="255"/>
      <c r="AA31" s="528">
        <v>742000</v>
      </c>
      <c r="AB31" s="254"/>
      <c r="AC31" s="254"/>
      <c r="AD31" s="254"/>
      <c r="AE31" s="254"/>
      <c r="AF31" s="254"/>
      <c r="AG31" s="254"/>
      <c r="AH31" s="254"/>
      <c r="AI31" s="254"/>
      <c r="AJ31" s="254"/>
      <c r="AK31" s="254">
        <f t="shared" si="20"/>
        <v>0</v>
      </c>
      <c r="AL31" s="255">
        <v>7000000</v>
      </c>
      <c r="AM31" s="255">
        <f t="shared" si="11"/>
        <v>7000000</v>
      </c>
      <c r="AN31" s="255">
        <f t="shared" si="12"/>
        <v>0</v>
      </c>
      <c r="AO31" s="255">
        <f t="shared" si="13"/>
        <v>7000000</v>
      </c>
      <c r="AP31" s="255"/>
      <c r="AQ31" s="255"/>
      <c r="AR31" s="255"/>
      <c r="AS31" s="255"/>
      <c r="AT31" s="255">
        <f t="shared" si="14"/>
        <v>7000000</v>
      </c>
      <c r="AU31" s="255"/>
      <c r="AV31" s="255"/>
      <c r="AW31" s="255"/>
      <c r="AX31" s="255"/>
      <c r="AY31" s="255">
        <f t="shared" si="15"/>
        <v>0</v>
      </c>
      <c r="AZ31" s="255"/>
      <c r="BA31" s="255"/>
      <c r="BB31" s="255"/>
      <c r="BC31" s="255"/>
    </row>
    <row r="32" spans="1:55" s="258" customFormat="1">
      <c r="A32" s="254">
        <f t="shared" si="16"/>
        <v>28</v>
      </c>
      <c r="B32" s="244">
        <v>1616</v>
      </c>
      <c r="C32" s="244" t="s">
        <v>935</v>
      </c>
      <c r="D32" s="255">
        <v>1275000</v>
      </c>
      <c r="E32" s="255">
        <v>1275000</v>
      </c>
      <c r="F32" s="255">
        <f t="shared" si="0"/>
        <v>0</v>
      </c>
      <c r="G32" s="255">
        <v>1275000</v>
      </c>
      <c r="H32" s="255">
        <v>900628</v>
      </c>
      <c r="I32" s="255"/>
      <c r="J32" s="255">
        <v>374313.58</v>
      </c>
      <c r="K32" s="255">
        <f t="shared" si="1"/>
        <v>374313.58</v>
      </c>
      <c r="L32" s="255">
        <f t="shared" ref="L32:L38" si="23">K32+H32</f>
        <v>1274941.58</v>
      </c>
      <c r="M32" s="255">
        <f t="shared" ref="M32:M38" si="24">P32+S32</f>
        <v>58.419999999925494</v>
      </c>
      <c r="N32" s="255"/>
      <c r="O32" s="255">
        <f t="shared" si="5"/>
        <v>0</v>
      </c>
      <c r="P32" s="255">
        <f t="shared" si="6"/>
        <v>58.419999999925494</v>
      </c>
      <c r="Q32" s="255"/>
      <c r="R32" s="255"/>
      <c r="S32" s="255">
        <f t="shared" si="18"/>
        <v>0</v>
      </c>
      <c r="T32" s="255">
        <f t="shared" si="8"/>
        <v>0</v>
      </c>
      <c r="U32" s="255">
        <f t="shared" si="19"/>
        <v>0</v>
      </c>
      <c r="V32" s="255">
        <f>U32-X32-Y32-Z32</f>
        <v>0</v>
      </c>
      <c r="W32" s="255"/>
      <c r="X32" s="255"/>
      <c r="Y32" s="255"/>
      <c r="Z32" s="254"/>
      <c r="AA32" s="528">
        <v>930000</v>
      </c>
      <c r="AB32" s="254"/>
      <c r="AC32" s="254"/>
      <c r="AD32" s="254"/>
      <c r="AE32" s="254"/>
      <c r="AF32" s="254"/>
      <c r="AG32" s="254"/>
      <c r="AH32" s="254"/>
      <c r="AI32" s="254"/>
      <c r="AJ32" s="254"/>
      <c r="AK32" s="254">
        <f t="shared" si="20"/>
        <v>0</v>
      </c>
      <c r="AL32" s="255"/>
      <c r="AM32" s="255">
        <f t="shared" si="11"/>
        <v>0</v>
      </c>
      <c r="AN32" s="255">
        <f t="shared" si="12"/>
        <v>0</v>
      </c>
      <c r="AO32" s="255">
        <f t="shared" si="13"/>
        <v>0</v>
      </c>
      <c r="AP32" s="255"/>
      <c r="AQ32" s="255"/>
      <c r="AR32" s="255"/>
      <c r="AS32" s="255"/>
      <c r="AT32" s="255">
        <f t="shared" si="14"/>
        <v>0</v>
      </c>
      <c r="AU32" s="255"/>
      <c r="AV32" s="255"/>
      <c r="AW32" s="255"/>
      <c r="AX32" s="255"/>
      <c r="AY32" s="255">
        <f t="shared" si="15"/>
        <v>0</v>
      </c>
      <c r="AZ32" s="255"/>
      <c r="BA32" s="255"/>
      <c r="BB32" s="255"/>
      <c r="BC32" s="255"/>
    </row>
    <row r="33" spans="1:55" s="258" customFormat="1">
      <c r="A33" s="254">
        <f t="shared" si="16"/>
        <v>29</v>
      </c>
      <c r="B33" s="254">
        <v>1625</v>
      </c>
      <c r="C33" s="254" t="s">
        <v>206</v>
      </c>
      <c r="D33" s="255">
        <v>100000000</v>
      </c>
      <c r="E33" s="255">
        <v>13300000</v>
      </c>
      <c r="F33" s="255">
        <f t="shared" si="0"/>
        <v>86700000</v>
      </c>
      <c r="G33" s="255">
        <v>5125000</v>
      </c>
      <c r="H33" s="255">
        <v>4884231.58</v>
      </c>
      <c r="I33" s="255"/>
      <c r="J33" s="255">
        <v>174697.69</v>
      </c>
      <c r="K33" s="255">
        <f t="shared" si="1"/>
        <v>174697.69</v>
      </c>
      <c r="L33" s="255">
        <f t="shared" si="23"/>
        <v>5058929.2700000005</v>
      </c>
      <c r="M33" s="255">
        <f t="shared" si="24"/>
        <v>66070.729999999516</v>
      </c>
      <c r="N33" s="255">
        <f>30000000-30000000</f>
        <v>0</v>
      </c>
      <c r="O33" s="255">
        <f t="shared" si="5"/>
        <v>94875000</v>
      </c>
      <c r="P33" s="255">
        <f t="shared" si="6"/>
        <v>66070.729999999516</v>
      </c>
      <c r="Q33" s="255"/>
      <c r="R33" s="255"/>
      <c r="S33" s="255">
        <f t="shared" si="18"/>
        <v>0</v>
      </c>
      <c r="T33" s="255">
        <f t="shared" si="8"/>
        <v>0</v>
      </c>
      <c r="U33" s="255">
        <f t="shared" si="19"/>
        <v>0</v>
      </c>
      <c r="V33" s="255">
        <f>U33-X33-Y33-Z33</f>
        <v>0</v>
      </c>
      <c r="W33" s="255"/>
      <c r="X33" s="255"/>
      <c r="Y33" s="255"/>
      <c r="Z33" s="254"/>
      <c r="AA33" s="528">
        <v>829000</v>
      </c>
      <c r="AB33" s="254"/>
      <c r="AC33" s="254"/>
      <c r="AD33" s="254"/>
      <c r="AE33" s="254"/>
      <c r="AF33" s="254"/>
      <c r="AG33" s="254"/>
      <c r="AH33" s="254"/>
      <c r="AI33" s="254"/>
      <c r="AJ33" s="254"/>
      <c r="AK33" s="254">
        <f t="shared" si="20"/>
        <v>0</v>
      </c>
      <c r="AL33" s="255"/>
      <c r="AM33" s="255">
        <f t="shared" si="11"/>
        <v>0</v>
      </c>
      <c r="AN33" s="255">
        <f t="shared" si="12"/>
        <v>0</v>
      </c>
      <c r="AO33" s="255">
        <f t="shared" si="13"/>
        <v>0</v>
      </c>
      <c r="AP33" s="255"/>
      <c r="AQ33" s="255"/>
      <c r="AR33" s="255"/>
      <c r="AS33" s="255"/>
      <c r="AT33" s="255">
        <f t="shared" si="14"/>
        <v>0</v>
      </c>
      <c r="AU33" s="255"/>
      <c r="AV33" s="255"/>
      <c r="AW33" s="255"/>
      <c r="AX33" s="255"/>
      <c r="AY33" s="255">
        <f t="shared" si="15"/>
        <v>0</v>
      </c>
      <c r="AZ33" s="255"/>
      <c r="BA33" s="255"/>
      <c r="BB33" s="255"/>
      <c r="BC33" s="255"/>
    </row>
    <row r="34" spans="1:55" s="258" customFormat="1">
      <c r="A34" s="254">
        <f t="shared" si="16"/>
        <v>30</v>
      </c>
      <c r="B34" s="254">
        <v>1656</v>
      </c>
      <c r="C34" s="254" t="s">
        <v>49</v>
      </c>
      <c r="D34" s="255">
        <v>10800000</v>
      </c>
      <c r="E34" s="255">
        <v>10800000</v>
      </c>
      <c r="F34" s="255">
        <f t="shared" si="0"/>
        <v>0</v>
      </c>
      <c r="G34" s="255">
        <v>10800000</v>
      </c>
      <c r="H34" s="255">
        <v>5646597.1399999997</v>
      </c>
      <c r="I34" s="255">
        <v>30194.89</v>
      </c>
      <c r="J34" s="255">
        <v>3528498.59</v>
      </c>
      <c r="K34" s="255">
        <f t="shared" si="1"/>
        <v>3558693.48</v>
      </c>
      <c r="L34" s="255">
        <f t="shared" si="23"/>
        <v>9205290.6199999992</v>
      </c>
      <c r="M34" s="255">
        <f t="shared" si="24"/>
        <v>1594709.3800000008</v>
      </c>
      <c r="N34" s="255"/>
      <c r="O34" s="255">
        <f t="shared" si="5"/>
        <v>0</v>
      </c>
      <c r="P34" s="255">
        <f t="shared" si="6"/>
        <v>1594709.3800000008</v>
      </c>
      <c r="Q34" s="255"/>
      <c r="R34" s="255"/>
      <c r="S34" s="255">
        <f t="shared" si="18"/>
        <v>0</v>
      </c>
      <c r="T34" s="255">
        <f t="shared" si="8"/>
        <v>0</v>
      </c>
      <c r="U34" s="255">
        <f t="shared" si="19"/>
        <v>0</v>
      </c>
      <c r="V34" s="255">
        <f>U34-X34-Y34-Z34</f>
        <v>0</v>
      </c>
      <c r="W34" s="255"/>
      <c r="X34" s="255"/>
      <c r="Y34" s="255"/>
      <c r="Z34" s="254"/>
      <c r="AA34" s="528">
        <v>742000</v>
      </c>
      <c r="AB34" s="254"/>
      <c r="AC34" s="254"/>
      <c r="AD34" s="254"/>
      <c r="AE34" s="254"/>
      <c r="AF34" s="254"/>
      <c r="AG34" s="254"/>
      <c r="AH34" s="254"/>
      <c r="AI34" s="254"/>
      <c r="AJ34" s="254"/>
      <c r="AK34" s="254">
        <f t="shared" si="20"/>
        <v>0</v>
      </c>
      <c r="AL34" s="255"/>
      <c r="AM34" s="255">
        <f t="shared" si="11"/>
        <v>0</v>
      </c>
      <c r="AN34" s="255">
        <f t="shared" si="12"/>
        <v>0</v>
      </c>
      <c r="AO34" s="255">
        <f t="shared" si="13"/>
        <v>0</v>
      </c>
      <c r="AP34" s="255"/>
      <c r="AQ34" s="255"/>
      <c r="AR34" s="255"/>
      <c r="AS34" s="255"/>
      <c r="AT34" s="255">
        <f t="shared" si="14"/>
        <v>0</v>
      </c>
      <c r="AU34" s="255"/>
      <c r="AV34" s="255"/>
      <c r="AW34" s="255"/>
      <c r="AX34" s="255"/>
      <c r="AY34" s="255">
        <f t="shared" si="15"/>
        <v>0</v>
      </c>
      <c r="AZ34" s="255"/>
      <c r="BA34" s="255"/>
      <c r="BB34" s="255"/>
      <c r="BC34" s="255"/>
    </row>
    <row r="35" spans="1:55" s="258" customFormat="1">
      <c r="A35" s="254">
        <f t="shared" si="16"/>
        <v>31</v>
      </c>
      <c r="B35" s="254">
        <v>1657</v>
      </c>
      <c r="C35" s="254" t="s">
        <v>33</v>
      </c>
      <c r="D35" s="255">
        <v>60000000</v>
      </c>
      <c r="E35" s="255">
        <v>60000000</v>
      </c>
      <c r="F35" s="255">
        <f t="shared" si="0"/>
        <v>0</v>
      </c>
      <c r="G35" s="255">
        <f>2700000+8000000</f>
        <v>10700000</v>
      </c>
      <c r="H35" s="255">
        <v>1210600.1599999999</v>
      </c>
      <c r="I35" s="255">
        <v>167189.14000000001</v>
      </c>
      <c r="J35" s="255">
        <v>1705229.07</v>
      </c>
      <c r="K35" s="255">
        <f t="shared" si="1"/>
        <v>1872418.21</v>
      </c>
      <c r="L35" s="255">
        <f t="shared" si="23"/>
        <v>3083018.37</v>
      </c>
      <c r="M35" s="255">
        <f t="shared" si="24"/>
        <v>7616981.6299999999</v>
      </c>
      <c r="N35" s="255">
        <f>6000000-3000000</f>
        <v>3000000</v>
      </c>
      <c r="O35" s="255">
        <f t="shared" si="5"/>
        <v>46300000</v>
      </c>
      <c r="P35" s="255">
        <f t="shared" si="6"/>
        <v>7616981.6299999999</v>
      </c>
      <c r="Q35" s="255"/>
      <c r="R35" s="255"/>
      <c r="S35" s="255">
        <f>SUM(Q35:R35)</f>
        <v>0</v>
      </c>
      <c r="T35" s="255">
        <f t="shared" si="8"/>
        <v>0</v>
      </c>
      <c r="U35" s="255">
        <f t="shared" si="19"/>
        <v>3000000</v>
      </c>
      <c r="V35" s="255">
        <f>U35-Z35-X35-Y35</f>
        <v>3000000</v>
      </c>
      <c r="W35" s="255"/>
      <c r="X35" s="255"/>
      <c r="Y35" s="255"/>
      <c r="Z35" s="255"/>
      <c r="AA35" s="528">
        <v>742000</v>
      </c>
      <c r="AB35" s="254"/>
      <c r="AC35" s="254"/>
      <c r="AD35" s="254"/>
      <c r="AE35" s="254"/>
      <c r="AF35" s="254"/>
      <c r="AG35" s="254"/>
      <c r="AH35" s="254"/>
      <c r="AI35" s="254"/>
      <c r="AJ35" s="254"/>
      <c r="AK35" s="254">
        <f t="shared" si="20"/>
        <v>0</v>
      </c>
      <c r="AL35" s="255">
        <v>3000000</v>
      </c>
      <c r="AM35" s="255">
        <f t="shared" si="11"/>
        <v>3000000</v>
      </c>
      <c r="AN35" s="255">
        <f t="shared" si="12"/>
        <v>0</v>
      </c>
      <c r="AO35" s="255">
        <f t="shared" si="13"/>
        <v>3000000</v>
      </c>
      <c r="AP35" s="255"/>
      <c r="AQ35" s="255"/>
      <c r="AR35" s="255"/>
      <c r="AS35" s="255"/>
      <c r="AT35" s="255">
        <f t="shared" si="14"/>
        <v>3000000</v>
      </c>
      <c r="AU35" s="255"/>
      <c r="AV35" s="255"/>
      <c r="AW35" s="255"/>
      <c r="AX35" s="255"/>
      <c r="AY35" s="255">
        <f t="shared" si="15"/>
        <v>0</v>
      </c>
      <c r="AZ35" s="255"/>
      <c r="BA35" s="255"/>
      <c r="BB35" s="255"/>
      <c r="BC35" s="255"/>
    </row>
    <row r="36" spans="1:55" s="258" customFormat="1">
      <c r="A36" s="254">
        <f t="shared" si="16"/>
        <v>32</v>
      </c>
      <c r="B36" s="254">
        <v>1718</v>
      </c>
      <c r="C36" s="254" t="s">
        <v>64</v>
      </c>
      <c r="D36" s="255">
        <v>13200000</v>
      </c>
      <c r="E36" s="255">
        <v>13200000</v>
      </c>
      <c r="F36" s="255">
        <f t="shared" si="0"/>
        <v>0</v>
      </c>
      <c r="G36" s="255">
        <f>10100000+3100000</f>
        <v>13200000</v>
      </c>
      <c r="H36" s="255">
        <v>9226266.1799999997</v>
      </c>
      <c r="I36" s="255">
        <v>139312.28</v>
      </c>
      <c r="J36" s="255">
        <v>658266.05000000005</v>
      </c>
      <c r="K36" s="255">
        <f t="shared" si="1"/>
        <v>797578.33000000007</v>
      </c>
      <c r="L36" s="255">
        <f t="shared" si="23"/>
        <v>10023844.51</v>
      </c>
      <c r="M36" s="255">
        <f t="shared" si="24"/>
        <v>3176155.49</v>
      </c>
      <c r="N36" s="255"/>
      <c r="O36" s="255">
        <f t="shared" si="5"/>
        <v>0</v>
      </c>
      <c r="P36" s="255">
        <f t="shared" si="6"/>
        <v>3176155.49</v>
      </c>
      <c r="Q36" s="255"/>
      <c r="R36" s="255"/>
      <c r="S36" s="255">
        <f>SUM(Q36:R36)</f>
        <v>0</v>
      </c>
      <c r="T36" s="255">
        <f t="shared" si="8"/>
        <v>0</v>
      </c>
      <c r="U36" s="255">
        <f t="shared" si="19"/>
        <v>0</v>
      </c>
      <c r="V36" s="255">
        <f>U36-Z36-X36-Y36</f>
        <v>0</v>
      </c>
      <c r="W36" s="255"/>
      <c r="X36" s="255"/>
      <c r="Y36" s="255"/>
      <c r="Z36" s="254"/>
      <c r="AA36" s="528">
        <v>742000</v>
      </c>
      <c r="AB36" s="254"/>
      <c r="AC36" s="254"/>
      <c r="AD36" s="254"/>
      <c r="AE36" s="254"/>
      <c r="AF36" s="254"/>
      <c r="AG36" s="254"/>
      <c r="AH36" s="254"/>
      <c r="AI36" s="254"/>
      <c r="AJ36" s="254"/>
      <c r="AK36" s="254">
        <f t="shared" si="20"/>
        <v>0</v>
      </c>
      <c r="AL36" s="255"/>
      <c r="AM36" s="255">
        <f t="shared" si="11"/>
        <v>0</v>
      </c>
      <c r="AN36" s="255">
        <f t="shared" si="12"/>
        <v>0</v>
      </c>
      <c r="AO36" s="255">
        <f t="shared" si="13"/>
        <v>0</v>
      </c>
      <c r="AP36" s="255"/>
      <c r="AQ36" s="255"/>
      <c r="AR36" s="255"/>
      <c r="AS36" s="255"/>
      <c r="AT36" s="255">
        <f t="shared" si="14"/>
        <v>0</v>
      </c>
      <c r="AU36" s="255"/>
      <c r="AV36" s="255"/>
      <c r="AW36" s="255"/>
      <c r="AX36" s="255"/>
      <c r="AY36" s="255">
        <f t="shared" si="15"/>
        <v>0</v>
      </c>
      <c r="AZ36" s="255"/>
      <c r="BA36" s="255"/>
      <c r="BB36" s="255"/>
      <c r="BC36" s="255"/>
    </row>
    <row r="37" spans="1:55" s="258" customFormat="1" ht="28">
      <c r="A37" s="254">
        <f t="shared" si="16"/>
        <v>33</v>
      </c>
      <c r="B37" s="244">
        <v>1720</v>
      </c>
      <c r="C37" s="244" t="s">
        <v>986</v>
      </c>
      <c r="D37" s="255">
        <v>1500000</v>
      </c>
      <c r="E37" s="255">
        <v>1500000</v>
      </c>
      <c r="F37" s="255">
        <f t="shared" si="0"/>
        <v>0</v>
      </c>
      <c r="G37" s="255">
        <v>1500000</v>
      </c>
      <c r="H37" s="255">
        <v>749799</v>
      </c>
      <c r="I37" s="255"/>
      <c r="J37" s="255">
        <v>596457.66</v>
      </c>
      <c r="K37" s="255">
        <f t="shared" si="1"/>
        <v>596457.66</v>
      </c>
      <c r="L37" s="255">
        <f t="shared" si="23"/>
        <v>1346256.6600000001</v>
      </c>
      <c r="M37" s="255">
        <f t="shared" si="24"/>
        <v>153743.33999999985</v>
      </c>
      <c r="N37" s="255"/>
      <c r="O37" s="255">
        <f t="shared" si="5"/>
        <v>0</v>
      </c>
      <c r="P37" s="255">
        <f t="shared" si="6"/>
        <v>153743.33999999985</v>
      </c>
      <c r="Q37" s="255"/>
      <c r="R37" s="255"/>
      <c r="S37" s="255">
        <f t="shared" si="18"/>
        <v>0</v>
      </c>
      <c r="T37" s="255">
        <f t="shared" si="8"/>
        <v>0</v>
      </c>
      <c r="U37" s="255">
        <f t="shared" si="19"/>
        <v>0</v>
      </c>
      <c r="V37" s="255">
        <f>U37-X37-Y37-Z37</f>
        <v>0</v>
      </c>
      <c r="W37" s="255"/>
      <c r="X37" s="255"/>
      <c r="Y37" s="255"/>
      <c r="Z37" s="254"/>
      <c r="AA37" s="528">
        <v>742000</v>
      </c>
      <c r="AB37" s="254"/>
      <c r="AC37" s="254"/>
      <c r="AD37" s="254"/>
      <c r="AE37" s="254"/>
      <c r="AF37" s="254"/>
      <c r="AG37" s="254"/>
      <c r="AH37" s="254"/>
      <c r="AI37" s="254"/>
      <c r="AJ37" s="254"/>
      <c r="AK37" s="254">
        <f t="shared" si="20"/>
        <v>0</v>
      </c>
      <c r="AL37" s="255"/>
      <c r="AM37" s="255">
        <f t="shared" si="11"/>
        <v>0</v>
      </c>
      <c r="AN37" s="255">
        <f t="shared" si="12"/>
        <v>0</v>
      </c>
      <c r="AO37" s="255">
        <f t="shared" si="13"/>
        <v>0</v>
      </c>
      <c r="AP37" s="255"/>
      <c r="AQ37" s="255"/>
      <c r="AR37" s="255"/>
      <c r="AS37" s="255"/>
      <c r="AT37" s="255">
        <f t="shared" si="14"/>
        <v>0</v>
      </c>
      <c r="AU37" s="255"/>
      <c r="AV37" s="255"/>
      <c r="AW37" s="255"/>
      <c r="AX37" s="255"/>
      <c r="AY37" s="255">
        <f t="shared" si="15"/>
        <v>0</v>
      </c>
      <c r="AZ37" s="255"/>
      <c r="BA37" s="255"/>
      <c r="BB37" s="255"/>
      <c r="BC37" s="255"/>
    </row>
    <row r="38" spans="1:55" s="258" customFormat="1" ht="28">
      <c r="A38" s="254">
        <f t="shared" si="16"/>
        <v>34</v>
      </c>
      <c r="B38" s="244">
        <v>1721</v>
      </c>
      <c r="C38" s="244" t="s">
        <v>929</v>
      </c>
      <c r="D38" s="255">
        <v>700000</v>
      </c>
      <c r="E38" s="255">
        <v>700000</v>
      </c>
      <c r="F38" s="255">
        <f t="shared" si="0"/>
        <v>0</v>
      </c>
      <c r="G38" s="255">
        <v>700000</v>
      </c>
      <c r="H38" s="255">
        <v>693650.51</v>
      </c>
      <c r="I38" s="255"/>
      <c r="J38" s="255"/>
      <c r="K38" s="255">
        <f t="shared" si="1"/>
        <v>0</v>
      </c>
      <c r="L38" s="255">
        <f t="shared" si="23"/>
        <v>693650.51</v>
      </c>
      <c r="M38" s="255">
        <f t="shared" si="24"/>
        <v>6349.4899999999907</v>
      </c>
      <c r="N38" s="255"/>
      <c r="O38" s="255">
        <f t="shared" si="5"/>
        <v>0</v>
      </c>
      <c r="P38" s="255">
        <f t="shared" si="6"/>
        <v>6349.4899999999907</v>
      </c>
      <c r="Q38" s="255"/>
      <c r="R38" s="255"/>
      <c r="S38" s="255">
        <f t="shared" si="18"/>
        <v>0</v>
      </c>
      <c r="T38" s="255">
        <f t="shared" si="8"/>
        <v>0</v>
      </c>
      <c r="U38" s="255">
        <f t="shared" si="19"/>
        <v>0</v>
      </c>
      <c r="V38" s="255">
        <f>U38-X38-Y38-Z38</f>
        <v>0</v>
      </c>
      <c r="W38" s="255"/>
      <c r="X38" s="255"/>
      <c r="Y38" s="255"/>
      <c r="Z38" s="254"/>
      <c r="AA38" s="528">
        <v>746000</v>
      </c>
      <c r="AB38" s="254"/>
      <c r="AC38" s="254"/>
      <c r="AD38" s="254"/>
      <c r="AE38" s="254"/>
      <c r="AF38" s="254"/>
      <c r="AG38" s="254"/>
      <c r="AH38" s="254"/>
      <c r="AI38" s="254"/>
      <c r="AJ38" s="254"/>
      <c r="AK38" s="254">
        <f t="shared" si="20"/>
        <v>0</v>
      </c>
      <c r="AL38" s="255"/>
      <c r="AM38" s="255">
        <f t="shared" si="11"/>
        <v>0</v>
      </c>
      <c r="AN38" s="255">
        <f t="shared" si="12"/>
        <v>0</v>
      </c>
      <c r="AO38" s="255">
        <f t="shared" si="13"/>
        <v>0</v>
      </c>
      <c r="AP38" s="255"/>
      <c r="AQ38" s="255"/>
      <c r="AR38" s="255"/>
      <c r="AS38" s="255"/>
      <c r="AT38" s="255">
        <f t="shared" si="14"/>
        <v>0</v>
      </c>
      <c r="AU38" s="255"/>
      <c r="AV38" s="255"/>
      <c r="AW38" s="255"/>
      <c r="AX38" s="255"/>
      <c r="AY38" s="255">
        <f t="shared" si="15"/>
        <v>0</v>
      </c>
      <c r="AZ38" s="255"/>
      <c r="BA38" s="255"/>
      <c r="BB38" s="255"/>
      <c r="BC38" s="255"/>
    </row>
    <row r="39" spans="1:55" s="258" customFormat="1">
      <c r="A39" s="254">
        <f t="shared" si="16"/>
        <v>35</v>
      </c>
      <c r="B39" s="254">
        <v>1723</v>
      </c>
      <c r="C39" s="254" t="s">
        <v>34</v>
      </c>
      <c r="D39" s="255">
        <f>12000000+5500000</f>
        <v>17500000</v>
      </c>
      <c r="E39" s="255">
        <v>12000000</v>
      </c>
      <c r="F39" s="255">
        <f t="shared" si="0"/>
        <v>5500000</v>
      </c>
      <c r="G39" s="255">
        <v>2000000</v>
      </c>
      <c r="H39" s="255">
        <v>218113</v>
      </c>
      <c r="I39" s="255"/>
      <c r="J39" s="255">
        <v>355892.1</v>
      </c>
      <c r="K39" s="255">
        <f t="shared" si="1"/>
        <v>355892.1</v>
      </c>
      <c r="L39" s="255">
        <f>K39+H39</f>
        <v>574005.1</v>
      </c>
      <c r="M39" s="255">
        <f>P39+S39</f>
        <v>7355607.9000000004</v>
      </c>
      <c r="N39" s="255">
        <f>10500000-929613</f>
        <v>9570387</v>
      </c>
      <c r="O39" s="255">
        <f t="shared" si="5"/>
        <v>0</v>
      </c>
      <c r="P39" s="255">
        <f t="shared" si="6"/>
        <v>1425994.9</v>
      </c>
      <c r="Q39" s="423">
        <f>1500000+4429613</f>
        <v>5929613</v>
      </c>
      <c r="R39" s="255"/>
      <c r="S39" s="255">
        <f t="shared" si="18"/>
        <v>5929613</v>
      </c>
      <c r="T39" s="255">
        <f t="shared" si="8"/>
        <v>0</v>
      </c>
      <c r="U39" s="255">
        <f t="shared" si="19"/>
        <v>9570387</v>
      </c>
      <c r="V39" s="255">
        <f>U39-X39-Y39-Z39</f>
        <v>825000</v>
      </c>
      <c r="W39" s="255"/>
      <c r="X39" s="255"/>
      <c r="Y39" s="255"/>
      <c r="Z39" s="255">
        <f>8500000-4429613+5500000*0.85</f>
        <v>8745387</v>
      </c>
      <c r="AA39" s="528">
        <v>732000</v>
      </c>
      <c r="AB39" s="254"/>
      <c r="AC39" s="254"/>
      <c r="AD39" s="254"/>
      <c r="AE39" s="254"/>
      <c r="AF39" s="255">
        <v>4282847</v>
      </c>
      <c r="AG39" s="255"/>
      <c r="AH39" s="255"/>
      <c r="AI39" s="255"/>
      <c r="AJ39" s="255"/>
      <c r="AK39" s="255">
        <f t="shared" si="20"/>
        <v>4282847</v>
      </c>
      <c r="AL39" s="255"/>
      <c r="AM39" s="255">
        <f t="shared" si="11"/>
        <v>4282847</v>
      </c>
      <c r="AN39" s="255">
        <f t="shared" si="12"/>
        <v>5287540</v>
      </c>
      <c r="AO39" s="255">
        <f t="shared" si="13"/>
        <v>0</v>
      </c>
      <c r="AP39" s="255"/>
      <c r="AQ39" s="255"/>
      <c r="AR39" s="255"/>
      <c r="AS39" s="255">
        <v>4282847</v>
      </c>
      <c r="AT39" s="255">
        <f t="shared" si="14"/>
        <v>0</v>
      </c>
      <c r="AU39" s="255"/>
      <c r="AV39" s="255"/>
      <c r="AW39" s="255"/>
      <c r="AX39" s="255"/>
      <c r="AY39" s="255">
        <f t="shared" si="15"/>
        <v>825000</v>
      </c>
      <c r="AZ39" s="255"/>
      <c r="BA39" s="255"/>
      <c r="BB39" s="255"/>
      <c r="BC39" s="255">
        <f>5287540-825000</f>
        <v>4462540</v>
      </c>
    </row>
    <row r="40" spans="1:55" s="258" customFormat="1" ht="28">
      <c r="A40" s="254">
        <f t="shared" si="16"/>
        <v>36</v>
      </c>
      <c r="B40" s="244">
        <v>1727</v>
      </c>
      <c r="C40" s="244" t="s">
        <v>936</v>
      </c>
      <c r="D40" s="255">
        <v>400000</v>
      </c>
      <c r="E40" s="255">
        <v>400000</v>
      </c>
      <c r="F40" s="255">
        <f t="shared" si="0"/>
        <v>0</v>
      </c>
      <c r="G40" s="255">
        <v>400000</v>
      </c>
      <c r="H40" s="255">
        <v>324343</v>
      </c>
      <c r="I40" s="255"/>
      <c r="J40" s="255">
        <v>54694.6</v>
      </c>
      <c r="K40" s="255">
        <f t="shared" si="1"/>
        <v>54694.6</v>
      </c>
      <c r="L40" s="255">
        <f>K40+H40</f>
        <v>379037.6</v>
      </c>
      <c r="M40" s="255">
        <f>P40+S40</f>
        <v>20962.400000000023</v>
      </c>
      <c r="N40" s="255"/>
      <c r="O40" s="255">
        <f t="shared" si="5"/>
        <v>0</v>
      </c>
      <c r="P40" s="255">
        <f t="shared" si="6"/>
        <v>20962.400000000023</v>
      </c>
      <c r="Q40" s="255"/>
      <c r="R40" s="255"/>
      <c r="S40" s="255">
        <f t="shared" si="18"/>
        <v>0</v>
      </c>
      <c r="T40" s="255">
        <f t="shared" si="8"/>
        <v>0</v>
      </c>
      <c r="U40" s="255">
        <f t="shared" si="19"/>
        <v>0</v>
      </c>
      <c r="V40" s="255">
        <f>U40-X40-Y40-Z40</f>
        <v>0</v>
      </c>
      <c r="W40" s="255"/>
      <c r="X40" s="255"/>
      <c r="Y40" s="255"/>
      <c r="Z40" s="254"/>
      <c r="AA40" s="528">
        <v>742000</v>
      </c>
      <c r="AB40" s="254"/>
      <c r="AC40" s="254"/>
      <c r="AD40" s="254"/>
      <c r="AE40" s="254"/>
      <c r="AF40" s="254"/>
      <c r="AG40" s="254"/>
      <c r="AH40" s="254"/>
      <c r="AI40" s="254"/>
      <c r="AJ40" s="254"/>
      <c r="AK40" s="254">
        <f t="shared" si="20"/>
        <v>0</v>
      </c>
      <c r="AL40" s="255"/>
      <c r="AM40" s="255">
        <f t="shared" si="11"/>
        <v>0</v>
      </c>
      <c r="AN40" s="255">
        <f t="shared" si="12"/>
        <v>0</v>
      </c>
      <c r="AO40" s="255">
        <f t="shared" si="13"/>
        <v>0</v>
      </c>
      <c r="AP40" s="255"/>
      <c r="AQ40" s="255"/>
      <c r="AR40" s="255"/>
      <c r="AS40" s="255"/>
      <c r="AT40" s="255">
        <f t="shared" si="14"/>
        <v>0</v>
      </c>
      <c r="AU40" s="255"/>
      <c r="AV40" s="255"/>
      <c r="AW40" s="255"/>
      <c r="AX40" s="255"/>
      <c r="AY40" s="255">
        <f t="shared" si="15"/>
        <v>0</v>
      </c>
      <c r="AZ40" s="255"/>
      <c r="BA40" s="255"/>
      <c r="BB40" s="255"/>
      <c r="BC40" s="255"/>
    </row>
    <row r="41" spans="1:55" s="258" customFormat="1" ht="28">
      <c r="A41" s="254">
        <f t="shared" si="16"/>
        <v>37</v>
      </c>
      <c r="B41" s="254">
        <v>1739</v>
      </c>
      <c r="C41" s="254" t="s">
        <v>175</v>
      </c>
      <c r="D41" s="255">
        <v>6550000</v>
      </c>
      <c r="E41" s="255">
        <v>6550000</v>
      </c>
      <c r="F41" s="255">
        <f t="shared" si="0"/>
        <v>0</v>
      </c>
      <c r="G41" s="255">
        <v>6550000</v>
      </c>
      <c r="H41" s="255">
        <v>5774908</v>
      </c>
      <c r="I41" s="255"/>
      <c r="J41" s="255">
        <v>766308.26</v>
      </c>
      <c r="K41" s="255">
        <f t="shared" si="1"/>
        <v>766308.26</v>
      </c>
      <c r="L41" s="255">
        <f>K41+H41</f>
        <v>6541216.2599999998</v>
      </c>
      <c r="M41" s="255">
        <f>P41+S41</f>
        <v>8783.7400000002235</v>
      </c>
      <c r="N41" s="255"/>
      <c r="O41" s="255">
        <f t="shared" si="5"/>
        <v>0</v>
      </c>
      <c r="P41" s="255">
        <f t="shared" si="6"/>
        <v>8783.7400000002235</v>
      </c>
      <c r="Q41" s="255"/>
      <c r="R41" s="255"/>
      <c r="S41" s="255">
        <f t="shared" si="18"/>
        <v>0</v>
      </c>
      <c r="T41" s="255">
        <f t="shared" si="8"/>
        <v>0</v>
      </c>
      <c r="U41" s="255">
        <f t="shared" si="19"/>
        <v>0</v>
      </c>
      <c r="V41" s="255">
        <f>U41-X41-Y41-Z41</f>
        <v>0</v>
      </c>
      <c r="W41" s="255"/>
      <c r="X41" s="255"/>
      <c r="Y41" s="255"/>
      <c r="Z41" s="254"/>
      <c r="AA41" s="528">
        <v>747000</v>
      </c>
      <c r="AB41" s="254"/>
      <c r="AC41" s="254"/>
      <c r="AD41" s="254"/>
      <c r="AE41" s="254"/>
      <c r="AF41" s="254"/>
      <c r="AG41" s="254"/>
      <c r="AH41" s="254"/>
      <c r="AI41" s="254"/>
      <c r="AJ41" s="254"/>
      <c r="AK41" s="254">
        <f t="shared" si="20"/>
        <v>0</v>
      </c>
      <c r="AL41" s="255"/>
      <c r="AM41" s="255">
        <f t="shared" si="11"/>
        <v>0</v>
      </c>
      <c r="AN41" s="255">
        <f t="shared" si="12"/>
        <v>0</v>
      </c>
      <c r="AO41" s="255">
        <f t="shared" si="13"/>
        <v>0</v>
      </c>
      <c r="AP41" s="255"/>
      <c r="AQ41" s="255"/>
      <c r="AR41" s="255"/>
      <c r="AS41" s="255"/>
      <c r="AT41" s="255">
        <f t="shared" si="14"/>
        <v>0</v>
      </c>
      <c r="AU41" s="255"/>
      <c r="AV41" s="255"/>
      <c r="AW41" s="255"/>
      <c r="AX41" s="255"/>
      <c r="AY41" s="255">
        <f t="shared" si="15"/>
        <v>0</v>
      </c>
      <c r="AZ41" s="255"/>
      <c r="BA41" s="255"/>
      <c r="BB41" s="255"/>
      <c r="BC41" s="255"/>
    </row>
    <row r="42" spans="1:55" s="258" customFormat="1" ht="28">
      <c r="A42" s="254">
        <f t="shared" si="16"/>
        <v>38</v>
      </c>
      <c r="B42" s="244">
        <v>1749</v>
      </c>
      <c r="C42" s="244" t="s">
        <v>937</v>
      </c>
      <c r="D42" s="255">
        <v>5000000</v>
      </c>
      <c r="E42" s="255">
        <v>5000000</v>
      </c>
      <c r="F42" s="255">
        <f t="shared" si="0"/>
        <v>0</v>
      </c>
      <c r="G42" s="255">
        <v>500000</v>
      </c>
      <c r="H42" s="255">
        <v>0</v>
      </c>
      <c r="I42" s="255"/>
      <c r="J42" s="255">
        <v>760.5</v>
      </c>
      <c r="K42" s="255">
        <f t="shared" si="1"/>
        <v>760.5</v>
      </c>
      <c r="L42" s="255">
        <f>K42+H42</f>
        <v>760.5</v>
      </c>
      <c r="M42" s="255">
        <f>P42+S42</f>
        <v>499239.5</v>
      </c>
      <c r="N42" s="255"/>
      <c r="O42" s="255">
        <f t="shared" si="5"/>
        <v>4500000</v>
      </c>
      <c r="P42" s="255">
        <f t="shared" si="6"/>
        <v>499239.5</v>
      </c>
      <c r="Q42" s="255"/>
      <c r="R42" s="255"/>
      <c r="S42" s="255">
        <f>SUM(Q42:R42)</f>
        <v>0</v>
      </c>
      <c r="T42" s="255">
        <f t="shared" si="8"/>
        <v>0</v>
      </c>
      <c r="U42" s="255">
        <f t="shared" si="19"/>
        <v>0</v>
      </c>
      <c r="V42" s="255">
        <f>U42-Z42-X42-Y42</f>
        <v>0</v>
      </c>
      <c r="W42" s="255"/>
      <c r="X42" s="255"/>
      <c r="Y42" s="255"/>
      <c r="Z42" s="254"/>
      <c r="AA42" s="528">
        <v>732000</v>
      </c>
      <c r="AB42" s="325"/>
      <c r="AC42" s="254"/>
      <c r="AD42" s="254"/>
      <c r="AE42" s="254"/>
      <c r="AF42" s="254"/>
      <c r="AG42" s="254"/>
      <c r="AH42" s="254"/>
      <c r="AI42" s="254"/>
      <c r="AJ42" s="254"/>
      <c r="AK42" s="254">
        <f t="shared" si="20"/>
        <v>0</v>
      </c>
      <c r="AL42" s="255"/>
      <c r="AM42" s="255">
        <f t="shared" si="11"/>
        <v>0</v>
      </c>
      <c r="AN42" s="255">
        <f t="shared" si="12"/>
        <v>0</v>
      </c>
      <c r="AO42" s="255">
        <f t="shared" si="13"/>
        <v>0</v>
      </c>
      <c r="AP42" s="255"/>
      <c r="AQ42" s="255"/>
      <c r="AR42" s="255"/>
      <c r="AS42" s="255"/>
      <c r="AT42" s="255">
        <f t="shared" si="14"/>
        <v>0</v>
      </c>
      <c r="AU42" s="255"/>
      <c r="AV42" s="255"/>
      <c r="AW42" s="255"/>
      <c r="AX42" s="255"/>
      <c r="AY42" s="255">
        <f t="shared" si="15"/>
        <v>0</v>
      </c>
      <c r="AZ42" s="255"/>
      <c r="BA42" s="255"/>
      <c r="BB42" s="255"/>
      <c r="BC42" s="255"/>
    </row>
    <row r="43" spans="1:55" s="258" customFormat="1" ht="28">
      <c r="A43" s="254">
        <f t="shared" si="16"/>
        <v>39</v>
      </c>
      <c r="B43" s="244">
        <v>1750</v>
      </c>
      <c r="C43" s="244" t="s">
        <v>938</v>
      </c>
      <c r="D43" s="255">
        <v>5000000</v>
      </c>
      <c r="E43" s="255">
        <v>5000000</v>
      </c>
      <c r="F43" s="255">
        <f t="shared" si="0"/>
        <v>0</v>
      </c>
      <c r="G43" s="255">
        <v>500000</v>
      </c>
      <c r="H43" s="255">
        <v>0</v>
      </c>
      <c r="I43" s="255"/>
      <c r="J43" s="255"/>
      <c r="K43" s="255">
        <f t="shared" si="1"/>
        <v>0</v>
      </c>
      <c r="L43" s="255">
        <f t="shared" ref="L43:L61" si="25">K43+H43</f>
        <v>0</v>
      </c>
      <c r="M43" s="255">
        <f>P43+S43-400000</f>
        <v>100000</v>
      </c>
      <c r="N43" s="255"/>
      <c r="O43" s="255">
        <f t="shared" si="5"/>
        <v>4900000</v>
      </c>
      <c r="P43" s="255">
        <f t="shared" si="6"/>
        <v>500000</v>
      </c>
      <c r="Q43" s="255"/>
      <c r="R43" s="255"/>
      <c r="S43" s="255">
        <f>SUM(Q43:R43)</f>
        <v>0</v>
      </c>
      <c r="T43" s="255">
        <f t="shared" si="8"/>
        <v>400000</v>
      </c>
      <c r="U43" s="255">
        <f t="shared" si="19"/>
        <v>-400000</v>
      </c>
      <c r="V43" s="255">
        <f>U43-Z43-X43-Y43</f>
        <v>-400000</v>
      </c>
      <c r="W43" s="255"/>
      <c r="X43" s="255"/>
      <c r="Y43" s="255"/>
      <c r="Z43" s="254"/>
      <c r="AA43" s="528">
        <v>732000</v>
      </c>
      <c r="AB43" s="325"/>
      <c r="AC43" s="255"/>
      <c r="AD43" s="255">
        <v>-400000</v>
      </c>
      <c r="AE43" s="255"/>
      <c r="AF43" s="255"/>
      <c r="AG43" s="255"/>
      <c r="AH43" s="255"/>
      <c r="AI43" s="255"/>
      <c r="AJ43" s="255"/>
      <c r="AK43" s="255">
        <f t="shared" si="20"/>
        <v>-400000</v>
      </c>
      <c r="AL43" s="255"/>
      <c r="AM43" s="255">
        <f t="shared" si="11"/>
        <v>-400000</v>
      </c>
      <c r="AN43" s="255">
        <f t="shared" si="12"/>
        <v>0</v>
      </c>
      <c r="AO43" s="255">
        <f t="shared" si="13"/>
        <v>-400000</v>
      </c>
      <c r="AP43" s="255"/>
      <c r="AQ43" s="255"/>
      <c r="AR43" s="255"/>
      <c r="AS43" s="255"/>
      <c r="AT43" s="255">
        <f t="shared" si="14"/>
        <v>0</v>
      </c>
      <c r="AU43" s="255"/>
      <c r="AV43" s="255"/>
      <c r="AW43" s="255"/>
      <c r="AX43" s="255"/>
      <c r="AY43" s="255">
        <f t="shared" si="15"/>
        <v>0</v>
      </c>
      <c r="AZ43" s="255"/>
      <c r="BA43" s="255"/>
      <c r="BB43" s="255"/>
      <c r="BC43" s="255"/>
    </row>
    <row r="44" spans="1:55" s="258" customFormat="1">
      <c r="A44" s="254">
        <f t="shared" si="16"/>
        <v>40</v>
      </c>
      <c r="B44" s="254">
        <v>1751</v>
      </c>
      <c r="C44" s="254" t="s">
        <v>172</v>
      </c>
      <c r="D44" s="255">
        <v>4800000</v>
      </c>
      <c r="E44" s="255">
        <v>4800000</v>
      </c>
      <c r="F44" s="255">
        <f t="shared" si="0"/>
        <v>0</v>
      </c>
      <c r="G44" s="255">
        <f>2500000+1500000</f>
        <v>4000000</v>
      </c>
      <c r="H44" s="255">
        <v>628343</v>
      </c>
      <c r="I44" s="255"/>
      <c r="J44" s="255">
        <v>1864344.66</v>
      </c>
      <c r="K44" s="255">
        <f t="shared" si="1"/>
        <v>1864344.66</v>
      </c>
      <c r="L44" s="255">
        <f t="shared" si="25"/>
        <v>2492687.66</v>
      </c>
      <c r="M44" s="255">
        <f t="shared" ref="M44:M61" si="26">P44+S44</f>
        <v>1507312.3399999999</v>
      </c>
      <c r="N44" s="255">
        <v>800000</v>
      </c>
      <c r="O44" s="255">
        <f t="shared" si="5"/>
        <v>0</v>
      </c>
      <c r="P44" s="255">
        <f t="shared" si="6"/>
        <v>1507312.3399999999</v>
      </c>
      <c r="Q44" s="255"/>
      <c r="R44" s="255"/>
      <c r="S44" s="255">
        <f t="shared" si="18"/>
        <v>0</v>
      </c>
      <c r="T44" s="255">
        <f t="shared" si="8"/>
        <v>0</v>
      </c>
      <c r="U44" s="255">
        <f t="shared" si="19"/>
        <v>800000</v>
      </c>
      <c r="V44" s="255">
        <f>U44-X44-Y44-Z44</f>
        <v>800000</v>
      </c>
      <c r="W44" s="255"/>
      <c r="X44" s="255"/>
      <c r="Y44" s="255"/>
      <c r="Z44" s="254"/>
      <c r="AA44" s="528">
        <v>810000</v>
      </c>
      <c r="AB44" s="325"/>
      <c r="AC44" s="254"/>
      <c r="AD44" s="254"/>
      <c r="AE44" s="254"/>
      <c r="AF44" s="254"/>
      <c r="AG44" s="254"/>
      <c r="AH44" s="254"/>
      <c r="AI44" s="254"/>
      <c r="AJ44" s="254"/>
      <c r="AK44" s="254">
        <f t="shared" si="20"/>
        <v>0</v>
      </c>
      <c r="AL44" s="255">
        <v>800000</v>
      </c>
      <c r="AM44" s="255">
        <f t="shared" si="11"/>
        <v>800000</v>
      </c>
      <c r="AN44" s="255">
        <f t="shared" si="12"/>
        <v>0</v>
      </c>
      <c r="AO44" s="255">
        <f t="shared" si="13"/>
        <v>800000</v>
      </c>
      <c r="AP44" s="255"/>
      <c r="AQ44" s="255"/>
      <c r="AR44" s="255"/>
      <c r="AS44" s="255"/>
      <c r="AT44" s="255">
        <f t="shared" si="14"/>
        <v>800000</v>
      </c>
      <c r="AU44" s="255"/>
      <c r="AV44" s="255"/>
      <c r="AW44" s="255"/>
      <c r="AX44" s="255"/>
      <c r="AY44" s="255">
        <f t="shared" si="15"/>
        <v>0</v>
      </c>
      <c r="AZ44" s="255"/>
      <c r="BA44" s="255"/>
      <c r="BB44" s="255"/>
      <c r="BC44" s="255"/>
    </row>
    <row r="45" spans="1:55" s="265" customFormat="1" ht="15.5">
      <c r="A45" s="254">
        <f t="shared" si="16"/>
        <v>41</v>
      </c>
      <c r="B45" s="254">
        <v>1763</v>
      </c>
      <c r="C45" s="254" t="s">
        <v>179</v>
      </c>
      <c r="D45" s="255">
        <v>4200000</v>
      </c>
      <c r="E45" s="255">
        <v>4200000</v>
      </c>
      <c r="F45" s="255">
        <f t="shared" si="0"/>
        <v>0</v>
      </c>
      <c r="G45" s="255">
        <v>4200000</v>
      </c>
      <c r="H45" s="255">
        <v>2118690</v>
      </c>
      <c r="I45" s="255"/>
      <c r="J45" s="255">
        <v>2081122.89</v>
      </c>
      <c r="K45" s="255">
        <f t="shared" si="1"/>
        <v>2081122.89</v>
      </c>
      <c r="L45" s="255">
        <f t="shared" si="25"/>
        <v>4199812.8899999997</v>
      </c>
      <c r="M45" s="255">
        <f t="shared" si="26"/>
        <v>187.11000000033528</v>
      </c>
      <c r="N45" s="255"/>
      <c r="O45" s="255">
        <f t="shared" si="5"/>
        <v>0</v>
      </c>
      <c r="P45" s="255">
        <f t="shared" si="6"/>
        <v>187.11000000033528</v>
      </c>
      <c r="Q45" s="255"/>
      <c r="R45" s="255"/>
      <c r="S45" s="255">
        <f t="shared" si="18"/>
        <v>0</v>
      </c>
      <c r="T45" s="255">
        <f t="shared" si="8"/>
        <v>0</v>
      </c>
      <c r="U45" s="255">
        <f t="shared" si="19"/>
        <v>0</v>
      </c>
      <c r="V45" s="255">
        <f>U45-X45-Y45-Z45</f>
        <v>0</v>
      </c>
      <c r="W45" s="255"/>
      <c r="X45" s="255"/>
      <c r="Y45" s="255"/>
      <c r="Z45" s="254"/>
      <c r="AA45" s="528">
        <v>742000</v>
      </c>
      <c r="AB45" s="325"/>
      <c r="AC45" s="254"/>
      <c r="AD45" s="254"/>
      <c r="AE45" s="254"/>
      <c r="AF45" s="254"/>
      <c r="AG45" s="254"/>
      <c r="AH45" s="254"/>
      <c r="AI45" s="254"/>
      <c r="AJ45" s="254"/>
      <c r="AK45" s="254">
        <f t="shared" si="20"/>
        <v>0</v>
      </c>
      <c r="AL45" s="255"/>
      <c r="AM45" s="255">
        <f t="shared" si="11"/>
        <v>0</v>
      </c>
      <c r="AN45" s="255">
        <f t="shared" si="12"/>
        <v>0</v>
      </c>
      <c r="AO45" s="255">
        <f t="shared" si="13"/>
        <v>0</v>
      </c>
      <c r="AP45" s="255"/>
      <c r="AQ45" s="255"/>
      <c r="AR45" s="255"/>
      <c r="AS45" s="255"/>
      <c r="AT45" s="255">
        <f t="shared" si="14"/>
        <v>0</v>
      </c>
      <c r="AU45" s="255"/>
      <c r="AV45" s="255"/>
      <c r="AW45" s="255"/>
      <c r="AX45" s="255"/>
      <c r="AY45" s="255">
        <f t="shared" si="15"/>
        <v>0</v>
      </c>
      <c r="AZ45" s="255"/>
      <c r="BA45" s="255"/>
      <c r="BB45" s="255"/>
      <c r="BC45" s="255"/>
    </row>
    <row r="46" spans="1:55" s="258" customFormat="1">
      <c r="A46" s="254">
        <f t="shared" si="16"/>
        <v>42</v>
      </c>
      <c r="B46" s="244">
        <v>1764</v>
      </c>
      <c r="C46" s="244" t="s">
        <v>939</v>
      </c>
      <c r="D46" s="255">
        <f>4800000+1200000</f>
        <v>6000000</v>
      </c>
      <c r="E46" s="255">
        <v>4800000</v>
      </c>
      <c r="F46" s="255">
        <f t="shared" si="0"/>
        <v>1200000</v>
      </c>
      <c r="G46" s="255">
        <v>4800000</v>
      </c>
      <c r="H46" s="255">
        <v>3175258</v>
      </c>
      <c r="I46" s="255"/>
      <c r="J46" s="255">
        <v>823593.73</v>
      </c>
      <c r="K46" s="255">
        <f t="shared" si="1"/>
        <v>823593.73</v>
      </c>
      <c r="L46" s="255">
        <f t="shared" si="25"/>
        <v>3998851.73</v>
      </c>
      <c r="M46" s="255">
        <f t="shared" si="26"/>
        <v>801148.27</v>
      </c>
      <c r="N46" s="255">
        <v>1200000</v>
      </c>
      <c r="O46" s="255">
        <f t="shared" si="5"/>
        <v>0</v>
      </c>
      <c r="P46" s="255">
        <f t="shared" si="6"/>
        <v>801148.27</v>
      </c>
      <c r="Q46" s="255"/>
      <c r="R46" s="255"/>
      <c r="S46" s="255">
        <f t="shared" si="18"/>
        <v>0</v>
      </c>
      <c r="T46" s="255">
        <f t="shared" si="8"/>
        <v>0</v>
      </c>
      <c r="U46" s="255">
        <f t="shared" si="19"/>
        <v>1200000</v>
      </c>
      <c r="V46" s="255">
        <f>U46-X46-Y46-Z46</f>
        <v>1200000</v>
      </c>
      <c r="W46" s="255"/>
      <c r="X46" s="255"/>
      <c r="Y46" s="255"/>
      <c r="Z46" s="254"/>
      <c r="AA46" s="528">
        <v>742000</v>
      </c>
      <c r="AB46" s="325"/>
      <c r="AC46" s="254"/>
      <c r="AD46" s="254"/>
      <c r="AE46" s="254"/>
      <c r="AF46" s="254"/>
      <c r="AG46" s="254"/>
      <c r="AH46" s="254"/>
      <c r="AI46" s="254"/>
      <c r="AJ46" s="254"/>
      <c r="AK46" s="254">
        <f t="shared" si="20"/>
        <v>0</v>
      </c>
      <c r="AL46" s="255"/>
      <c r="AM46" s="255">
        <f t="shared" si="11"/>
        <v>0</v>
      </c>
      <c r="AN46" s="255">
        <f t="shared" si="12"/>
        <v>1200000</v>
      </c>
      <c r="AO46" s="255">
        <f t="shared" si="13"/>
        <v>0</v>
      </c>
      <c r="AP46" s="255"/>
      <c r="AQ46" s="255"/>
      <c r="AR46" s="255"/>
      <c r="AS46" s="255"/>
      <c r="AT46" s="255">
        <f t="shared" si="14"/>
        <v>0</v>
      </c>
      <c r="AU46" s="255"/>
      <c r="AV46" s="255"/>
      <c r="AW46" s="255"/>
      <c r="AX46" s="255"/>
      <c r="AY46" s="255">
        <f t="shared" si="15"/>
        <v>1200000</v>
      </c>
      <c r="AZ46" s="255"/>
      <c r="BA46" s="255"/>
      <c r="BB46" s="255"/>
      <c r="BC46" s="255"/>
    </row>
    <row r="47" spans="1:55" s="266" customFormat="1" ht="15.5">
      <c r="A47" s="254">
        <f t="shared" si="16"/>
        <v>43</v>
      </c>
      <c r="B47" s="254">
        <v>1765</v>
      </c>
      <c r="C47" s="254" t="s">
        <v>171</v>
      </c>
      <c r="D47" s="255">
        <v>2800000</v>
      </c>
      <c r="E47" s="255">
        <v>2800000</v>
      </c>
      <c r="F47" s="255">
        <f t="shared" si="0"/>
        <v>0</v>
      </c>
      <c r="G47" s="255">
        <f>2100000+700000</f>
        <v>2800000</v>
      </c>
      <c r="H47" s="255">
        <v>1605851.36</v>
      </c>
      <c r="I47" s="255"/>
      <c r="J47" s="255">
        <v>294913.65999999997</v>
      </c>
      <c r="K47" s="255">
        <f t="shared" si="1"/>
        <v>294913.65999999997</v>
      </c>
      <c r="L47" s="255">
        <f t="shared" si="25"/>
        <v>1900765.02</v>
      </c>
      <c r="M47" s="255">
        <f t="shared" si="26"/>
        <v>899234.98</v>
      </c>
      <c r="N47" s="255"/>
      <c r="O47" s="255">
        <f t="shared" si="5"/>
        <v>0</v>
      </c>
      <c r="P47" s="255">
        <f t="shared" si="6"/>
        <v>899234.98</v>
      </c>
      <c r="Q47" s="255"/>
      <c r="R47" s="255"/>
      <c r="S47" s="255">
        <f t="shared" si="18"/>
        <v>0</v>
      </c>
      <c r="T47" s="255">
        <f t="shared" si="8"/>
        <v>0</v>
      </c>
      <c r="U47" s="255">
        <f t="shared" si="19"/>
        <v>0</v>
      </c>
      <c r="V47" s="255">
        <f>U47-X47-Y47-Z47</f>
        <v>0</v>
      </c>
      <c r="W47" s="255"/>
      <c r="X47" s="255"/>
      <c r="Y47" s="255"/>
      <c r="Z47" s="254"/>
      <c r="AA47" s="528">
        <v>742000</v>
      </c>
      <c r="AB47" s="325"/>
      <c r="AC47" s="270"/>
      <c r="AD47" s="270"/>
      <c r="AE47" s="270"/>
      <c r="AF47" s="270"/>
      <c r="AG47" s="270"/>
      <c r="AH47" s="270"/>
      <c r="AI47" s="270"/>
      <c r="AJ47" s="270"/>
      <c r="AK47" s="254">
        <f t="shared" si="20"/>
        <v>0</v>
      </c>
      <c r="AL47" s="255"/>
      <c r="AM47" s="255">
        <f t="shared" si="11"/>
        <v>0</v>
      </c>
      <c r="AN47" s="255">
        <f t="shared" si="12"/>
        <v>0</v>
      </c>
      <c r="AO47" s="255">
        <f t="shared" si="13"/>
        <v>0</v>
      </c>
      <c r="AP47" s="255"/>
      <c r="AQ47" s="255"/>
      <c r="AR47" s="255"/>
      <c r="AS47" s="255"/>
      <c r="AT47" s="255">
        <f t="shared" si="14"/>
        <v>0</v>
      </c>
      <c r="AU47" s="255"/>
      <c r="AV47" s="255"/>
      <c r="AW47" s="255"/>
      <c r="AX47" s="255"/>
      <c r="AY47" s="255">
        <f t="shared" si="15"/>
        <v>0</v>
      </c>
      <c r="AZ47" s="255"/>
      <c r="BA47" s="255"/>
      <c r="BB47" s="255"/>
      <c r="BC47" s="255"/>
    </row>
    <row r="48" spans="1:55" s="266" customFormat="1" ht="28">
      <c r="A48" s="254">
        <f t="shared" si="16"/>
        <v>44</v>
      </c>
      <c r="B48" s="244">
        <v>1772</v>
      </c>
      <c r="C48" s="244" t="s">
        <v>940</v>
      </c>
      <c r="D48" s="255">
        <v>3210000</v>
      </c>
      <c r="E48" s="255">
        <v>3210000</v>
      </c>
      <c r="F48" s="255">
        <f t="shared" si="0"/>
        <v>0</v>
      </c>
      <c r="G48" s="255">
        <v>3210000</v>
      </c>
      <c r="H48" s="255">
        <v>2922582.84</v>
      </c>
      <c r="I48" s="255"/>
      <c r="J48" s="255">
        <v>263570.05</v>
      </c>
      <c r="K48" s="255">
        <f t="shared" si="1"/>
        <v>263570.05</v>
      </c>
      <c r="L48" s="255">
        <f t="shared" si="25"/>
        <v>3186152.8899999997</v>
      </c>
      <c r="M48" s="255">
        <f t="shared" si="26"/>
        <v>23847.110000000335</v>
      </c>
      <c r="N48" s="255"/>
      <c r="O48" s="255">
        <f t="shared" si="5"/>
        <v>0</v>
      </c>
      <c r="P48" s="255">
        <f t="shared" si="6"/>
        <v>23847.110000000335</v>
      </c>
      <c r="Q48" s="255"/>
      <c r="R48" s="255"/>
      <c r="S48" s="255">
        <f t="shared" si="18"/>
        <v>0</v>
      </c>
      <c r="T48" s="255">
        <f t="shared" si="8"/>
        <v>0</v>
      </c>
      <c r="U48" s="255">
        <f t="shared" si="19"/>
        <v>0</v>
      </c>
      <c r="V48" s="255">
        <f>U48-X48-Y48-Z48</f>
        <v>0</v>
      </c>
      <c r="W48" s="255"/>
      <c r="X48" s="255"/>
      <c r="Y48" s="255"/>
      <c r="Z48" s="255"/>
      <c r="AA48" s="528">
        <v>829000</v>
      </c>
      <c r="AB48" s="460"/>
      <c r="AC48" s="460"/>
      <c r="AD48" s="460"/>
      <c r="AE48" s="460"/>
      <c r="AF48" s="460"/>
      <c r="AG48" s="460"/>
      <c r="AH48" s="460"/>
      <c r="AI48" s="460"/>
      <c r="AJ48" s="460"/>
      <c r="AK48" s="254">
        <f t="shared" si="20"/>
        <v>0</v>
      </c>
      <c r="AL48" s="255"/>
      <c r="AM48" s="255">
        <f t="shared" si="11"/>
        <v>0</v>
      </c>
      <c r="AN48" s="255">
        <f t="shared" si="12"/>
        <v>0</v>
      </c>
      <c r="AO48" s="255">
        <f t="shared" si="13"/>
        <v>0</v>
      </c>
      <c r="AP48" s="255"/>
      <c r="AQ48" s="255"/>
      <c r="AR48" s="255"/>
      <c r="AS48" s="255"/>
      <c r="AT48" s="255">
        <f t="shared" si="14"/>
        <v>0</v>
      </c>
      <c r="AU48" s="255"/>
      <c r="AV48" s="255"/>
      <c r="AW48" s="255"/>
      <c r="AX48" s="255"/>
      <c r="AY48" s="255">
        <f t="shared" si="15"/>
        <v>0</v>
      </c>
      <c r="AZ48" s="255"/>
      <c r="BA48" s="255"/>
      <c r="BB48" s="255"/>
      <c r="BC48" s="255"/>
    </row>
    <row r="49" spans="1:55" s="259" customFormat="1">
      <c r="A49" s="254">
        <f t="shared" si="16"/>
        <v>45</v>
      </c>
      <c r="B49" s="254">
        <v>1798</v>
      </c>
      <c r="C49" s="254" t="s">
        <v>180</v>
      </c>
      <c r="D49" s="255">
        <v>1600000</v>
      </c>
      <c r="E49" s="255">
        <v>1600000</v>
      </c>
      <c r="F49" s="255">
        <f t="shared" si="0"/>
        <v>0</v>
      </c>
      <c r="G49" s="255">
        <v>1600000</v>
      </c>
      <c r="H49" s="255">
        <v>437562</v>
      </c>
      <c r="I49" s="255"/>
      <c r="J49" s="255">
        <v>642832.57999999996</v>
      </c>
      <c r="K49" s="255">
        <f t="shared" si="1"/>
        <v>642832.57999999996</v>
      </c>
      <c r="L49" s="255">
        <f t="shared" si="25"/>
        <v>1080394.58</v>
      </c>
      <c r="M49" s="255">
        <f t="shared" si="26"/>
        <v>519605.41999999993</v>
      </c>
      <c r="N49" s="255"/>
      <c r="O49" s="255">
        <f t="shared" si="5"/>
        <v>0</v>
      </c>
      <c r="P49" s="255">
        <f t="shared" si="6"/>
        <v>519605.41999999993</v>
      </c>
      <c r="Q49" s="255"/>
      <c r="R49" s="255"/>
      <c r="S49" s="255">
        <f>SUM(Q49:R49)</f>
        <v>0</v>
      </c>
      <c r="T49" s="255">
        <f t="shared" si="8"/>
        <v>0</v>
      </c>
      <c r="U49" s="255">
        <f t="shared" si="19"/>
        <v>0</v>
      </c>
      <c r="V49" s="255">
        <f>U49-Z49-X49-Y49</f>
        <v>0</v>
      </c>
      <c r="W49" s="255"/>
      <c r="X49" s="255"/>
      <c r="Y49" s="255"/>
      <c r="Z49" s="254"/>
      <c r="AA49" s="528">
        <v>829000</v>
      </c>
      <c r="AB49" s="325"/>
      <c r="AC49" s="260"/>
      <c r="AD49" s="260"/>
      <c r="AE49" s="260"/>
      <c r="AF49" s="260"/>
      <c r="AG49" s="260"/>
      <c r="AH49" s="260"/>
      <c r="AI49" s="260"/>
      <c r="AJ49" s="260"/>
      <c r="AK49" s="254">
        <f t="shared" si="20"/>
        <v>0</v>
      </c>
      <c r="AL49" s="255"/>
      <c r="AM49" s="255">
        <f t="shared" si="11"/>
        <v>0</v>
      </c>
      <c r="AN49" s="255">
        <f t="shared" si="12"/>
        <v>0</v>
      </c>
      <c r="AO49" s="255">
        <f t="shared" si="13"/>
        <v>0</v>
      </c>
      <c r="AP49" s="255"/>
      <c r="AQ49" s="255"/>
      <c r="AR49" s="255"/>
      <c r="AS49" s="255"/>
      <c r="AT49" s="255">
        <f t="shared" si="14"/>
        <v>0</v>
      </c>
      <c r="AU49" s="255"/>
      <c r="AV49" s="255"/>
      <c r="AW49" s="255"/>
      <c r="AX49" s="255"/>
      <c r="AY49" s="255">
        <f t="shared" si="15"/>
        <v>0</v>
      </c>
      <c r="AZ49" s="255"/>
      <c r="BA49" s="255"/>
      <c r="BB49" s="255"/>
      <c r="BC49" s="255"/>
    </row>
    <row r="50" spans="1:55">
      <c r="A50" s="254">
        <f t="shared" si="16"/>
        <v>46</v>
      </c>
      <c r="B50" s="254">
        <v>1806</v>
      </c>
      <c r="C50" s="254" t="s">
        <v>216</v>
      </c>
      <c r="D50" s="255">
        <v>500000</v>
      </c>
      <c r="E50" s="255">
        <v>500000</v>
      </c>
      <c r="F50" s="255">
        <f t="shared" si="0"/>
        <v>0</v>
      </c>
      <c r="G50" s="255">
        <v>350000</v>
      </c>
      <c r="H50" s="255">
        <v>55809</v>
      </c>
      <c r="I50" s="255"/>
      <c r="J50" s="255">
        <v>143325</v>
      </c>
      <c r="K50" s="255">
        <f t="shared" si="1"/>
        <v>143325</v>
      </c>
      <c r="L50" s="255">
        <f t="shared" si="25"/>
        <v>199134</v>
      </c>
      <c r="M50" s="255">
        <f t="shared" si="26"/>
        <v>150866</v>
      </c>
      <c r="N50" s="255"/>
      <c r="O50" s="255">
        <f t="shared" si="5"/>
        <v>150000</v>
      </c>
      <c r="P50" s="255">
        <f t="shared" si="6"/>
        <v>150866</v>
      </c>
      <c r="Q50" s="255"/>
      <c r="R50" s="255"/>
      <c r="S50" s="255">
        <f t="shared" si="18"/>
        <v>0</v>
      </c>
      <c r="T50" s="255">
        <f t="shared" si="8"/>
        <v>0</v>
      </c>
      <c r="U50" s="255">
        <f t="shared" si="19"/>
        <v>0</v>
      </c>
      <c r="V50" s="255">
        <f>U50-X50-Y50-Z50</f>
        <v>0</v>
      </c>
      <c r="W50" s="255"/>
      <c r="X50" s="255"/>
      <c r="Y50" s="255"/>
      <c r="Z50" s="254"/>
      <c r="AA50" s="528">
        <v>732000</v>
      </c>
      <c r="AB50" s="534"/>
      <c r="AC50" s="255"/>
      <c r="AD50" s="255"/>
      <c r="AE50" s="255"/>
      <c r="AF50" s="255"/>
      <c r="AG50" s="255"/>
      <c r="AH50" s="255"/>
      <c r="AI50" s="255"/>
      <c r="AJ50" s="255"/>
      <c r="AK50" s="255">
        <f t="shared" si="20"/>
        <v>0</v>
      </c>
      <c r="AL50" s="255"/>
      <c r="AM50" s="255">
        <f t="shared" si="11"/>
        <v>0</v>
      </c>
      <c r="AN50" s="255">
        <f t="shared" si="12"/>
        <v>0</v>
      </c>
      <c r="AO50" s="255">
        <f t="shared" si="13"/>
        <v>0</v>
      </c>
      <c r="AP50" s="255"/>
      <c r="AQ50" s="255"/>
      <c r="AR50" s="255"/>
      <c r="AS50" s="255"/>
      <c r="AT50" s="255">
        <f t="shared" si="14"/>
        <v>0</v>
      </c>
      <c r="AU50" s="255"/>
      <c r="AV50" s="255"/>
      <c r="AW50" s="255"/>
      <c r="AX50" s="255"/>
      <c r="AY50" s="255">
        <f t="shared" si="15"/>
        <v>0</v>
      </c>
      <c r="AZ50" s="255"/>
      <c r="BA50" s="255"/>
      <c r="BB50" s="255"/>
      <c r="BC50" s="255"/>
    </row>
    <row r="51" spans="1:55" ht="28">
      <c r="A51" s="254">
        <f t="shared" si="16"/>
        <v>47</v>
      </c>
      <c r="B51" s="244">
        <v>1807</v>
      </c>
      <c r="C51" s="244" t="s">
        <v>930</v>
      </c>
      <c r="D51" s="255">
        <v>2700000</v>
      </c>
      <c r="E51" s="255">
        <v>2700000</v>
      </c>
      <c r="F51" s="255">
        <f t="shared" si="0"/>
        <v>0</v>
      </c>
      <c r="G51" s="255">
        <v>2700000</v>
      </c>
      <c r="H51" s="255">
        <v>2017606</v>
      </c>
      <c r="I51" s="255"/>
      <c r="J51" s="255">
        <v>578039.97</v>
      </c>
      <c r="K51" s="255">
        <f t="shared" si="1"/>
        <v>578039.97</v>
      </c>
      <c r="L51" s="255">
        <f t="shared" si="25"/>
        <v>2595645.9699999997</v>
      </c>
      <c r="M51" s="255">
        <f t="shared" si="26"/>
        <v>104354.03000000026</v>
      </c>
      <c r="N51" s="255"/>
      <c r="O51" s="255">
        <f t="shared" si="5"/>
        <v>0</v>
      </c>
      <c r="P51" s="255">
        <f t="shared" si="6"/>
        <v>104354.03000000026</v>
      </c>
      <c r="Q51" s="255"/>
      <c r="R51" s="255"/>
      <c r="S51" s="255">
        <f t="shared" si="18"/>
        <v>0</v>
      </c>
      <c r="T51" s="255">
        <f t="shared" si="8"/>
        <v>0</v>
      </c>
      <c r="U51" s="255">
        <f t="shared" si="19"/>
        <v>0</v>
      </c>
      <c r="V51" s="255">
        <f>U51-X51-Y51-Z51</f>
        <v>0</v>
      </c>
      <c r="W51" s="255"/>
      <c r="X51" s="255"/>
      <c r="Y51" s="255"/>
      <c r="Z51" s="254"/>
      <c r="AA51" s="528">
        <v>742000</v>
      </c>
      <c r="AB51" s="460"/>
      <c r="AC51" s="255"/>
      <c r="AD51" s="255"/>
      <c r="AE51" s="255"/>
      <c r="AF51" s="255"/>
      <c r="AG51" s="255"/>
      <c r="AH51" s="255"/>
      <c r="AI51" s="255"/>
      <c r="AJ51" s="255"/>
      <c r="AK51" s="255">
        <f t="shared" si="20"/>
        <v>0</v>
      </c>
      <c r="AL51" s="255"/>
      <c r="AM51" s="255">
        <f t="shared" si="11"/>
        <v>0</v>
      </c>
      <c r="AN51" s="255">
        <f t="shared" si="12"/>
        <v>0</v>
      </c>
      <c r="AO51" s="255">
        <f t="shared" si="13"/>
        <v>0</v>
      </c>
      <c r="AP51" s="255"/>
      <c r="AQ51" s="255"/>
      <c r="AR51" s="255"/>
      <c r="AS51" s="255"/>
      <c r="AT51" s="255">
        <f t="shared" si="14"/>
        <v>0</v>
      </c>
      <c r="AU51" s="255"/>
      <c r="AV51" s="255"/>
      <c r="AW51" s="255"/>
      <c r="AX51" s="255"/>
      <c r="AY51" s="255">
        <f t="shared" si="15"/>
        <v>0</v>
      </c>
      <c r="AZ51" s="255"/>
      <c r="BA51" s="255"/>
      <c r="BB51" s="255"/>
      <c r="BC51" s="255"/>
    </row>
    <row r="52" spans="1:55">
      <c r="A52" s="254">
        <f t="shared" si="16"/>
        <v>48</v>
      </c>
      <c r="B52" s="254">
        <v>1808</v>
      </c>
      <c r="C52" s="254" t="s">
        <v>186</v>
      </c>
      <c r="D52" s="255">
        <f>1400000+400000</f>
        <v>1800000</v>
      </c>
      <c r="E52" s="255">
        <v>1400000</v>
      </c>
      <c r="F52" s="255">
        <f t="shared" si="0"/>
        <v>400000</v>
      </c>
      <c r="G52" s="255">
        <v>1400000</v>
      </c>
      <c r="H52" s="255">
        <v>117506</v>
      </c>
      <c r="I52" s="255"/>
      <c r="J52" s="255">
        <v>232204.61</v>
      </c>
      <c r="K52" s="255">
        <f t="shared" si="1"/>
        <v>232204.61</v>
      </c>
      <c r="L52" s="255">
        <f t="shared" si="25"/>
        <v>349710.61</v>
      </c>
      <c r="M52" s="255">
        <f t="shared" si="26"/>
        <v>1050289.3900000001</v>
      </c>
      <c r="N52" s="255">
        <v>400000</v>
      </c>
      <c r="O52" s="255">
        <f t="shared" si="5"/>
        <v>0</v>
      </c>
      <c r="P52" s="255">
        <f t="shared" si="6"/>
        <v>1050289.3900000001</v>
      </c>
      <c r="Q52" s="255"/>
      <c r="R52" s="255"/>
      <c r="S52" s="255">
        <f t="shared" ref="S52:S80" si="27">SUM(Q52:R52)</f>
        <v>0</v>
      </c>
      <c r="T52" s="255">
        <f t="shared" si="8"/>
        <v>0</v>
      </c>
      <c r="U52" s="255">
        <f t="shared" si="19"/>
        <v>400000</v>
      </c>
      <c r="V52" s="255">
        <f>U52-X52-Y52-Z52</f>
        <v>400000</v>
      </c>
      <c r="W52" s="255"/>
      <c r="X52" s="255"/>
      <c r="Y52" s="255"/>
      <c r="Z52" s="254"/>
      <c r="AA52" s="528">
        <v>742000</v>
      </c>
      <c r="AB52" s="267"/>
      <c r="AC52" s="255"/>
      <c r="AD52" s="255">
        <v>400000</v>
      </c>
      <c r="AE52" s="255"/>
      <c r="AF52" s="255"/>
      <c r="AG52" s="255"/>
      <c r="AH52" s="255"/>
      <c r="AI52" s="255"/>
      <c r="AJ52" s="255"/>
      <c r="AK52" s="255">
        <f t="shared" si="20"/>
        <v>400000</v>
      </c>
      <c r="AL52" s="255"/>
      <c r="AM52" s="255">
        <f t="shared" si="11"/>
        <v>400000</v>
      </c>
      <c r="AN52" s="255">
        <f t="shared" si="12"/>
        <v>0</v>
      </c>
      <c r="AO52" s="255">
        <f t="shared" si="13"/>
        <v>400000</v>
      </c>
      <c r="AP52" s="255"/>
      <c r="AQ52" s="255"/>
      <c r="AR52" s="255"/>
      <c r="AS52" s="255"/>
      <c r="AT52" s="255">
        <f t="shared" si="14"/>
        <v>0</v>
      </c>
      <c r="AU52" s="255"/>
      <c r="AV52" s="255"/>
      <c r="AW52" s="255"/>
      <c r="AX52" s="255"/>
      <c r="AY52" s="255">
        <f t="shared" si="15"/>
        <v>0</v>
      </c>
      <c r="AZ52" s="255"/>
      <c r="BA52" s="255"/>
      <c r="BB52" s="255"/>
      <c r="BC52" s="255"/>
    </row>
    <row r="53" spans="1:55">
      <c r="A53" s="254">
        <f t="shared" si="16"/>
        <v>49</v>
      </c>
      <c r="B53" s="460">
        <v>1809</v>
      </c>
      <c r="C53" s="254" t="s">
        <v>187</v>
      </c>
      <c r="D53" s="255">
        <v>680000</v>
      </c>
      <c r="E53" s="255">
        <v>680000</v>
      </c>
      <c r="F53" s="255">
        <f t="shared" si="0"/>
        <v>0</v>
      </c>
      <c r="G53" s="255">
        <v>680000</v>
      </c>
      <c r="H53" s="255">
        <v>260545</v>
      </c>
      <c r="I53" s="255"/>
      <c r="J53" s="255">
        <v>413976.2</v>
      </c>
      <c r="K53" s="255">
        <f t="shared" si="1"/>
        <v>413976.2</v>
      </c>
      <c r="L53" s="255">
        <f t="shared" si="25"/>
        <v>674521.2</v>
      </c>
      <c r="M53" s="255">
        <f t="shared" si="26"/>
        <v>5478.8000000000466</v>
      </c>
      <c r="N53" s="255"/>
      <c r="O53" s="255">
        <f t="shared" si="5"/>
        <v>0</v>
      </c>
      <c r="P53" s="255">
        <f t="shared" si="6"/>
        <v>5478.8000000000466</v>
      </c>
      <c r="Q53" s="255"/>
      <c r="R53" s="255"/>
      <c r="S53" s="255">
        <f t="shared" si="27"/>
        <v>0</v>
      </c>
      <c r="T53" s="255">
        <f t="shared" si="8"/>
        <v>0</v>
      </c>
      <c r="U53" s="255">
        <f t="shared" si="19"/>
        <v>0</v>
      </c>
      <c r="V53" s="255">
        <f>U53-X53-Y53-Z53</f>
        <v>0</v>
      </c>
      <c r="W53" s="255"/>
      <c r="X53" s="255"/>
      <c r="Y53" s="255"/>
      <c r="Z53" s="254"/>
      <c r="AA53" s="528">
        <v>742000</v>
      </c>
      <c r="AB53" s="267"/>
      <c r="AC53" s="255"/>
      <c r="AD53" s="255"/>
      <c r="AE53" s="255"/>
      <c r="AF53" s="255"/>
      <c r="AG53" s="255"/>
      <c r="AH53" s="255"/>
      <c r="AI53" s="255"/>
      <c r="AJ53" s="255"/>
      <c r="AK53" s="255">
        <f t="shared" si="20"/>
        <v>0</v>
      </c>
      <c r="AL53" s="255"/>
      <c r="AM53" s="255">
        <f t="shared" si="11"/>
        <v>0</v>
      </c>
      <c r="AN53" s="255">
        <f t="shared" si="12"/>
        <v>0</v>
      </c>
      <c r="AO53" s="255">
        <f t="shared" si="13"/>
        <v>0</v>
      </c>
      <c r="AP53" s="255"/>
      <c r="AQ53" s="255"/>
      <c r="AR53" s="255"/>
      <c r="AS53" s="255"/>
      <c r="AT53" s="255">
        <f t="shared" si="14"/>
        <v>0</v>
      </c>
      <c r="AU53" s="255"/>
      <c r="AV53" s="255"/>
      <c r="AW53" s="255"/>
      <c r="AX53" s="255"/>
      <c r="AY53" s="255">
        <f t="shared" si="15"/>
        <v>0</v>
      </c>
      <c r="AZ53" s="255"/>
      <c r="BA53" s="255"/>
      <c r="BB53" s="255"/>
      <c r="BC53" s="255"/>
    </row>
    <row r="54" spans="1:55">
      <c r="A54" s="254">
        <f t="shared" si="16"/>
        <v>50</v>
      </c>
      <c r="B54" s="264">
        <v>1819</v>
      </c>
      <c r="C54" s="254" t="s">
        <v>185</v>
      </c>
      <c r="D54" s="255">
        <v>18000000</v>
      </c>
      <c r="E54" s="255">
        <v>18000000</v>
      </c>
      <c r="F54" s="255">
        <f t="shared" si="0"/>
        <v>0</v>
      </c>
      <c r="G54" s="255">
        <v>400000</v>
      </c>
      <c r="H54" s="255">
        <v>238944.1</v>
      </c>
      <c r="I54" s="255"/>
      <c r="J54" s="255">
        <v>152289.18</v>
      </c>
      <c r="K54" s="255">
        <f t="shared" si="1"/>
        <v>152289.18</v>
      </c>
      <c r="L54" s="255">
        <f t="shared" si="25"/>
        <v>391233.28000000003</v>
      </c>
      <c r="M54" s="255">
        <f t="shared" si="26"/>
        <v>1808766.72</v>
      </c>
      <c r="N54" s="255">
        <f>15600000+200000-8800000</f>
        <v>7000000</v>
      </c>
      <c r="O54" s="255">
        <f t="shared" si="5"/>
        <v>8799999.9999999981</v>
      </c>
      <c r="P54" s="255">
        <f t="shared" si="6"/>
        <v>8766.7199999999721</v>
      </c>
      <c r="Q54" s="423">
        <f>2000000-200000</f>
        <v>1800000</v>
      </c>
      <c r="R54" s="255"/>
      <c r="S54" s="255">
        <f t="shared" si="27"/>
        <v>1800000</v>
      </c>
      <c r="T54" s="255">
        <f t="shared" si="8"/>
        <v>0</v>
      </c>
      <c r="U54" s="255">
        <f t="shared" si="19"/>
        <v>7000000</v>
      </c>
      <c r="V54" s="255">
        <f>U54-X54-Y54-Z54</f>
        <v>7000000</v>
      </c>
      <c r="W54" s="255"/>
      <c r="X54" s="255"/>
      <c r="Y54" s="255"/>
      <c r="Z54" s="254"/>
      <c r="AA54" s="528">
        <v>742000</v>
      </c>
      <c r="AB54" s="267"/>
      <c r="AC54" s="255"/>
      <c r="AD54" s="255"/>
      <c r="AE54" s="255"/>
      <c r="AF54" s="255"/>
      <c r="AG54" s="255"/>
      <c r="AH54" s="255"/>
      <c r="AI54" s="255"/>
      <c r="AJ54" s="255"/>
      <c r="AK54" s="255">
        <f t="shared" si="20"/>
        <v>0</v>
      </c>
      <c r="AL54" s="255">
        <v>7000000</v>
      </c>
      <c r="AM54" s="255">
        <f t="shared" si="11"/>
        <v>7000000</v>
      </c>
      <c r="AN54" s="255">
        <f t="shared" si="12"/>
        <v>0</v>
      </c>
      <c r="AO54" s="255">
        <f t="shared" si="13"/>
        <v>7000000</v>
      </c>
      <c r="AP54" s="255"/>
      <c r="AQ54" s="255"/>
      <c r="AR54" s="255"/>
      <c r="AS54" s="255"/>
      <c r="AT54" s="255">
        <f t="shared" si="14"/>
        <v>7000000</v>
      </c>
      <c r="AU54" s="255"/>
      <c r="AV54" s="255"/>
      <c r="AW54" s="255"/>
      <c r="AX54" s="255"/>
      <c r="AY54" s="255">
        <f t="shared" si="15"/>
        <v>0</v>
      </c>
      <c r="AZ54" s="255"/>
      <c r="BA54" s="255"/>
      <c r="BB54" s="255"/>
      <c r="BC54" s="255"/>
    </row>
    <row r="55" spans="1:55" s="258" customFormat="1" ht="28">
      <c r="A55" s="254">
        <f t="shared" si="16"/>
        <v>51</v>
      </c>
      <c r="B55" s="254">
        <v>1825</v>
      </c>
      <c r="C55" s="254" t="s">
        <v>604</v>
      </c>
      <c r="D55" s="255">
        <f>35000000+1000000</f>
        <v>36000000</v>
      </c>
      <c r="E55" s="255">
        <v>35000000</v>
      </c>
      <c r="F55" s="255">
        <f t="shared" si="0"/>
        <v>1000000</v>
      </c>
      <c r="G55" s="255">
        <f>5900000+817010+7982160</f>
        <v>14699170</v>
      </c>
      <c r="H55" s="255">
        <v>1049503</v>
      </c>
      <c r="I55" s="255"/>
      <c r="J55" s="255">
        <v>319673.84000000003</v>
      </c>
      <c r="K55" s="255">
        <f t="shared" si="1"/>
        <v>319673.84000000003</v>
      </c>
      <c r="L55" s="255">
        <f t="shared" si="25"/>
        <v>1369176.84</v>
      </c>
      <c r="M55" s="255">
        <f t="shared" si="26"/>
        <v>13329993.16</v>
      </c>
      <c r="N55" s="255">
        <f>21300000+830</f>
        <v>21300830</v>
      </c>
      <c r="O55" s="255">
        <f t="shared" si="5"/>
        <v>0</v>
      </c>
      <c r="P55" s="255">
        <f t="shared" si="6"/>
        <v>13329993.16</v>
      </c>
      <c r="Q55" s="255"/>
      <c r="R55" s="269"/>
      <c r="S55" s="255">
        <f>SUM(Q55:R55)</f>
        <v>0</v>
      </c>
      <c r="T55" s="255">
        <f t="shared" si="8"/>
        <v>0</v>
      </c>
      <c r="U55" s="255">
        <f t="shared" si="19"/>
        <v>21300830</v>
      </c>
      <c r="V55" s="255">
        <f>U55-Z55-X55-Y55</f>
        <v>13318670</v>
      </c>
      <c r="W55" s="255"/>
      <c r="X55" s="255"/>
      <c r="Y55" s="255"/>
      <c r="Z55" s="255">
        <v>7982160</v>
      </c>
      <c r="AA55" s="528">
        <v>810000</v>
      </c>
      <c r="AB55" s="254"/>
      <c r="AC55" s="255">
        <v>4500000</v>
      </c>
      <c r="AD55" s="255"/>
      <c r="AE55" s="255">
        <v>3000000</v>
      </c>
      <c r="AF55" s="255">
        <v>1500000</v>
      </c>
      <c r="AG55" s="255">
        <v>2500000</v>
      </c>
      <c r="AH55" s="255">
        <v>1000000</v>
      </c>
      <c r="AI55" s="255"/>
      <c r="AJ55" s="255"/>
      <c r="AK55" s="255">
        <f t="shared" si="20"/>
        <v>12500000</v>
      </c>
      <c r="AL55" s="255"/>
      <c r="AM55" s="255">
        <f t="shared" si="11"/>
        <v>12500000</v>
      </c>
      <c r="AN55" s="255">
        <f t="shared" si="12"/>
        <v>8800830</v>
      </c>
      <c r="AO55" s="255">
        <f t="shared" si="13"/>
        <v>12007293</v>
      </c>
      <c r="AP55" s="255"/>
      <c r="AQ55" s="255"/>
      <c r="AR55" s="255"/>
      <c r="AS55" s="255">
        <v>492707</v>
      </c>
      <c r="AT55" s="255">
        <f t="shared" si="14"/>
        <v>0</v>
      </c>
      <c r="AU55" s="255"/>
      <c r="AV55" s="255"/>
      <c r="AW55" s="255"/>
      <c r="AX55" s="255"/>
      <c r="AY55" s="255">
        <f t="shared" si="15"/>
        <v>1311377</v>
      </c>
      <c r="AZ55" s="255"/>
      <c r="BA55" s="255"/>
      <c r="BB55" s="255"/>
      <c r="BC55" s="255">
        <f>7982160-492707</f>
        <v>7489453</v>
      </c>
    </row>
    <row r="56" spans="1:55">
      <c r="A56" s="254">
        <f t="shared" si="16"/>
        <v>52</v>
      </c>
      <c r="B56" s="264">
        <v>1833</v>
      </c>
      <c r="C56" s="254" t="s">
        <v>208</v>
      </c>
      <c r="D56" s="255">
        <f>20000000+4000000</f>
        <v>24000000</v>
      </c>
      <c r="E56" s="255">
        <v>20000000</v>
      </c>
      <c r="F56" s="255">
        <f t="shared" si="0"/>
        <v>4000000</v>
      </c>
      <c r="G56" s="255">
        <v>500000</v>
      </c>
      <c r="H56" s="255">
        <v>2480</v>
      </c>
      <c r="I56" s="255"/>
      <c r="J56" s="255">
        <v>497517.93</v>
      </c>
      <c r="K56" s="255">
        <f t="shared" si="1"/>
        <v>497517.93</v>
      </c>
      <c r="L56" s="255">
        <f t="shared" si="25"/>
        <v>499997.93</v>
      </c>
      <c r="M56" s="255">
        <f t="shared" si="26"/>
        <v>2.0700000000069849</v>
      </c>
      <c r="N56" s="255">
        <v>14400000</v>
      </c>
      <c r="O56" s="255">
        <f t="shared" si="5"/>
        <v>9100000</v>
      </c>
      <c r="P56" s="255">
        <f t="shared" si="6"/>
        <v>2.0700000000069849</v>
      </c>
      <c r="Q56" s="255"/>
      <c r="R56" s="255"/>
      <c r="S56" s="255">
        <f t="shared" si="27"/>
        <v>0</v>
      </c>
      <c r="T56" s="255">
        <f t="shared" si="8"/>
        <v>0</v>
      </c>
      <c r="U56" s="255">
        <f t="shared" si="19"/>
        <v>14400000</v>
      </c>
      <c r="V56" s="255">
        <f>U56-X56-Y56-Z56</f>
        <v>0</v>
      </c>
      <c r="W56" s="255"/>
      <c r="X56" s="255"/>
      <c r="Y56" s="255"/>
      <c r="Z56" s="255">
        <v>14400000</v>
      </c>
      <c r="AA56" s="528">
        <v>829000</v>
      </c>
      <c r="AB56" s="267"/>
      <c r="AC56" s="255"/>
      <c r="AD56" s="255"/>
      <c r="AE56" s="255"/>
      <c r="AF56" s="255"/>
      <c r="AG56" s="255"/>
      <c r="AH56" s="255"/>
      <c r="AI56" s="255"/>
      <c r="AJ56" s="255"/>
      <c r="AK56" s="255">
        <f t="shared" si="20"/>
        <v>0</v>
      </c>
      <c r="AL56" s="255"/>
      <c r="AM56" s="255">
        <f t="shared" si="11"/>
        <v>0</v>
      </c>
      <c r="AN56" s="255">
        <f t="shared" si="12"/>
        <v>14400000</v>
      </c>
      <c r="AO56" s="255">
        <f t="shared" si="13"/>
        <v>0</v>
      </c>
      <c r="AP56" s="255"/>
      <c r="AQ56" s="255"/>
      <c r="AR56" s="255"/>
      <c r="AS56" s="255"/>
      <c r="AT56" s="255">
        <f t="shared" si="14"/>
        <v>0</v>
      </c>
      <c r="AU56" s="255"/>
      <c r="AV56" s="255"/>
      <c r="AW56" s="255"/>
      <c r="AX56" s="255"/>
      <c r="AY56" s="255">
        <f t="shared" si="15"/>
        <v>0</v>
      </c>
      <c r="AZ56" s="255"/>
      <c r="BA56" s="255"/>
      <c r="BB56" s="255"/>
      <c r="BC56" s="255">
        <v>14400000</v>
      </c>
    </row>
    <row r="57" spans="1:55" s="258" customFormat="1">
      <c r="A57" s="254">
        <f t="shared" si="16"/>
        <v>53</v>
      </c>
      <c r="B57" s="254">
        <v>1834</v>
      </c>
      <c r="C57" s="254" t="s">
        <v>192</v>
      </c>
      <c r="D57" s="255">
        <f>40000000+20000000</f>
        <v>60000000</v>
      </c>
      <c r="E57" s="255">
        <v>40000000</v>
      </c>
      <c r="F57" s="255">
        <f t="shared" si="0"/>
        <v>20000000</v>
      </c>
      <c r="G57" s="255">
        <v>350000</v>
      </c>
      <c r="H57" s="255">
        <v>32256</v>
      </c>
      <c r="I57" s="255"/>
      <c r="J57" s="255">
        <v>36152.370000000003</v>
      </c>
      <c r="K57" s="255">
        <f t="shared" si="1"/>
        <v>36152.370000000003</v>
      </c>
      <c r="L57" s="255">
        <f t="shared" si="25"/>
        <v>68408.37</v>
      </c>
      <c r="M57" s="255">
        <f t="shared" si="26"/>
        <v>2031591.63</v>
      </c>
      <c r="N57" s="255">
        <v>3000000</v>
      </c>
      <c r="O57" s="255">
        <f t="shared" si="5"/>
        <v>54900000</v>
      </c>
      <c r="P57" s="255">
        <f t="shared" si="6"/>
        <v>281591.63</v>
      </c>
      <c r="Q57" s="423">
        <v>1750000</v>
      </c>
      <c r="R57" s="255"/>
      <c r="S57" s="255">
        <f>SUM(Q57:R57)</f>
        <v>1750000</v>
      </c>
      <c r="T57" s="255">
        <f t="shared" si="8"/>
        <v>0</v>
      </c>
      <c r="U57" s="255">
        <f t="shared" si="19"/>
        <v>3000000</v>
      </c>
      <c r="V57" s="255">
        <f>U57-Z57-X57-Y57</f>
        <v>3000000</v>
      </c>
      <c r="W57" s="255"/>
      <c r="X57" s="255"/>
      <c r="Y57" s="255"/>
      <c r="Z57" s="254"/>
      <c r="AA57" s="528">
        <v>824000</v>
      </c>
      <c r="AB57" s="254"/>
      <c r="AC57" s="255"/>
      <c r="AD57" s="255"/>
      <c r="AE57" s="255"/>
      <c r="AF57" s="255"/>
      <c r="AG57" s="255"/>
      <c r="AH57" s="255"/>
      <c r="AI57" s="255"/>
      <c r="AJ57" s="255"/>
      <c r="AK57" s="255">
        <f t="shared" si="20"/>
        <v>0</v>
      </c>
      <c r="AL57" s="255">
        <v>3000000</v>
      </c>
      <c r="AM57" s="255">
        <f t="shared" si="11"/>
        <v>3000000</v>
      </c>
      <c r="AN57" s="255">
        <f t="shared" si="12"/>
        <v>0</v>
      </c>
      <c r="AO57" s="255">
        <f t="shared" si="13"/>
        <v>3000000</v>
      </c>
      <c r="AP57" s="255"/>
      <c r="AQ57" s="255"/>
      <c r="AR57" s="255"/>
      <c r="AS57" s="255"/>
      <c r="AT57" s="255">
        <f t="shared" si="14"/>
        <v>3000000</v>
      </c>
      <c r="AU57" s="255"/>
      <c r="AV57" s="255"/>
      <c r="AW57" s="255"/>
      <c r="AX57" s="255"/>
      <c r="AY57" s="255">
        <f t="shared" si="15"/>
        <v>0</v>
      </c>
      <c r="AZ57" s="255"/>
      <c r="BA57" s="255"/>
      <c r="BB57" s="255"/>
      <c r="BC57" s="255"/>
    </row>
    <row r="58" spans="1:55" s="258" customFormat="1">
      <c r="A58" s="254">
        <f t="shared" si="16"/>
        <v>54</v>
      </c>
      <c r="B58" s="254">
        <v>1835</v>
      </c>
      <c r="C58" s="254" t="s">
        <v>193</v>
      </c>
      <c r="D58" s="255">
        <f>30000000+28000000</f>
        <v>58000000</v>
      </c>
      <c r="E58" s="255">
        <v>30000000</v>
      </c>
      <c r="F58" s="255">
        <f t="shared" si="0"/>
        <v>28000000</v>
      </c>
      <c r="G58" s="255">
        <f>400000+200000</f>
        <v>600000</v>
      </c>
      <c r="H58" s="255">
        <v>168842</v>
      </c>
      <c r="I58" s="255"/>
      <c r="J58" s="255">
        <v>173361.47</v>
      </c>
      <c r="K58" s="255">
        <f t="shared" si="1"/>
        <v>173361.47</v>
      </c>
      <c r="L58" s="255">
        <f t="shared" si="25"/>
        <v>342203.47</v>
      </c>
      <c r="M58" s="255">
        <f t="shared" si="26"/>
        <v>3057796.5300000003</v>
      </c>
      <c r="N58" s="255">
        <f>11500000-3000000</f>
        <v>8500000</v>
      </c>
      <c r="O58" s="255">
        <f t="shared" si="5"/>
        <v>46100000</v>
      </c>
      <c r="P58" s="255">
        <f t="shared" si="6"/>
        <v>257796.53000000003</v>
      </c>
      <c r="Q58" s="423">
        <f>2800000+200000-200000</f>
        <v>2800000</v>
      </c>
      <c r="R58" s="255"/>
      <c r="S58" s="255">
        <f>SUM(Q58:R58)</f>
        <v>2800000</v>
      </c>
      <c r="T58" s="255">
        <f t="shared" si="8"/>
        <v>0</v>
      </c>
      <c r="U58" s="255">
        <f t="shared" si="19"/>
        <v>8500000</v>
      </c>
      <c r="V58" s="255">
        <f>U58-Z58-X58-Y58</f>
        <v>8500000</v>
      </c>
      <c r="W58" s="255"/>
      <c r="X58" s="255"/>
      <c r="Y58" s="255"/>
      <c r="Z58" s="254"/>
      <c r="AA58" s="528">
        <v>824000</v>
      </c>
      <c r="AB58" s="254"/>
      <c r="AC58" s="255"/>
      <c r="AD58" s="255"/>
      <c r="AE58" s="255"/>
      <c r="AF58" s="255"/>
      <c r="AG58" s="255"/>
      <c r="AH58" s="255"/>
      <c r="AI58" s="255"/>
      <c r="AJ58" s="255"/>
      <c r="AK58" s="255">
        <f t="shared" si="20"/>
        <v>0</v>
      </c>
      <c r="AL58" s="255">
        <v>8500000</v>
      </c>
      <c r="AM58" s="255">
        <f t="shared" si="11"/>
        <v>8500000</v>
      </c>
      <c r="AN58" s="255">
        <f t="shared" si="12"/>
        <v>0</v>
      </c>
      <c r="AO58" s="255">
        <f t="shared" si="13"/>
        <v>8500000</v>
      </c>
      <c r="AP58" s="255"/>
      <c r="AQ58" s="255"/>
      <c r="AR58" s="255"/>
      <c r="AS58" s="255"/>
      <c r="AT58" s="255">
        <f t="shared" si="14"/>
        <v>8500000</v>
      </c>
      <c r="AU58" s="255"/>
      <c r="AV58" s="255"/>
      <c r="AW58" s="255"/>
      <c r="AX58" s="255"/>
      <c r="AY58" s="255">
        <f t="shared" si="15"/>
        <v>0</v>
      </c>
      <c r="AZ58" s="255"/>
      <c r="BA58" s="255"/>
      <c r="BB58" s="255"/>
      <c r="BC58" s="255"/>
    </row>
    <row r="59" spans="1:55" s="258" customFormat="1">
      <c r="A59" s="254">
        <f t="shared" si="16"/>
        <v>55</v>
      </c>
      <c r="B59" s="254">
        <v>1836</v>
      </c>
      <c r="C59" s="254" t="s">
        <v>194</v>
      </c>
      <c r="D59" s="255">
        <v>500000</v>
      </c>
      <c r="E59" s="255">
        <v>500000</v>
      </c>
      <c r="F59" s="255">
        <f t="shared" si="0"/>
        <v>0</v>
      </c>
      <c r="G59" s="255">
        <v>500000</v>
      </c>
      <c r="H59" s="255">
        <v>125392</v>
      </c>
      <c r="I59" s="255"/>
      <c r="J59" s="255">
        <v>259732.76</v>
      </c>
      <c r="K59" s="255">
        <f t="shared" si="1"/>
        <v>259732.76</v>
      </c>
      <c r="L59" s="255">
        <f t="shared" si="25"/>
        <v>385124.76</v>
      </c>
      <c r="M59" s="255">
        <f t="shared" si="26"/>
        <v>114875.23999999999</v>
      </c>
      <c r="N59" s="255"/>
      <c r="O59" s="255">
        <f t="shared" si="5"/>
        <v>0</v>
      </c>
      <c r="P59" s="255">
        <f t="shared" si="6"/>
        <v>114875.23999999999</v>
      </c>
      <c r="Q59" s="255"/>
      <c r="R59" s="255"/>
      <c r="S59" s="255">
        <f>SUM(Q59:R59)</f>
        <v>0</v>
      </c>
      <c r="T59" s="255">
        <f t="shared" si="8"/>
        <v>0</v>
      </c>
      <c r="U59" s="255">
        <f t="shared" si="19"/>
        <v>0</v>
      </c>
      <c r="V59" s="255">
        <f>U59-Z59-X59-Y59</f>
        <v>0</v>
      </c>
      <c r="W59" s="255"/>
      <c r="X59" s="255"/>
      <c r="Y59" s="255"/>
      <c r="Z59" s="254"/>
      <c r="AA59" s="528">
        <v>930000</v>
      </c>
      <c r="AB59" s="254"/>
      <c r="AC59" s="255"/>
      <c r="AD59" s="255"/>
      <c r="AE59" s="255"/>
      <c r="AF59" s="255"/>
      <c r="AG59" s="255"/>
      <c r="AH59" s="255"/>
      <c r="AI59" s="255"/>
      <c r="AJ59" s="255"/>
      <c r="AK59" s="255">
        <f t="shared" si="20"/>
        <v>0</v>
      </c>
      <c r="AL59" s="255"/>
      <c r="AM59" s="255">
        <f t="shared" si="11"/>
        <v>0</v>
      </c>
      <c r="AN59" s="255">
        <f t="shared" si="12"/>
        <v>0</v>
      </c>
      <c r="AO59" s="255">
        <f t="shared" si="13"/>
        <v>0</v>
      </c>
      <c r="AP59" s="255"/>
      <c r="AQ59" s="255"/>
      <c r="AR59" s="255"/>
      <c r="AS59" s="255"/>
      <c r="AT59" s="255">
        <f t="shared" si="14"/>
        <v>0</v>
      </c>
      <c r="AU59" s="255"/>
      <c r="AV59" s="255"/>
      <c r="AW59" s="255"/>
      <c r="AX59" s="255"/>
      <c r="AY59" s="255">
        <f t="shared" si="15"/>
        <v>0</v>
      </c>
      <c r="AZ59" s="255"/>
      <c r="BA59" s="255"/>
      <c r="BB59" s="255"/>
      <c r="BC59" s="255"/>
    </row>
    <row r="60" spans="1:55">
      <c r="A60" s="254">
        <f t="shared" si="16"/>
        <v>56</v>
      </c>
      <c r="B60" s="264">
        <v>1837</v>
      </c>
      <c r="C60" s="254" t="s">
        <v>209</v>
      </c>
      <c r="D60" s="255">
        <f>3000000+200000</f>
        <v>3200000</v>
      </c>
      <c r="E60" s="255">
        <v>3000000</v>
      </c>
      <c r="F60" s="255">
        <f t="shared" si="0"/>
        <v>200000</v>
      </c>
      <c r="G60" s="255">
        <v>175000</v>
      </c>
      <c r="H60" s="255">
        <v>71033</v>
      </c>
      <c r="I60" s="255"/>
      <c r="J60" s="255">
        <v>28967.439999999999</v>
      </c>
      <c r="K60" s="255">
        <f t="shared" si="1"/>
        <v>28967.439999999999</v>
      </c>
      <c r="L60" s="255">
        <f t="shared" si="25"/>
        <v>100000.44</v>
      </c>
      <c r="M60" s="255">
        <f t="shared" si="26"/>
        <v>1899999.56</v>
      </c>
      <c r="N60" s="255">
        <f>1000000+200000</f>
        <v>1200000</v>
      </c>
      <c r="O60" s="255">
        <f t="shared" si="5"/>
        <v>0</v>
      </c>
      <c r="P60" s="255">
        <f t="shared" si="6"/>
        <v>74999.56</v>
      </c>
      <c r="Q60" s="423">
        <v>1825000</v>
      </c>
      <c r="R60" s="255"/>
      <c r="S60" s="255">
        <f t="shared" si="27"/>
        <v>1825000</v>
      </c>
      <c r="T60" s="255">
        <f t="shared" si="8"/>
        <v>0</v>
      </c>
      <c r="U60" s="255">
        <f t="shared" si="19"/>
        <v>1200000</v>
      </c>
      <c r="V60" s="255">
        <f t="shared" ref="V60:V67" si="28">U60-X60-Y60-Z60</f>
        <v>1200000</v>
      </c>
      <c r="W60" s="255"/>
      <c r="X60" s="255"/>
      <c r="Y60" s="255"/>
      <c r="Z60" s="254"/>
      <c r="AA60" s="528">
        <v>850000</v>
      </c>
      <c r="AB60" s="267"/>
      <c r="AC60" s="255"/>
      <c r="AD60" s="255"/>
      <c r="AE60" s="255"/>
      <c r="AF60" s="255"/>
      <c r="AG60" s="255"/>
      <c r="AH60" s="255">
        <v>1200000</v>
      </c>
      <c r="AI60" s="255"/>
      <c r="AJ60" s="255"/>
      <c r="AK60" s="255">
        <f t="shared" si="20"/>
        <v>1200000</v>
      </c>
      <c r="AL60" s="255"/>
      <c r="AM60" s="255">
        <f t="shared" si="11"/>
        <v>1200000</v>
      </c>
      <c r="AN60" s="255">
        <f t="shared" si="12"/>
        <v>0</v>
      </c>
      <c r="AO60" s="255">
        <f t="shared" si="13"/>
        <v>1200000</v>
      </c>
      <c r="AP60" s="255"/>
      <c r="AQ60" s="255"/>
      <c r="AR60" s="255"/>
      <c r="AS60" s="255"/>
      <c r="AT60" s="255">
        <f t="shared" si="14"/>
        <v>0</v>
      </c>
      <c r="AU60" s="255"/>
      <c r="AV60" s="255"/>
      <c r="AW60" s="255"/>
      <c r="AX60" s="255"/>
      <c r="AY60" s="255">
        <f t="shared" si="15"/>
        <v>0</v>
      </c>
      <c r="AZ60" s="255"/>
      <c r="BA60" s="255"/>
      <c r="BB60" s="255"/>
      <c r="BC60" s="255"/>
    </row>
    <row r="61" spans="1:55">
      <c r="A61" s="254">
        <f t="shared" si="16"/>
        <v>57</v>
      </c>
      <c r="B61" s="264">
        <v>1845</v>
      </c>
      <c r="C61" s="254" t="s">
        <v>210</v>
      </c>
      <c r="D61" s="255">
        <v>1500000</v>
      </c>
      <c r="E61" s="255">
        <v>1500000</v>
      </c>
      <c r="F61" s="255">
        <f t="shared" si="0"/>
        <v>0</v>
      </c>
      <c r="G61" s="255">
        <v>200000</v>
      </c>
      <c r="H61" s="255">
        <v>0</v>
      </c>
      <c r="I61" s="255"/>
      <c r="J61" s="255"/>
      <c r="K61" s="255">
        <f t="shared" si="1"/>
        <v>0</v>
      </c>
      <c r="L61" s="255">
        <f t="shared" si="25"/>
        <v>0</v>
      </c>
      <c r="M61" s="255">
        <f t="shared" si="26"/>
        <v>400000</v>
      </c>
      <c r="N61" s="255">
        <v>100000</v>
      </c>
      <c r="O61" s="255">
        <f t="shared" si="5"/>
        <v>1000000</v>
      </c>
      <c r="P61" s="255">
        <f t="shared" si="6"/>
        <v>200000</v>
      </c>
      <c r="Q61" s="423">
        <v>200000</v>
      </c>
      <c r="R61" s="255"/>
      <c r="S61" s="255">
        <f t="shared" si="27"/>
        <v>200000</v>
      </c>
      <c r="T61" s="255">
        <f t="shared" si="8"/>
        <v>0</v>
      </c>
      <c r="U61" s="255">
        <f t="shared" si="19"/>
        <v>100000</v>
      </c>
      <c r="V61" s="255">
        <f t="shared" si="28"/>
        <v>100000</v>
      </c>
      <c r="W61" s="255"/>
      <c r="X61" s="255"/>
      <c r="Y61" s="255"/>
      <c r="Z61" s="254"/>
      <c r="AA61" s="528">
        <v>742000</v>
      </c>
      <c r="AB61" s="267"/>
      <c r="AC61" s="255"/>
      <c r="AD61" s="255"/>
      <c r="AE61" s="255"/>
      <c r="AF61" s="255"/>
      <c r="AG61" s="255"/>
      <c r="AH61" s="255">
        <v>100000</v>
      </c>
      <c r="AI61" s="255"/>
      <c r="AJ61" s="255"/>
      <c r="AK61" s="255">
        <f t="shared" si="20"/>
        <v>100000</v>
      </c>
      <c r="AL61" s="255"/>
      <c r="AM61" s="255">
        <f t="shared" si="11"/>
        <v>100000</v>
      </c>
      <c r="AN61" s="255">
        <f t="shared" si="12"/>
        <v>0</v>
      </c>
      <c r="AO61" s="255">
        <f t="shared" si="13"/>
        <v>100000</v>
      </c>
      <c r="AP61" s="255"/>
      <c r="AQ61" s="255"/>
      <c r="AR61" s="255"/>
      <c r="AS61" s="255"/>
      <c r="AT61" s="255">
        <f t="shared" si="14"/>
        <v>0</v>
      </c>
      <c r="AU61" s="255"/>
      <c r="AV61" s="255"/>
      <c r="AW61" s="255"/>
      <c r="AX61" s="255"/>
      <c r="AY61" s="255">
        <f t="shared" si="15"/>
        <v>0</v>
      </c>
      <c r="AZ61" s="255"/>
      <c r="BA61" s="255"/>
      <c r="BB61" s="255"/>
      <c r="BC61" s="255"/>
    </row>
    <row r="62" spans="1:55">
      <c r="A62" s="254">
        <f t="shared" si="16"/>
        <v>58</v>
      </c>
      <c r="B62" s="264">
        <v>1846</v>
      </c>
      <c r="C62" s="254" t="s">
        <v>211</v>
      </c>
      <c r="D62" s="255">
        <v>2500000</v>
      </c>
      <c r="E62" s="255">
        <v>2500000</v>
      </c>
      <c r="F62" s="255">
        <f t="shared" si="0"/>
        <v>0</v>
      </c>
      <c r="G62" s="255">
        <v>2500000</v>
      </c>
      <c r="H62" s="255">
        <v>108356</v>
      </c>
      <c r="I62" s="255"/>
      <c r="J62" s="255">
        <v>391643.23</v>
      </c>
      <c r="K62" s="255">
        <f t="shared" si="1"/>
        <v>391643.23</v>
      </c>
      <c r="L62" s="255">
        <f>K62+H62</f>
        <v>499999.23</v>
      </c>
      <c r="M62" s="255">
        <f>P62+S62-1000000</f>
        <v>1000000.77</v>
      </c>
      <c r="N62" s="255"/>
      <c r="O62" s="255">
        <f t="shared" si="5"/>
        <v>1000000</v>
      </c>
      <c r="P62" s="255">
        <f t="shared" si="6"/>
        <v>2000000.77</v>
      </c>
      <c r="Q62" s="255"/>
      <c r="R62" s="255"/>
      <c r="S62" s="255">
        <f t="shared" si="27"/>
        <v>0</v>
      </c>
      <c r="T62" s="255">
        <f t="shared" si="8"/>
        <v>1000000</v>
      </c>
      <c r="U62" s="255">
        <f t="shared" si="19"/>
        <v>-1000000</v>
      </c>
      <c r="V62" s="255">
        <f t="shared" si="28"/>
        <v>-1000000</v>
      </c>
      <c r="W62" s="255"/>
      <c r="X62" s="255"/>
      <c r="Y62" s="255"/>
      <c r="Z62" s="254"/>
      <c r="AA62" s="528">
        <v>732000</v>
      </c>
      <c r="AB62" s="267"/>
      <c r="AC62" s="255"/>
      <c r="AD62" s="255"/>
      <c r="AE62" s="255"/>
      <c r="AF62" s="255"/>
      <c r="AG62" s="255"/>
      <c r="AH62" s="255"/>
      <c r="AI62" s="255"/>
      <c r="AJ62" s="255">
        <v>-1000000</v>
      </c>
      <c r="AK62" s="255">
        <f t="shared" si="20"/>
        <v>-1000000</v>
      </c>
      <c r="AL62" s="255"/>
      <c r="AM62" s="255">
        <f t="shared" si="11"/>
        <v>-1000000</v>
      </c>
      <c r="AN62" s="255">
        <f t="shared" si="12"/>
        <v>0</v>
      </c>
      <c r="AO62" s="255">
        <f t="shared" si="13"/>
        <v>-1000000</v>
      </c>
      <c r="AP62" s="255"/>
      <c r="AQ62" s="255"/>
      <c r="AR62" s="255"/>
      <c r="AS62" s="255"/>
      <c r="AT62" s="255">
        <f t="shared" si="14"/>
        <v>0</v>
      </c>
      <c r="AU62" s="255"/>
      <c r="AV62" s="255"/>
      <c r="AW62" s="255"/>
      <c r="AX62" s="255"/>
      <c r="AY62" s="255">
        <f t="shared" si="15"/>
        <v>0</v>
      </c>
      <c r="AZ62" s="255"/>
      <c r="BA62" s="255"/>
      <c r="BB62" s="255"/>
      <c r="BC62" s="255"/>
    </row>
    <row r="63" spans="1:55">
      <c r="A63" s="254">
        <f t="shared" si="16"/>
        <v>59</v>
      </c>
      <c r="B63" s="264">
        <v>1847</v>
      </c>
      <c r="C63" s="254" t="s">
        <v>534</v>
      </c>
      <c r="D63" s="255">
        <v>7340000</v>
      </c>
      <c r="E63" s="255">
        <v>7340000</v>
      </c>
      <c r="F63" s="255">
        <f t="shared" si="0"/>
        <v>0</v>
      </c>
      <c r="G63" s="255">
        <v>7340000</v>
      </c>
      <c r="H63" s="255">
        <v>6891340</v>
      </c>
      <c r="I63" s="255"/>
      <c r="J63" s="255">
        <v>421312.69</v>
      </c>
      <c r="K63" s="255">
        <f t="shared" si="1"/>
        <v>421312.69</v>
      </c>
      <c r="L63" s="255">
        <f>K63+H63</f>
        <v>7312652.6900000004</v>
      </c>
      <c r="M63" s="255">
        <f>P63+S63</f>
        <v>27347.30999999959</v>
      </c>
      <c r="N63" s="255"/>
      <c r="O63" s="255">
        <f t="shared" si="5"/>
        <v>0</v>
      </c>
      <c r="P63" s="255">
        <f t="shared" si="6"/>
        <v>27347.30999999959</v>
      </c>
      <c r="Q63" s="255"/>
      <c r="R63" s="255"/>
      <c r="S63" s="255">
        <f t="shared" si="27"/>
        <v>0</v>
      </c>
      <c r="T63" s="255">
        <f t="shared" si="8"/>
        <v>0</v>
      </c>
      <c r="U63" s="255">
        <f t="shared" si="19"/>
        <v>0</v>
      </c>
      <c r="V63" s="255">
        <f t="shared" si="28"/>
        <v>0</v>
      </c>
      <c r="W63" s="255"/>
      <c r="X63" s="255"/>
      <c r="Y63" s="255"/>
      <c r="Z63" s="254"/>
      <c r="AA63" s="528">
        <v>810000</v>
      </c>
      <c r="AB63" s="267"/>
      <c r="AC63" s="255"/>
      <c r="AD63" s="255"/>
      <c r="AE63" s="255"/>
      <c r="AF63" s="255"/>
      <c r="AG63" s="255"/>
      <c r="AH63" s="255"/>
      <c r="AI63" s="255"/>
      <c r="AJ63" s="255"/>
      <c r="AK63" s="255">
        <f t="shared" si="20"/>
        <v>0</v>
      </c>
      <c r="AL63" s="255"/>
      <c r="AM63" s="255">
        <f t="shared" si="11"/>
        <v>0</v>
      </c>
      <c r="AN63" s="255">
        <f t="shared" si="12"/>
        <v>0</v>
      </c>
      <c r="AO63" s="255">
        <f t="shared" si="13"/>
        <v>0</v>
      </c>
      <c r="AP63" s="255"/>
      <c r="AQ63" s="255"/>
      <c r="AR63" s="255"/>
      <c r="AS63" s="255"/>
      <c r="AT63" s="255">
        <f t="shared" si="14"/>
        <v>0</v>
      </c>
      <c r="AU63" s="255"/>
      <c r="AV63" s="255"/>
      <c r="AW63" s="255"/>
      <c r="AX63" s="255"/>
      <c r="AY63" s="255">
        <f t="shared" si="15"/>
        <v>0</v>
      </c>
      <c r="AZ63" s="255"/>
      <c r="BA63" s="255"/>
      <c r="BB63" s="255"/>
      <c r="BC63" s="255"/>
    </row>
    <row r="64" spans="1:55" s="258" customFormat="1">
      <c r="A64" s="254">
        <f t="shared" si="16"/>
        <v>60</v>
      </c>
      <c r="B64" s="254">
        <v>1854</v>
      </c>
      <c r="C64" s="254" t="s">
        <v>322</v>
      </c>
      <c r="D64" s="255">
        <v>5600000</v>
      </c>
      <c r="E64" s="255">
        <v>5600000</v>
      </c>
      <c r="F64" s="255">
        <f t="shared" si="0"/>
        <v>0</v>
      </c>
      <c r="G64" s="255">
        <f>4601120+998880</f>
        <v>5600000</v>
      </c>
      <c r="H64" s="255">
        <v>2326383</v>
      </c>
      <c r="I64" s="255"/>
      <c r="J64" s="255">
        <v>3050956.02</v>
      </c>
      <c r="K64" s="255">
        <f t="shared" si="1"/>
        <v>3050956.02</v>
      </c>
      <c r="L64" s="255">
        <f t="shared" ref="L64:L80" si="29">K64+H64</f>
        <v>5377339.0199999996</v>
      </c>
      <c r="M64" s="255">
        <f t="shared" ref="M64:M80" si="30">P64+S64</f>
        <v>222660.98000000045</v>
      </c>
      <c r="N64" s="255"/>
      <c r="O64" s="255">
        <f t="shared" si="5"/>
        <v>0</v>
      </c>
      <c r="P64" s="255">
        <f t="shared" si="6"/>
        <v>222660.98000000045</v>
      </c>
      <c r="Q64" s="255"/>
      <c r="R64" s="255"/>
      <c r="S64" s="255">
        <f t="shared" si="27"/>
        <v>0</v>
      </c>
      <c r="T64" s="255">
        <f t="shared" si="8"/>
        <v>0</v>
      </c>
      <c r="U64" s="255">
        <f t="shared" si="19"/>
        <v>0</v>
      </c>
      <c r="V64" s="255">
        <f t="shared" si="28"/>
        <v>0</v>
      </c>
      <c r="W64" s="255"/>
      <c r="X64" s="255"/>
      <c r="Y64" s="255"/>
      <c r="Z64" s="255"/>
      <c r="AA64" s="528">
        <v>810000</v>
      </c>
      <c r="AB64" s="254"/>
      <c r="AC64" s="255"/>
      <c r="AD64" s="255"/>
      <c r="AE64" s="255"/>
      <c r="AF64" s="255"/>
      <c r="AG64" s="255"/>
      <c r="AH64" s="255"/>
      <c r="AI64" s="255"/>
      <c r="AJ64" s="255"/>
      <c r="AK64" s="255">
        <f t="shared" si="20"/>
        <v>0</v>
      </c>
      <c r="AL64" s="255"/>
      <c r="AM64" s="255">
        <f t="shared" si="11"/>
        <v>0</v>
      </c>
      <c r="AN64" s="255">
        <f t="shared" si="12"/>
        <v>0</v>
      </c>
      <c r="AO64" s="255">
        <f t="shared" si="13"/>
        <v>0</v>
      </c>
      <c r="AP64" s="255"/>
      <c r="AQ64" s="255"/>
      <c r="AR64" s="255"/>
      <c r="AS64" s="255"/>
      <c r="AT64" s="255">
        <f t="shared" si="14"/>
        <v>0</v>
      </c>
      <c r="AU64" s="255"/>
      <c r="AV64" s="255"/>
      <c r="AW64" s="255"/>
      <c r="AX64" s="255"/>
      <c r="AY64" s="255">
        <f t="shared" si="15"/>
        <v>0</v>
      </c>
      <c r="AZ64" s="255"/>
      <c r="BA64" s="255"/>
      <c r="BB64" s="255"/>
      <c r="BC64" s="255"/>
    </row>
    <row r="65" spans="1:55">
      <c r="A65" s="254">
        <f t="shared" si="16"/>
        <v>61</v>
      </c>
      <c r="B65" s="264">
        <v>1894</v>
      </c>
      <c r="C65" s="254" t="s">
        <v>535</v>
      </c>
      <c r="D65" s="255">
        <v>7100000</v>
      </c>
      <c r="E65" s="255">
        <v>7100000</v>
      </c>
      <c r="F65" s="255">
        <f t="shared" si="0"/>
        <v>0</v>
      </c>
      <c r="G65" s="255">
        <v>7100000</v>
      </c>
      <c r="H65" s="255">
        <v>3151157</v>
      </c>
      <c r="I65" s="255"/>
      <c r="J65" s="255">
        <v>2956646.17</v>
      </c>
      <c r="K65" s="255">
        <f t="shared" si="1"/>
        <v>2956646.17</v>
      </c>
      <c r="L65" s="255">
        <f t="shared" si="29"/>
        <v>6107803.1699999999</v>
      </c>
      <c r="M65" s="255">
        <f t="shared" si="30"/>
        <v>992196.83000000007</v>
      </c>
      <c r="N65" s="255"/>
      <c r="O65" s="255">
        <f t="shared" si="5"/>
        <v>0</v>
      </c>
      <c r="P65" s="255">
        <f t="shared" si="6"/>
        <v>992196.83000000007</v>
      </c>
      <c r="Q65" s="255"/>
      <c r="R65" s="255"/>
      <c r="S65" s="255">
        <f t="shared" si="27"/>
        <v>0</v>
      </c>
      <c r="T65" s="255">
        <f t="shared" si="8"/>
        <v>0</v>
      </c>
      <c r="U65" s="255">
        <f t="shared" si="19"/>
        <v>0</v>
      </c>
      <c r="V65" s="255">
        <f t="shared" si="28"/>
        <v>0</v>
      </c>
      <c r="W65" s="255"/>
      <c r="X65" s="255"/>
      <c r="Y65" s="255"/>
      <c r="Z65" s="254"/>
      <c r="AA65" s="528">
        <v>810000</v>
      </c>
      <c r="AB65" s="267"/>
      <c r="AC65" s="255"/>
      <c r="AD65" s="255"/>
      <c r="AE65" s="255"/>
      <c r="AF65" s="255"/>
      <c r="AG65" s="255"/>
      <c r="AH65" s="255"/>
      <c r="AI65" s="255"/>
      <c r="AJ65" s="255"/>
      <c r="AK65" s="255">
        <f t="shared" si="20"/>
        <v>0</v>
      </c>
      <c r="AL65" s="255"/>
      <c r="AM65" s="255">
        <f t="shared" si="11"/>
        <v>0</v>
      </c>
      <c r="AN65" s="255">
        <f t="shared" si="12"/>
        <v>0</v>
      </c>
      <c r="AO65" s="255">
        <f t="shared" si="13"/>
        <v>0</v>
      </c>
      <c r="AP65" s="255"/>
      <c r="AQ65" s="255"/>
      <c r="AR65" s="255"/>
      <c r="AS65" s="255"/>
      <c r="AT65" s="255">
        <f t="shared" si="14"/>
        <v>0</v>
      </c>
      <c r="AU65" s="255"/>
      <c r="AV65" s="255"/>
      <c r="AW65" s="255"/>
      <c r="AX65" s="255"/>
      <c r="AY65" s="255">
        <f t="shared" si="15"/>
        <v>0</v>
      </c>
      <c r="AZ65" s="255"/>
      <c r="BA65" s="255"/>
      <c r="BB65" s="255"/>
      <c r="BC65" s="255"/>
    </row>
    <row r="66" spans="1:55">
      <c r="A66" s="254">
        <f t="shared" si="16"/>
        <v>62</v>
      </c>
      <c r="B66" s="264">
        <v>1896</v>
      </c>
      <c r="C66" s="254" t="s">
        <v>229</v>
      </c>
      <c r="D66" s="255">
        <v>18560000</v>
      </c>
      <c r="E66" s="255">
        <v>18560000</v>
      </c>
      <c r="F66" s="255">
        <f t="shared" si="0"/>
        <v>0</v>
      </c>
      <c r="G66" s="255">
        <v>1000000</v>
      </c>
      <c r="H66" s="255">
        <v>0</v>
      </c>
      <c r="I66" s="255"/>
      <c r="J66" s="255"/>
      <c r="K66" s="255">
        <f t="shared" si="1"/>
        <v>0</v>
      </c>
      <c r="L66" s="255">
        <f t="shared" si="29"/>
        <v>0</v>
      </c>
      <c r="M66" s="255">
        <f t="shared" si="30"/>
        <v>1000000</v>
      </c>
      <c r="N66" s="255">
        <v>3000000</v>
      </c>
      <c r="O66" s="255">
        <f t="shared" si="5"/>
        <v>14560000</v>
      </c>
      <c r="P66" s="255">
        <f t="shared" si="6"/>
        <v>1000000</v>
      </c>
      <c r="Q66" s="255"/>
      <c r="R66" s="255"/>
      <c r="S66" s="255">
        <f t="shared" si="27"/>
        <v>0</v>
      </c>
      <c r="T66" s="255">
        <f t="shared" si="8"/>
        <v>0</v>
      </c>
      <c r="U66" s="255">
        <f t="shared" si="19"/>
        <v>3000000</v>
      </c>
      <c r="V66" s="255">
        <f t="shared" si="28"/>
        <v>3000000</v>
      </c>
      <c r="W66" s="255"/>
      <c r="X66" s="255"/>
      <c r="Y66" s="255"/>
      <c r="Z66" s="254"/>
      <c r="AA66" s="528">
        <v>829000</v>
      </c>
      <c r="AB66" s="267"/>
      <c r="AC66" s="255"/>
      <c r="AD66" s="255"/>
      <c r="AE66" s="255"/>
      <c r="AF66" s="255"/>
      <c r="AG66" s="255"/>
      <c r="AH66" s="255"/>
      <c r="AI66" s="255"/>
      <c r="AJ66" s="255"/>
      <c r="AK66" s="255">
        <f t="shared" si="20"/>
        <v>0</v>
      </c>
      <c r="AL66" s="255">
        <v>3000000</v>
      </c>
      <c r="AM66" s="255">
        <f t="shared" si="11"/>
        <v>3000000</v>
      </c>
      <c r="AN66" s="255">
        <f t="shared" si="12"/>
        <v>0</v>
      </c>
      <c r="AO66" s="255">
        <f t="shared" si="13"/>
        <v>3000000</v>
      </c>
      <c r="AP66" s="255"/>
      <c r="AQ66" s="255"/>
      <c r="AR66" s="255"/>
      <c r="AS66" s="255"/>
      <c r="AT66" s="255">
        <f t="shared" si="14"/>
        <v>3000000</v>
      </c>
      <c r="AU66" s="255"/>
      <c r="AV66" s="255"/>
      <c r="AW66" s="255"/>
      <c r="AX66" s="255"/>
      <c r="AY66" s="255">
        <f t="shared" si="15"/>
        <v>0</v>
      </c>
      <c r="AZ66" s="255"/>
      <c r="BA66" s="255"/>
      <c r="BB66" s="255"/>
      <c r="BC66" s="255"/>
    </row>
    <row r="67" spans="1:55">
      <c r="A67" s="254">
        <f t="shared" si="16"/>
        <v>63</v>
      </c>
      <c r="B67" s="264">
        <v>1903</v>
      </c>
      <c r="C67" s="254" t="s">
        <v>212</v>
      </c>
      <c r="D67" s="255">
        <v>1700000</v>
      </c>
      <c r="E67" s="255">
        <v>1700000</v>
      </c>
      <c r="F67" s="255">
        <f t="shared" si="0"/>
        <v>0</v>
      </c>
      <c r="G67" s="255">
        <v>1700000</v>
      </c>
      <c r="H67" s="255">
        <v>1126319</v>
      </c>
      <c r="I67" s="255"/>
      <c r="J67" s="255">
        <v>573676.81999999995</v>
      </c>
      <c r="K67" s="255">
        <f t="shared" ref="K67:K80" si="31">SUM(I67:J67)</f>
        <v>573676.81999999995</v>
      </c>
      <c r="L67" s="255">
        <f t="shared" si="29"/>
        <v>1699995.8199999998</v>
      </c>
      <c r="M67" s="255">
        <f t="shared" si="30"/>
        <v>4.1800000001676381</v>
      </c>
      <c r="N67" s="255"/>
      <c r="O67" s="255">
        <f t="shared" si="5"/>
        <v>0</v>
      </c>
      <c r="P67" s="255">
        <f t="shared" si="6"/>
        <v>4.1800000001676381</v>
      </c>
      <c r="Q67" s="255"/>
      <c r="R67" s="255"/>
      <c r="S67" s="255">
        <f t="shared" ref="S67:S73" si="32">SUM(Q67:R67)</f>
        <v>0</v>
      </c>
      <c r="T67" s="255">
        <f t="shared" si="8"/>
        <v>0</v>
      </c>
      <c r="U67" s="255">
        <f t="shared" si="19"/>
        <v>0</v>
      </c>
      <c r="V67" s="255">
        <f t="shared" si="28"/>
        <v>0</v>
      </c>
      <c r="W67" s="255"/>
      <c r="X67" s="255"/>
      <c r="Y67" s="255"/>
      <c r="Z67" s="254"/>
      <c r="AA67" s="528">
        <v>930000</v>
      </c>
      <c r="AB67" s="267"/>
      <c r="AC67" s="255"/>
      <c r="AD67" s="255"/>
      <c r="AE67" s="255"/>
      <c r="AF67" s="255"/>
      <c r="AG67" s="255"/>
      <c r="AH67" s="255"/>
      <c r="AI67" s="255"/>
      <c r="AJ67" s="255"/>
      <c r="AK67" s="255">
        <f t="shared" si="20"/>
        <v>0</v>
      </c>
      <c r="AL67" s="255"/>
      <c r="AM67" s="255">
        <f t="shared" si="11"/>
        <v>0</v>
      </c>
      <c r="AN67" s="255">
        <f t="shared" si="12"/>
        <v>0</v>
      </c>
      <c r="AO67" s="255">
        <f t="shared" si="13"/>
        <v>0</v>
      </c>
      <c r="AP67" s="255"/>
      <c r="AQ67" s="255"/>
      <c r="AR67" s="255"/>
      <c r="AS67" s="255"/>
      <c r="AT67" s="255">
        <f t="shared" si="14"/>
        <v>0</v>
      </c>
      <c r="AU67" s="255"/>
      <c r="AV67" s="255"/>
      <c r="AW67" s="255"/>
      <c r="AX67" s="255"/>
      <c r="AY67" s="255">
        <f t="shared" si="15"/>
        <v>0</v>
      </c>
      <c r="AZ67" s="255"/>
      <c r="BA67" s="255"/>
      <c r="BB67" s="255"/>
      <c r="BC67" s="255"/>
    </row>
    <row r="68" spans="1:55" s="258" customFormat="1">
      <c r="A68" s="254">
        <f t="shared" si="16"/>
        <v>64</v>
      </c>
      <c r="B68" s="254">
        <v>1904</v>
      </c>
      <c r="C68" s="254" t="s">
        <v>199</v>
      </c>
      <c r="D68" s="255">
        <v>5700000</v>
      </c>
      <c r="E68" s="255">
        <v>5700000</v>
      </c>
      <c r="F68" s="255">
        <f t="shared" si="0"/>
        <v>0</v>
      </c>
      <c r="G68" s="255">
        <v>2000000</v>
      </c>
      <c r="H68" s="255">
        <v>64174</v>
      </c>
      <c r="I68" s="255"/>
      <c r="J68" s="255">
        <v>285824.33</v>
      </c>
      <c r="K68" s="255">
        <f t="shared" si="31"/>
        <v>285824.33</v>
      </c>
      <c r="L68" s="255">
        <f t="shared" si="29"/>
        <v>349998.33</v>
      </c>
      <c r="M68" s="255">
        <f t="shared" si="30"/>
        <v>1650001.67</v>
      </c>
      <c r="N68" s="255">
        <v>3700000</v>
      </c>
      <c r="O68" s="255">
        <f t="shared" si="5"/>
        <v>0</v>
      </c>
      <c r="P68" s="255">
        <f t="shared" si="6"/>
        <v>1650001.67</v>
      </c>
      <c r="Q68" s="255"/>
      <c r="R68" s="255"/>
      <c r="S68" s="255">
        <f t="shared" si="32"/>
        <v>0</v>
      </c>
      <c r="T68" s="255">
        <f t="shared" si="8"/>
        <v>0</v>
      </c>
      <c r="U68" s="255">
        <f t="shared" si="19"/>
        <v>3700000</v>
      </c>
      <c r="V68" s="255">
        <f>U68-Z68-X68-Y68</f>
        <v>2764000</v>
      </c>
      <c r="W68" s="255"/>
      <c r="X68" s="255"/>
      <c r="Y68" s="255"/>
      <c r="Z68" s="255">
        <f>800000*1.17</f>
        <v>936000</v>
      </c>
      <c r="AA68" s="528">
        <v>742000</v>
      </c>
      <c r="AB68" s="254"/>
      <c r="AC68" s="255"/>
      <c r="AD68" s="255"/>
      <c r="AE68" s="255"/>
      <c r="AF68" s="255"/>
      <c r="AG68" s="255"/>
      <c r="AH68" s="255"/>
      <c r="AI68" s="255"/>
      <c r="AJ68" s="255"/>
      <c r="AK68" s="255">
        <f t="shared" si="20"/>
        <v>0</v>
      </c>
      <c r="AL68" s="255"/>
      <c r="AM68" s="255">
        <f t="shared" si="11"/>
        <v>0</v>
      </c>
      <c r="AN68" s="255">
        <f t="shared" si="12"/>
        <v>3700000</v>
      </c>
      <c r="AO68" s="255">
        <f t="shared" si="13"/>
        <v>0</v>
      </c>
      <c r="AP68" s="255"/>
      <c r="AQ68" s="255"/>
      <c r="AR68" s="255"/>
      <c r="AS68" s="255"/>
      <c r="AT68" s="255">
        <f t="shared" si="14"/>
        <v>0</v>
      </c>
      <c r="AU68" s="255"/>
      <c r="AV68" s="255"/>
      <c r="AW68" s="255"/>
      <c r="AX68" s="255"/>
      <c r="AY68" s="255">
        <f t="shared" si="15"/>
        <v>2764000</v>
      </c>
      <c r="AZ68" s="255"/>
      <c r="BA68" s="255"/>
      <c r="BB68" s="255"/>
      <c r="BC68" s="255">
        <v>936000</v>
      </c>
    </row>
    <row r="69" spans="1:55">
      <c r="A69" s="254">
        <f t="shared" si="16"/>
        <v>65</v>
      </c>
      <c r="B69" s="264">
        <v>1921</v>
      </c>
      <c r="C69" s="254" t="s">
        <v>215</v>
      </c>
      <c r="D69" s="255">
        <f>4500000+1700000+620000</f>
        <v>6820000</v>
      </c>
      <c r="E69" s="255">
        <v>4500000</v>
      </c>
      <c r="F69" s="255">
        <f t="shared" ref="F69:F89" si="33">D69-E69</f>
        <v>2320000</v>
      </c>
      <c r="G69" s="255">
        <v>4500000</v>
      </c>
      <c r="H69" s="255">
        <v>2599309</v>
      </c>
      <c r="I69" s="255"/>
      <c r="J69" s="255">
        <v>1050443.96</v>
      </c>
      <c r="K69" s="255">
        <f t="shared" si="31"/>
        <v>1050443.96</v>
      </c>
      <c r="L69" s="255">
        <f t="shared" si="29"/>
        <v>3649752.96</v>
      </c>
      <c r="M69" s="255">
        <f t="shared" si="30"/>
        <v>850247.04</v>
      </c>
      <c r="N69" s="255">
        <f>1700000+620000</f>
        <v>2320000</v>
      </c>
      <c r="O69" s="255">
        <f t="shared" si="5"/>
        <v>0</v>
      </c>
      <c r="P69" s="255">
        <f t="shared" si="6"/>
        <v>850247.04</v>
      </c>
      <c r="Q69" s="255"/>
      <c r="R69" s="255"/>
      <c r="S69" s="255">
        <f t="shared" si="32"/>
        <v>0</v>
      </c>
      <c r="T69" s="255">
        <f t="shared" si="8"/>
        <v>0</v>
      </c>
      <c r="U69" s="255">
        <f t="shared" si="19"/>
        <v>2320000</v>
      </c>
      <c r="V69" s="255">
        <f t="shared" ref="V69:V74" si="34">U69-X69-Y69-Z69</f>
        <v>1752339</v>
      </c>
      <c r="W69" s="255"/>
      <c r="X69" s="255"/>
      <c r="Y69" s="255"/>
      <c r="Z69" s="255">
        <v>567661</v>
      </c>
      <c r="AA69" s="528">
        <v>829000</v>
      </c>
      <c r="AB69" s="267"/>
      <c r="AC69" s="255"/>
      <c r="AD69" s="255"/>
      <c r="AE69" s="255"/>
      <c r="AF69" s="255"/>
      <c r="AG69" s="255"/>
      <c r="AH69" s="255"/>
      <c r="AI69" s="255"/>
      <c r="AJ69" s="255">
        <v>2320000</v>
      </c>
      <c r="AK69" s="255">
        <f t="shared" si="20"/>
        <v>2320000</v>
      </c>
      <c r="AL69" s="255"/>
      <c r="AM69" s="255">
        <f t="shared" si="11"/>
        <v>2320000</v>
      </c>
      <c r="AN69" s="255">
        <f t="shared" si="12"/>
        <v>0</v>
      </c>
      <c r="AO69" s="255">
        <f t="shared" si="13"/>
        <v>1752339</v>
      </c>
      <c r="AP69" s="255"/>
      <c r="AQ69" s="255"/>
      <c r="AR69" s="255"/>
      <c r="AS69" s="255">
        <v>567661</v>
      </c>
      <c r="AT69" s="255">
        <f t="shared" si="14"/>
        <v>0</v>
      </c>
      <c r="AU69" s="255"/>
      <c r="AV69" s="255"/>
      <c r="AW69" s="255"/>
      <c r="AX69" s="255"/>
      <c r="AY69" s="255">
        <f t="shared" si="15"/>
        <v>0</v>
      </c>
      <c r="AZ69" s="255"/>
      <c r="BA69" s="255"/>
      <c r="BB69" s="255"/>
      <c r="BC69" s="255"/>
    </row>
    <row r="70" spans="1:55">
      <c r="A70" s="254">
        <f t="shared" si="16"/>
        <v>66</v>
      </c>
      <c r="B70" s="244">
        <v>1924</v>
      </c>
      <c r="C70" s="244" t="s">
        <v>941</v>
      </c>
      <c r="D70" s="255">
        <v>1800000</v>
      </c>
      <c r="E70" s="255">
        <v>1800000</v>
      </c>
      <c r="F70" s="255">
        <f t="shared" si="33"/>
        <v>0</v>
      </c>
      <c r="G70" s="255">
        <v>1800000</v>
      </c>
      <c r="H70" s="255">
        <v>1100093</v>
      </c>
      <c r="I70" s="255"/>
      <c r="J70" s="255">
        <v>696554.54</v>
      </c>
      <c r="K70" s="255">
        <f t="shared" si="31"/>
        <v>696554.54</v>
      </c>
      <c r="L70" s="255">
        <f t="shared" si="29"/>
        <v>1796647.54</v>
      </c>
      <c r="M70" s="255">
        <f t="shared" si="30"/>
        <v>3352.4599999999627</v>
      </c>
      <c r="N70" s="255"/>
      <c r="O70" s="255">
        <f t="shared" ref="O70:O80" si="35">D70-L70-M70-N70</f>
        <v>0</v>
      </c>
      <c r="P70" s="255">
        <f t="shared" ref="P70:P80" si="36">G70-L70</f>
        <v>3352.4599999999627</v>
      </c>
      <c r="Q70" s="255"/>
      <c r="R70" s="255"/>
      <c r="S70" s="255">
        <f t="shared" si="32"/>
        <v>0</v>
      </c>
      <c r="T70" s="255">
        <f t="shared" ref="T70:T80" si="37">P70-M70+S70</f>
        <v>0</v>
      </c>
      <c r="U70" s="255">
        <f t="shared" si="19"/>
        <v>0</v>
      </c>
      <c r="V70" s="255">
        <f t="shared" si="34"/>
        <v>0</v>
      </c>
      <c r="W70" s="255"/>
      <c r="X70" s="255"/>
      <c r="Y70" s="255"/>
      <c r="Z70" s="254"/>
      <c r="AA70" s="528">
        <v>826000</v>
      </c>
      <c r="AB70" s="267"/>
      <c r="AC70" s="255"/>
      <c r="AD70" s="255"/>
      <c r="AE70" s="255"/>
      <c r="AF70" s="255"/>
      <c r="AG70" s="255"/>
      <c r="AH70" s="255"/>
      <c r="AI70" s="255"/>
      <c r="AJ70" s="255"/>
      <c r="AK70" s="255">
        <f t="shared" si="20"/>
        <v>0</v>
      </c>
      <c r="AL70" s="255"/>
      <c r="AM70" s="255">
        <f t="shared" ref="AM70:AM92" si="38">AL70+AK70</f>
        <v>0</v>
      </c>
      <c r="AN70" s="255">
        <f t="shared" ref="AN70:AN92" si="39">U70-AM70</f>
        <v>0</v>
      </c>
      <c r="AO70" s="255">
        <f t="shared" ref="AO70:AO92" si="40">AM70-AP70-AQ70-AR70-AS70</f>
        <v>0</v>
      </c>
      <c r="AP70" s="255"/>
      <c r="AQ70" s="255"/>
      <c r="AR70" s="255"/>
      <c r="AS70" s="255"/>
      <c r="AT70" s="255">
        <f t="shared" ref="AT70:AT92" si="41">AL70-AU70-AV70-AW70-AX70</f>
        <v>0</v>
      </c>
      <c r="AU70" s="255"/>
      <c r="AV70" s="255"/>
      <c r="AW70" s="255"/>
      <c r="AX70" s="255"/>
      <c r="AY70" s="255">
        <f t="shared" ref="AY70:AY92" si="42">AN70-AZ70-BA70-BB70-BC70</f>
        <v>0</v>
      </c>
      <c r="AZ70" s="255"/>
      <c r="BA70" s="255"/>
      <c r="BB70" s="255"/>
      <c r="BC70" s="255"/>
    </row>
    <row r="71" spans="1:55" ht="28">
      <c r="A71" s="254">
        <f t="shared" ref="A71:A92" si="43">A70+1</f>
        <v>67</v>
      </c>
      <c r="B71" s="244">
        <v>1927</v>
      </c>
      <c r="C71" s="244" t="s">
        <v>931</v>
      </c>
      <c r="D71" s="255">
        <v>860000</v>
      </c>
      <c r="E71" s="255">
        <v>860000</v>
      </c>
      <c r="F71" s="255">
        <f t="shared" si="33"/>
        <v>0</v>
      </c>
      <c r="G71" s="255">
        <v>860000</v>
      </c>
      <c r="H71" s="255">
        <v>846677</v>
      </c>
      <c r="I71" s="255"/>
      <c r="J71" s="255">
        <v>369.57</v>
      </c>
      <c r="K71" s="255">
        <f t="shared" si="31"/>
        <v>369.57</v>
      </c>
      <c r="L71" s="255">
        <f t="shared" si="29"/>
        <v>847046.57</v>
      </c>
      <c r="M71" s="255">
        <f t="shared" si="30"/>
        <v>12953.430000000051</v>
      </c>
      <c r="N71" s="255"/>
      <c r="O71" s="255">
        <f t="shared" si="35"/>
        <v>0</v>
      </c>
      <c r="P71" s="255">
        <f t="shared" si="36"/>
        <v>12953.430000000051</v>
      </c>
      <c r="Q71" s="255"/>
      <c r="R71" s="255"/>
      <c r="S71" s="255">
        <f t="shared" si="32"/>
        <v>0</v>
      </c>
      <c r="T71" s="255">
        <f t="shared" si="37"/>
        <v>0</v>
      </c>
      <c r="U71" s="255">
        <f t="shared" si="19"/>
        <v>0</v>
      </c>
      <c r="V71" s="255">
        <f t="shared" si="34"/>
        <v>0</v>
      </c>
      <c r="W71" s="255"/>
      <c r="X71" s="255"/>
      <c r="Y71" s="255"/>
      <c r="Z71" s="254"/>
      <c r="AA71" s="528">
        <v>824000</v>
      </c>
      <c r="AB71" s="267"/>
      <c r="AC71" s="255"/>
      <c r="AD71" s="255"/>
      <c r="AE71" s="255"/>
      <c r="AF71" s="255"/>
      <c r="AG71" s="255"/>
      <c r="AH71" s="255"/>
      <c r="AI71" s="255"/>
      <c r="AJ71" s="255"/>
      <c r="AK71" s="255">
        <f t="shared" si="20"/>
        <v>0</v>
      </c>
      <c r="AL71" s="255"/>
      <c r="AM71" s="255">
        <f t="shared" si="38"/>
        <v>0</v>
      </c>
      <c r="AN71" s="255">
        <f t="shared" si="39"/>
        <v>0</v>
      </c>
      <c r="AO71" s="255">
        <f t="shared" si="40"/>
        <v>0</v>
      </c>
      <c r="AP71" s="255"/>
      <c r="AQ71" s="255"/>
      <c r="AR71" s="255"/>
      <c r="AS71" s="255"/>
      <c r="AT71" s="255">
        <f t="shared" si="41"/>
        <v>0</v>
      </c>
      <c r="AU71" s="255"/>
      <c r="AV71" s="255"/>
      <c r="AW71" s="255"/>
      <c r="AX71" s="255"/>
      <c r="AY71" s="255">
        <f t="shared" si="42"/>
        <v>0</v>
      </c>
      <c r="AZ71" s="255"/>
      <c r="BA71" s="255"/>
      <c r="BB71" s="255"/>
      <c r="BC71" s="255"/>
    </row>
    <row r="72" spans="1:55">
      <c r="A72" s="254">
        <f t="shared" si="43"/>
        <v>68</v>
      </c>
      <c r="B72" s="264">
        <v>1936</v>
      </c>
      <c r="C72" s="254" t="s">
        <v>323</v>
      </c>
      <c r="D72" s="255">
        <v>6082795</v>
      </c>
      <c r="E72" s="255">
        <v>6082795</v>
      </c>
      <c r="F72" s="255">
        <f t="shared" si="33"/>
        <v>0</v>
      </c>
      <c r="G72" s="255">
        <v>700000</v>
      </c>
      <c r="H72" s="255">
        <v>37027</v>
      </c>
      <c r="I72" s="255"/>
      <c r="J72" s="255">
        <v>112971.27</v>
      </c>
      <c r="K72" s="255">
        <f t="shared" si="31"/>
        <v>112971.27</v>
      </c>
      <c r="L72" s="255">
        <f t="shared" si="29"/>
        <v>149998.27000000002</v>
      </c>
      <c r="M72" s="255">
        <f t="shared" si="30"/>
        <v>550001.73</v>
      </c>
      <c r="N72" s="255">
        <v>5382795</v>
      </c>
      <c r="O72" s="255">
        <f t="shared" si="35"/>
        <v>0</v>
      </c>
      <c r="P72" s="255">
        <f t="shared" si="36"/>
        <v>550001.73</v>
      </c>
      <c r="Q72" s="255"/>
      <c r="R72" s="255"/>
      <c r="S72" s="255">
        <f t="shared" si="32"/>
        <v>0</v>
      </c>
      <c r="T72" s="255">
        <f t="shared" si="37"/>
        <v>0</v>
      </c>
      <c r="U72" s="255">
        <f t="shared" si="19"/>
        <v>5382795</v>
      </c>
      <c r="V72" s="255">
        <f t="shared" si="34"/>
        <v>0</v>
      </c>
      <c r="W72" s="255"/>
      <c r="X72" s="255"/>
      <c r="Y72" s="255"/>
      <c r="Z72" s="255">
        <v>5382795</v>
      </c>
      <c r="AA72" s="528">
        <v>732000</v>
      </c>
      <c r="AB72" s="267"/>
      <c r="AC72" s="255"/>
      <c r="AD72" s="255"/>
      <c r="AE72" s="255"/>
      <c r="AF72" s="255"/>
      <c r="AG72" s="255"/>
      <c r="AH72" s="255"/>
      <c r="AI72" s="255"/>
      <c r="AJ72" s="255"/>
      <c r="AK72" s="255">
        <f t="shared" si="20"/>
        <v>0</v>
      </c>
      <c r="AL72" s="255"/>
      <c r="AM72" s="255">
        <f t="shared" si="38"/>
        <v>0</v>
      </c>
      <c r="AN72" s="255">
        <f t="shared" si="39"/>
        <v>5382795</v>
      </c>
      <c r="AO72" s="255">
        <f t="shared" si="40"/>
        <v>0</v>
      </c>
      <c r="AP72" s="255"/>
      <c r="AQ72" s="255"/>
      <c r="AR72" s="255"/>
      <c r="AS72" s="255"/>
      <c r="AT72" s="255">
        <f t="shared" si="41"/>
        <v>0</v>
      </c>
      <c r="AU72" s="255"/>
      <c r="AV72" s="255"/>
      <c r="AW72" s="255"/>
      <c r="AX72" s="255"/>
      <c r="AY72" s="255">
        <f t="shared" si="42"/>
        <v>0</v>
      </c>
      <c r="AZ72" s="255"/>
      <c r="BA72" s="255"/>
      <c r="BB72" s="255"/>
      <c r="BC72" s="255">
        <v>5382795</v>
      </c>
    </row>
    <row r="73" spans="1:55">
      <c r="A73" s="254">
        <f t="shared" si="43"/>
        <v>69</v>
      </c>
      <c r="B73" s="264">
        <v>1940</v>
      </c>
      <c r="C73" s="254" t="s">
        <v>252</v>
      </c>
      <c r="D73" s="255">
        <v>186000</v>
      </c>
      <c r="E73" s="255">
        <v>186000</v>
      </c>
      <c r="F73" s="255">
        <f t="shared" si="33"/>
        <v>0</v>
      </c>
      <c r="G73" s="255">
        <v>186000</v>
      </c>
      <c r="H73" s="255">
        <v>37206</v>
      </c>
      <c r="I73" s="255"/>
      <c r="J73" s="255">
        <v>148793.57999999999</v>
      </c>
      <c r="K73" s="255">
        <f t="shared" si="31"/>
        <v>148793.57999999999</v>
      </c>
      <c r="L73" s="255">
        <f t="shared" si="29"/>
        <v>185999.58</v>
      </c>
      <c r="M73" s="255">
        <f t="shared" si="30"/>
        <v>0.42000000001280569</v>
      </c>
      <c r="N73" s="255"/>
      <c r="O73" s="255">
        <f t="shared" si="35"/>
        <v>0</v>
      </c>
      <c r="P73" s="255">
        <f t="shared" si="36"/>
        <v>0.42000000001280569</v>
      </c>
      <c r="Q73" s="255"/>
      <c r="R73" s="255"/>
      <c r="S73" s="255">
        <f t="shared" si="32"/>
        <v>0</v>
      </c>
      <c r="T73" s="255">
        <f t="shared" si="37"/>
        <v>0</v>
      </c>
      <c r="U73" s="255">
        <f t="shared" si="19"/>
        <v>0</v>
      </c>
      <c r="V73" s="255">
        <f t="shared" si="34"/>
        <v>0</v>
      </c>
      <c r="W73" s="255"/>
      <c r="X73" s="255"/>
      <c r="Y73" s="255"/>
      <c r="Z73" s="254"/>
      <c r="AA73" s="528">
        <v>732000</v>
      </c>
      <c r="AB73" s="267"/>
      <c r="AC73" s="255"/>
      <c r="AD73" s="255"/>
      <c r="AE73" s="255"/>
      <c r="AF73" s="255"/>
      <c r="AG73" s="255"/>
      <c r="AH73" s="255"/>
      <c r="AI73" s="255"/>
      <c r="AJ73" s="255"/>
      <c r="AK73" s="255">
        <f t="shared" si="20"/>
        <v>0</v>
      </c>
      <c r="AL73" s="255"/>
      <c r="AM73" s="255">
        <f t="shared" si="38"/>
        <v>0</v>
      </c>
      <c r="AN73" s="255">
        <f t="shared" si="39"/>
        <v>0</v>
      </c>
      <c r="AO73" s="255">
        <f t="shared" si="40"/>
        <v>0</v>
      </c>
      <c r="AP73" s="255"/>
      <c r="AQ73" s="255"/>
      <c r="AR73" s="255"/>
      <c r="AS73" s="255"/>
      <c r="AT73" s="255">
        <f t="shared" si="41"/>
        <v>0</v>
      </c>
      <c r="AU73" s="255"/>
      <c r="AV73" s="255"/>
      <c r="AW73" s="255"/>
      <c r="AX73" s="255"/>
      <c r="AY73" s="255">
        <f t="shared" si="42"/>
        <v>0</v>
      </c>
      <c r="AZ73" s="255"/>
      <c r="BA73" s="255"/>
      <c r="BB73" s="255"/>
      <c r="BC73" s="255"/>
    </row>
    <row r="74" spans="1:55">
      <c r="A74" s="254">
        <f t="shared" si="43"/>
        <v>70</v>
      </c>
      <c r="B74" s="427">
        <v>1953</v>
      </c>
      <c r="C74" s="254" t="s">
        <v>605</v>
      </c>
      <c r="D74" s="255">
        <v>5300000</v>
      </c>
      <c r="E74" s="255">
        <v>5300000</v>
      </c>
      <c r="F74" s="255">
        <f t="shared" si="33"/>
        <v>0</v>
      </c>
      <c r="G74" s="255">
        <v>1500000</v>
      </c>
      <c r="H74" s="255">
        <v>500000</v>
      </c>
      <c r="I74" s="255"/>
      <c r="J74" s="255">
        <v>99999.9</v>
      </c>
      <c r="K74" s="255">
        <f t="shared" si="31"/>
        <v>99999.9</v>
      </c>
      <c r="L74" s="255">
        <f t="shared" si="29"/>
        <v>599999.9</v>
      </c>
      <c r="M74" s="255">
        <f t="shared" si="30"/>
        <v>900000.1</v>
      </c>
      <c r="N74" s="255">
        <v>3800000</v>
      </c>
      <c r="O74" s="255">
        <f t="shared" si="35"/>
        <v>0</v>
      </c>
      <c r="P74" s="255">
        <f t="shared" si="36"/>
        <v>900000.1</v>
      </c>
      <c r="Q74" s="255"/>
      <c r="R74" s="255"/>
      <c r="S74" s="255">
        <f t="shared" si="27"/>
        <v>0</v>
      </c>
      <c r="T74" s="255">
        <f t="shared" si="37"/>
        <v>0</v>
      </c>
      <c r="U74" s="255">
        <f t="shared" si="19"/>
        <v>3800000</v>
      </c>
      <c r="V74" s="255">
        <f t="shared" si="34"/>
        <v>3800000</v>
      </c>
      <c r="W74" s="255"/>
      <c r="X74" s="255"/>
      <c r="Y74" s="255"/>
      <c r="Z74" s="254"/>
      <c r="AA74" s="528">
        <v>742000</v>
      </c>
      <c r="AB74" s="267"/>
      <c r="AC74" s="255">
        <v>1800000</v>
      </c>
      <c r="AD74" s="255"/>
      <c r="AE74" s="255"/>
      <c r="AF74" s="255"/>
      <c r="AG74" s="255"/>
      <c r="AH74" s="255"/>
      <c r="AI74" s="255"/>
      <c r="AJ74" s="255"/>
      <c r="AK74" s="255">
        <f t="shared" si="20"/>
        <v>1800000</v>
      </c>
      <c r="AL74" s="255">
        <v>2000000</v>
      </c>
      <c r="AM74" s="255">
        <f t="shared" si="38"/>
        <v>3800000</v>
      </c>
      <c r="AN74" s="255">
        <f t="shared" si="39"/>
        <v>0</v>
      </c>
      <c r="AO74" s="255">
        <f t="shared" si="40"/>
        <v>3800000</v>
      </c>
      <c r="AP74" s="255"/>
      <c r="AQ74" s="255"/>
      <c r="AR74" s="255"/>
      <c r="AS74" s="255"/>
      <c r="AT74" s="255">
        <f t="shared" si="41"/>
        <v>2000000</v>
      </c>
      <c r="AU74" s="255"/>
      <c r="AV74" s="255"/>
      <c r="AW74" s="255"/>
      <c r="AX74" s="255"/>
      <c r="AY74" s="255">
        <f t="shared" si="42"/>
        <v>0</v>
      </c>
      <c r="AZ74" s="255"/>
      <c r="BA74" s="255"/>
      <c r="BB74" s="255"/>
      <c r="BC74" s="255"/>
    </row>
    <row r="75" spans="1:55" s="258" customFormat="1">
      <c r="A75" s="254">
        <f t="shared" si="43"/>
        <v>71</v>
      </c>
      <c r="B75" s="254">
        <v>1954</v>
      </c>
      <c r="C75" s="254" t="s">
        <v>250</v>
      </c>
      <c r="D75" s="255">
        <v>2000000</v>
      </c>
      <c r="E75" s="255">
        <v>2000000</v>
      </c>
      <c r="F75" s="255">
        <f t="shared" si="33"/>
        <v>0</v>
      </c>
      <c r="G75" s="255">
        <v>400000</v>
      </c>
      <c r="H75" s="255">
        <v>46604</v>
      </c>
      <c r="I75" s="255"/>
      <c r="J75" s="255">
        <v>133682.94</v>
      </c>
      <c r="K75" s="255">
        <f t="shared" si="31"/>
        <v>133682.94</v>
      </c>
      <c r="L75" s="255">
        <f t="shared" si="29"/>
        <v>180286.94</v>
      </c>
      <c r="M75" s="255">
        <f t="shared" si="30"/>
        <v>1819713.06</v>
      </c>
      <c r="N75" s="255"/>
      <c r="O75" s="255">
        <f t="shared" si="35"/>
        <v>0</v>
      </c>
      <c r="P75" s="255">
        <f t="shared" si="36"/>
        <v>219713.06</v>
      </c>
      <c r="Q75" s="423">
        <v>1600000</v>
      </c>
      <c r="R75" s="255"/>
      <c r="S75" s="255">
        <f>SUM(Q75:R75)</f>
        <v>1600000</v>
      </c>
      <c r="T75" s="255">
        <f>P75-M75+S75</f>
        <v>0</v>
      </c>
      <c r="U75" s="255">
        <f t="shared" si="19"/>
        <v>0</v>
      </c>
      <c r="V75" s="255">
        <f>U75-Z75-X75-Y75</f>
        <v>0</v>
      </c>
      <c r="W75" s="255"/>
      <c r="X75" s="255"/>
      <c r="Y75" s="255"/>
      <c r="Z75" s="254"/>
      <c r="AA75" s="528">
        <v>742000</v>
      </c>
      <c r="AB75" s="254"/>
      <c r="AC75" s="255"/>
      <c r="AD75" s="255"/>
      <c r="AE75" s="255"/>
      <c r="AF75" s="255"/>
      <c r="AG75" s="255"/>
      <c r="AH75" s="255"/>
      <c r="AI75" s="255"/>
      <c r="AJ75" s="255"/>
      <c r="AK75" s="255">
        <f t="shared" si="20"/>
        <v>0</v>
      </c>
      <c r="AL75" s="255"/>
      <c r="AM75" s="255">
        <f t="shared" si="38"/>
        <v>0</v>
      </c>
      <c r="AN75" s="255">
        <f t="shared" si="39"/>
        <v>0</v>
      </c>
      <c r="AO75" s="255">
        <f t="shared" si="40"/>
        <v>0</v>
      </c>
      <c r="AP75" s="255"/>
      <c r="AQ75" s="255"/>
      <c r="AR75" s="255"/>
      <c r="AS75" s="255"/>
      <c r="AT75" s="255">
        <f t="shared" si="41"/>
        <v>0</v>
      </c>
      <c r="AU75" s="255"/>
      <c r="AV75" s="255"/>
      <c r="AW75" s="255"/>
      <c r="AX75" s="255"/>
      <c r="AY75" s="255">
        <f t="shared" si="42"/>
        <v>0</v>
      </c>
      <c r="AZ75" s="255"/>
      <c r="BA75" s="255"/>
      <c r="BB75" s="255"/>
      <c r="BC75" s="255"/>
    </row>
    <row r="76" spans="1:55">
      <c r="A76" s="254">
        <f t="shared" si="43"/>
        <v>72</v>
      </c>
      <c r="B76" s="264">
        <v>1955</v>
      </c>
      <c r="C76" s="254" t="s">
        <v>251</v>
      </c>
      <c r="D76" s="255">
        <v>250000</v>
      </c>
      <c r="E76" s="255">
        <v>250000</v>
      </c>
      <c r="F76" s="255">
        <f t="shared" si="33"/>
        <v>0</v>
      </c>
      <c r="G76" s="255">
        <f>50000+200000</f>
        <v>250000</v>
      </c>
      <c r="H76" s="255">
        <v>0</v>
      </c>
      <c r="I76" s="255"/>
      <c r="J76" s="255"/>
      <c r="K76" s="255">
        <f t="shared" si="31"/>
        <v>0</v>
      </c>
      <c r="L76" s="255">
        <f t="shared" si="29"/>
        <v>0</v>
      </c>
      <c r="M76" s="255">
        <f t="shared" si="30"/>
        <v>250000</v>
      </c>
      <c r="N76" s="255"/>
      <c r="O76" s="255">
        <f t="shared" si="35"/>
        <v>0</v>
      </c>
      <c r="P76" s="255">
        <f t="shared" si="36"/>
        <v>250000</v>
      </c>
      <c r="Q76" s="255"/>
      <c r="R76" s="255"/>
      <c r="S76" s="255">
        <f t="shared" si="27"/>
        <v>0</v>
      </c>
      <c r="T76" s="255">
        <f t="shared" si="37"/>
        <v>0</v>
      </c>
      <c r="U76" s="255">
        <f t="shared" si="19"/>
        <v>0</v>
      </c>
      <c r="V76" s="255">
        <f t="shared" ref="V76:V92" si="44">U76-X76-Y76-Z76</f>
        <v>0</v>
      </c>
      <c r="W76" s="255"/>
      <c r="X76" s="255"/>
      <c r="Y76" s="255"/>
      <c r="Z76" s="254"/>
      <c r="AA76" s="528">
        <v>742000</v>
      </c>
      <c r="AB76" s="267"/>
      <c r="AC76" s="255"/>
      <c r="AD76" s="255"/>
      <c r="AE76" s="255"/>
      <c r="AF76" s="255"/>
      <c r="AG76" s="255"/>
      <c r="AH76" s="255"/>
      <c r="AI76" s="255"/>
      <c r="AJ76" s="255"/>
      <c r="AK76" s="255">
        <f t="shared" si="20"/>
        <v>0</v>
      </c>
      <c r="AL76" s="255"/>
      <c r="AM76" s="255">
        <f t="shared" si="38"/>
        <v>0</v>
      </c>
      <c r="AN76" s="255">
        <f t="shared" si="39"/>
        <v>0</v>
      </c>
      <c r="AO76" s="255">
        <f t="shared" si="40"/>
        <v>0</v>
      </c>
      <c r="AP76" s="255"/>
      <c r="AQ76" s="255"/>
      <c r="AR76" s="255"/>
      <c r="AS76" s="255"/>
      <c r="AT76" s="255">
        <f t="shared" si="41"/>
        <v>0</v>
      </c>
      <c r="AU76" s="255"/>
      <c r="AV76" s="255"/>
      <c r="AW76" s="255"/>
      <c r="AX76" s="255"/>
      <c r="AY76" s="255">
        <f t="shared" si="42"/>
        <v>0</v>
      </c>
      <c r="AZ76" s="255"/>
      <c r="BA76" s="255"/>
      <c r="BB76" s="255"/>
      <c r="BC76" s="255"/>
    </row>
    <row r="77" spans="1:55">
      <c r="A77" s="254">
        <f t="shared" si="43"/>
        <v>73</v>
      </c>
      <c r="B77" s="244">
        <v>1956</v>
      </c>
      <c r="C77" s="244" t="s">
        <v>932</v>
      </c>
      <c r="D77" s="255">
        <v>1500000</v>
      </c>
      <c r="E77" s="255">
        <v>1500000</v>
      </c>
      <c r="F77" s="255">
        <f t="shared" si="33"/>
        <v>0</v>
      </c>
      <c r="G77" s="255">
        <v>750000</v>
      </c>
      <c r="H77" s="255">
        <v>0</v>
      </c>
      <c r="I77" s="255"/>
      <c r="J77" s="255"/>
      <c r="K77" s="255">
        <f t="shared" si="31"/>
        <v>0</v>
      </c>
      <c r="L77" s="255">
        <f t="shared" si="29"/>
        <v>0</v>
      </c>
      <c r="M77" s="255">
        <f t="shared" si="30"/>
        <v>750000</v>
      </c>
      <c r="N77" s="255">
        <v>750000</v>
      </c>
      <c r="O77" s="255">
        <f t="shared" si="35"/>
        <v>0</v>
      </c>
      <c r="P77" s="255">
        <f t="shared" si="36"/>
        <v>750000</v>
      </c>
      <c r="Q77" s="255"/>
      <c r="R77" s="255"/>
      <c r="S77" s="255">
        <f t="shared" si="27"/>
        <v>0</v>
      </c>
      <c r="T77" s="255">
        <f t="shared" si="37"/>
        <v>0</v>
      </c>
      <c r="U77" s="255">
        <f t="shared" si="19"/>
        <v>750000</v>
      </c>
      <c r="V77" s="255">
        <f t="shared" si="44"/>
        <v>750000</v>
      </c>
      <c r="W77" s="255"/>
      <c r="X77" s="255"/>
      <c r="Y77" s="255"/>
      <c r="Z77" s="254"/>
      <c r="AA77" s="528">
        <v>742000</v>
      </c>
      <c r="AB77" s="267"/>
      <c r="AC77" s="255"/>
      <c r="AD77" s="255"/>
      <c r="AE77" s="255"/>
      <c r="AF77" s="255"/>
      <c r="AG77" s="255"/>
      <c r="AH77" s="255"/>
      <c r="AI77" s="255"/>
      <c r="AJ77" s="255"/>
      <c r="AK77" s="255">
        <f t="shared" si="20"/>
        <v>0</v>
      </c>
      <c r="AL77" s="255"/>
      <c r="AM77" s="255">
        <f t="shared" si="38"/>
        <v>0</v>
      </c>
      <c r="AN77" s="255">
        <f t="shared" si="39"/>
        <v>750000</v>
      </c>
      <c r="AO77" s="255">
        <f t="shared" si="40"/>
        <v>0</v>
      </c>
      <c r="AP77" s="255"/>
      <c r="AQ77" s="255"/>
      <c r="AR77" s="255"/>
      <c r="AS77" s="255"/>
      <c r="AT77" s="255">
        <f t="shared" si="41"/>
        <v>0</v>
      </c>
      <c r="AU77" s="255"/>
      <c r="AV77" s="255"/>
      <c r="AW77" s="255"/>
      <c r="AX77" s="255"/>
      <c r="AY77" s="255">
        <f t="shared" si="42"/>
        <v>750000</v>
      </c>
      <c r="AZ77" s="255"/>
      <c r="BA77" s="255"/>
      <c r="BB77" s="255"/>
      <c r="BC77" s="255"/>
    </row>
    <row r="78" spans="1:55">
      <c r="A78" s="254">
        <f t="shared" si="43"/>
        <v>74</v>
      </c>
      <c r="B78" s="264">
        <v>1957</v>
      </c>
      <c r="C78" s="254" t="s">
        <v>607</v>
      </c>
      <c r="D78" s="255">
        <v>60000000</v>
      </c>
      <c r="E78" s="255">
        <v>60000000</v>
      </c>
      <c r="F78" s="255">
        <f t="shared" si="33"/>
        <v>0</v>
      </c>
      <c r="G78" s="255">
        <v>400000</v>
      </c>
      <c r="H78" s="255">
        <v>78669</v>
      </c>
      <c r="I78" s="255"/>
      <c r="J78" s="255">
        <v>321330.06</v>
      </c>
      <c r="K78" s="255">
        <f t="shared" si="31"/>
        <v>321330.06</v>
      </c>
      <c r="L78" s="255">
        <f t="shared" si="29"/>
        <v>399999.06</v>
      </c>
      <c r="M78" s="255">
        <f t="shared" si="30"/>
        <v>1100000.94</v>
      </c>
      <c r="N78" s="255">
        <f>20000000-5000000</f>
        <v>15000000</v>
      </c>
      <c r="O78" s="255">
        <f t="shared" si="35"/>
        <v>43500000</v>
      </c>
      <c r="P78" s="255">
        <f t="shared" si="36"/>
        <v>0.94000000000232831</v>
      </c>
      <c r="Q78" s="423">
        <v>1100000</v>
      </c>
      <c r="R78" s="255"/>
      <c r="S78" s="255">
        <f t="shared" si="27"/>
        <v>1100000</v>
      </c>
      <c r="T78" s="255">
        <f t="shared" si="37"/>
        <v>0</v>
      </c>
      <c r="U78" s="255">
        <f t="shared" si="19"/>
        <v>15000000</v>
      </c>
      <c r="V78" s="255">
        <f t="shared" si="44"/>
        <v>15000000</v>
      </c>
      <c r="W78" s="255"/>
      <c r="X78" s="255"/>
      <c r="Y78" s="255"/>
      <c r="Z78" s="254"/>
      <c r="AA78" s="528">
        <v>810000</v>
      </c>
      <c r="AB78" s="267"/>
      <c r="AC78" s="255"/>
      <c r="AD78" s="255"/>
      <c r="AE78" s="255"/>
      <c r="AF78" s="255">
        <v>250000</v>
      </c>
      <c r="AG78" s="255"/>
      <c r="AH78" s="255">
        <v>150000</v>
      </c>
      <c r="AI78" s="255">
        <v>400000</v>
      </c>
      <c r="AJ78" s="255">
        <v>500000</v>
      </c>
      <c r="AK78" s="255">
        <f t="shared" si="20"/>
        <v>1300000</v>
      </c>
      <c r="AL78" s="255">
        <v>13700000</v>
      </c>
      <c r="AM78" s="255">
        <f t="shared" si="38"/>
        <v>15000000</v>
      </c>
      <c r="AN78" s="255">
        <f t="shared" si="39"/>
        <v>0</v>
      </c>
      <c r="AO78" s="255">
        <f t="shared" si="40"/>
        <v>15000000</v>
      </c>
      <c r="AP78" s="255"/>
      <c r="AQ78" s="255"/>
      <c r="AR78" s="255"/>
      <c r="AS78" s="255"/>
      <c r="AT78" s="255">
        <f t="shared" si="41"/>
        <v>13700000</v>
      </c>
      <c r="AU78" s="255"/>
      <c r="AV78" s="255"/>
      <c r="AW78" s="255"/>
      <c r="AX78" s="255"/>
      <c r="AY78" s="255">
        <f t="shared" si="42"/>
        <v>0</v>
      </c>
      <c r="AZ78" s="255"/>
      <c r="BA78" s="255"/>
      <c r="BB78" s="255"/>
      <c r="BC78" s="255"/>
    </row>
    <row r="79" spans="1:55">
      <c r="A79" s="254">
        <f t="shared" si="43"/>
        <v>75</v>
      </c>
      <c r="B79" s="244">
        <v>1958</v>
      </c>
      <c r="C79" s="244" t="s">
        <v>942</v>
      </c>
      <c r="D79" s="255">
        <v>850000</v>
      </c>
      <c r="E79" s="255">
        <v>850000</v>
      </c>
      <c r="F79" s="255">
        <f t="shared" si="33"/>
        <v>0</v>
      </c>
      <c r="G79" s="255">
        <v>850000</v>
      </c>
      <c r="H79" s="255">
        <v>811715</v>
      </c>
      <c r="I79" s="255"/>
      <c r="J79" s="255">
        <v>32057.200000000001</v>
      </c>
      <c r="K79" s="255">
        <f t="shared" si="31"/>
        <v>32057.200000000001</v>
      </c>
      <c r="L79" s="255">
        <f t="shared" si="29"/>
        <v>843772.2</v>
      </c>
      <c r="M79" s="255">
        <f t="shared" si="30"/>
        <v>6227.8000000000466</v>
      </c>
      <c r="N79" s="255"/>
      <c r="O79" s="255">
        <f t="shared" si="35"/>
        <v>0</v>
      </c>
      <c r="P79" s="255">
        <f t="shared" si="36"/>
        <v>6227.8000000000466</v>
      </c>
      <c r="Q79" s="255"/>
      <c r="R79" s="255"/>
      <c r="S79" s="255">
        <f t="shared" si="27"/>
        <v>0</v>
      </c>
      <c r="T79" s="255">
        <f t="shared" si="37"/>
        <v>0</v>
      </c>
      <c r="U79" s="255">
        <f t="shared" si="19"/>
        <v>0</v>
      </c>
      <c r="V79" s="255">
        <f t="shared" si="44"/>
        <v>0</v>
      </c>
      <c r="W79" s="255"/>
      <c r="X79" s="255"/>
      <c r="Y79" s="255"/>
      <c r="Z79" s="254"/>
      <c r="AA79" s="528">
        <v>829000</v>
      </c>
      <c r="AB79" s="267"/>
      <c r="AC79" s="255"/>
      <c r="AD79" s="255"/>
      <c r="AE79" s="255"/>
      <c r="AF79" s="255"/>
      <c r="AG79" s="255"/>
      <c r="AH79" s="255"/>
      <c r="AI79" s="255"/>
      <c r="AJ79" s="255"/>
      <c r="AK79" s="255">
        <f t="shared" si="20"/>
        <v>0</v>
      </c>
      <c r="AL79" s="255"/>
      <c r="AM79" s="255">
        <f t="shared" si="38"/>
        <v>0</v>
      </c>
      <c r="AN79" s="255">
        <f t="shared" si="39"/>
        <v>0</v>
      </c>
      <c r="AO79" s="255">
        <f t="shared" si="40"/>
        <v>0</v>
      </c>
      <c r="AP79" s="255"/>
      <c r="AQ79" s="255"/>
      <c r="AR79" s="255"/>
      <c r="AS79" s="255"/>
      <c r="AT79" s="255">
        <f t="shared" si="41"/>
        <v>0</v>
      </c>
      <c r="AU79" s="255"/>
      <c r="AV79" s="255"/>
      <c r="AW79" s="255"/>
      <c r="AX79" s="255"/>
      <c r="AY79" s="255">
        <f t="shared" si="42"/>
        <v>0</v>
      </c>
      <c r="AZ79" s="255"/>
      <c r="BA79" s="255"/>
      <c r="BB79" s="255"/>
      <c r="BC79" s="255"/>
    </row>
    <row r="80" spans="1:55">
      <c r="A80" s="254">
        <f t="shared" si="43"/>
        <v>76</v>
      </c>
      <c r="B80" s="264">
        <v>1991</v>
      </c>
      <c r="C80" s="254" t="s">
        <v>324</v>
      </c>
      <c r="D80" s="255">
        <v>2000000</v>
      </c>
      <c r="E80" s="255">
        <v>2000000</v>
      </c>
      <c r="F80" s="255">
        <f t="shared" si="33"/>
        <v>0</v>
      </c>
      <c r="G80" s="255">
        <v>2000000</v>
      </c>
      <c r="H80" s="255">
        <v>0</v>
      </c>
      <c r="I80" s="255"/>
      <c r="J80" s="255"/>
      <c r="K80" s="255">
        <f t="shared" si="31"/>
        <v>0</v>
      </c>
      <c r="L80" s="255">
        <f t="shared" si="29"/>
        <v>0</v>
      </c>
      <c r="M80" s="255">
        <f t="shared" si="30"/>
        <v>2000000</v>
      </c>
      <c r="N80" s="255"/>
      <c r="O80" s="255">
        <f t="shared" si="35"/>
        <v>0</v>
      </c>
      <c r="P80" s="255">
        <f t="shared" si="36"/>
        <v>2000000</v>
      </c>
      <c r="Q80" s="255"/>
      <c r="R80" s="255"/>
      <c r="S80" s="255">
        <f t="shared" si="27"/>
        <v>0</v>
      </c>
      <c r="T80" s="255">
        <f t="shared" si="37"/>
        <v>0</v>
      </c>
      <c r="U80" s="255">
        <f t="shared" si="19"/>
        <v>0</v>
      </c>
      <c r="V80" s="255">
        <f t="shared" si="44"/>
        <v>0</v>
      </c>
      <c r="W80" s="255"/>
      <c r="X80" s="255"/>
      <c r="Y80" s="255"/>
      <c r="Z80" s="255"/>
      <c r="AA80" s="528">
        <v>823000</v>
      </c>
      <c r="AB80" s="267"/>
      <c r="AC80" s="255"/>
      <c r="AD80" s="255"/>
      <c r="AE80" s="255"/>
      <c r="AF80" s="255"/>
      <c r="AG80" s="255"/>
      <c r="AH80" s="255"/>
      <c r="AI80" s="255"/>
      <c r="AJ80" s="255"/>
      <c r="AK80" s="255">
        <f t="shared" si="20"/>
        <v>0</v>
      </c>
      <c r="AL80" s="255"/>
      <c r="AM80" s="255">
        <f t="shared" si="38"/>
        <v>0</v>
      </c>
      <c r="AN80" s="255">
        <f t="shared" si="39"/>
        <v>0</v>
      </c>
      <c r="AO80" s="255">
        <f t="shared" si="40"/>
        <v>0</v>
      </c>
      <c r="AP80" s="255"/>
      <c r="AQ80" s="255"/>
      <c r="AR80" s="255"/>
      <c r="AS80" s="255"/>
      <c r="AT80" s="255">
        <f t="shared" si="41"/>
        <v>0</v>
      </c>
      <c r="AU80" s="255"/>
      <c r="AV80" s="255"/>
      <c r="AW80" s="255"/>
      <c r="AX80" s="255"/>
      <c r="AY80" s="255">
        <f t="shared" si="42"/>
        <v>0</v>
      </c>
      <c r="AZ80" s="255"/>
      <c r="BA80" s="255"/>
      <c r="BB80" s="255"/>
      <c r="BC80" s="255"/>
    </row>
    <row r="81" spans="1:55">
      <c r="A81" s="254">
        <f t="shared" si="43"/>
        <v>77</v>
      </c>
      <c r="B81" s="42">
        <v>2015</v>
      </c>
      <c r="C81" s="254" t="s">
        <v>536</v>
      </c>
      <c r="D81" s="255">
        <v>10500000</v>
      </c>
      <c r="E81" s="255"/>
      <c r="F81" s="255">
        <f t="shared" si="33"/>
        <v>10500000</v>
      </c>
      <c r="G81" s="255"/>
      <c r="H81" s="255"/>
      <c r="I81" s="255"/>
      <c r="J81" s="255"/>
      <c r="K81" s="255">
        <f>SUM(I81:J81)</f>
        <v>0</v>
      </c>
      <c r="L81" s="255">
        <f>K81+H81</f>
        <v>0</v>
      </c>
      <c r="M81" s="255">
        <f>P81+S81</f>
        <v>0</v>
      </c>
      <c r="N81" s="255">
        <f>10500000-5000000</f>
        <v>5500000</v>
      </c>
      <c r="O81" s="255">
        <f>D81-L81-M81-N81</f>
        <v>5000000</v>
      </c>
      <c r="P81" s="255">
        <f>G81-L81</f>
        <v>0</v>
      </c>
      <c r="Q81" s="255"/>
      <c r="R81" s="255"/>
      <c r="S81" s="255">
        <f>SUM(Q81:R81)</f>
        <v>0</v>
      </c>
      <c r="T81" s="255"/>
      <c r="U81" s="255">
        <f t="shared" si="19"/>
        <v>5500000</v>
      </c>
      <c r="V81" s="255">
        <f t="shared" si="44"/>
        <v>5500000</v>
      </c>
      <c r="W81" s="255"/>
      <c r="X81" s="255"/>
      <c r="Y81" s="255"/>
      <c r="Z81" s="254"/>
      <c r="AA81" s="528">
        <v>810000</v>
      </c>
      <c r="AB81" s="267"/>
      <c r="AC81" s="255"/>
      <c r="AD81" s="255"/>
      <c r="AE81" s="255"/>
      <c r="AF81" s="255"/>
      <c r="AG81" s="255"/>
      <c r="AH81" s="255">
        <v>250000</v>
      </c>
      <c r="AI81" s="255"/>
      <c r="AJ81" s="255"/>
      <c r="AK81" s="255">
        <f t="shared" si="20"/>
        <v>250000</v>
      </c>
      <c r="AL81" s="255">
        <v>5250000</v>
      </c>
      <c r="AM81" s="255">
        <f t="shared" si="38"/>
        <v>5500000</v>
      </c>
      <c r="AN81" s="255">
        <f t="shared" si="39"/>
        <v>0</v>
      </c>
      <c r="AO81" s="255">
        <f t="shared" si="40"/>
        <v>5500000</v>
      </c>
      <c r="AP81" s="255"/>
      <c r="AQ81" s="255"/>
      <c r="AR81" s="255"/>
      <c r="AS81" s="255"/>
      <c r="AT81" s="255">
        <f t="shared" si="41"/>
        <v>5250000</v>
      </c>
      <c r="AU81" s="255"/>
      <c r="AV81" s="255"/>
      <c r="AW81" s="255"/>
      <c r="AX81" s="255"/>
      <c r="AY81" s="255">
        <f t="shared" si="42"/>
        <v>0</v>
      </c>
      <c r="AZ81" s="255"/>
      <c r="BA81" s="255"/>
      <c r="BB81" s="255"/>
      <c r="BC81" s="255"/>
    </row>
    <row r="82" spans="1:55">
      <c r="A82" s="254">
        <f t="shared" si="43"/>
        <v>78</v>
      </c>
      <c r="B82" s="42">
        <v>2016</v>
      </c>
      <c r="C82" s="254" t="s">
        <v>345</v>
      </c>
      <c r="D82" s="255">
        <v>7340000</v>
      </c>
      <c r="E82" s="255"/>
      <c r="F82" s="255">
        <f t="shared" si="33"/>
        <v>7340000</v>
      </c>
      <c r="G82" s="255"/>
      <c r="H82" s="255"/>
      <c r="I82" s="255"/>
      <c r="J82" s="255"/>
      <c r="K82" s="255">
        <f>SUM(I82:J82)</f>
        <v>0</v>
      </c>
      <c r="L82" s="255">
        <f>K82+H82</f>
        <v>0</v>
      </c>
      <c r="M82" s="255">
        <f>P82+S82</f>
        <v>0</v>
      </c>
      <c r="N82" s="255">
        <v>7340000</v>
      </c>
      <c r="O82" s="255">
        <f t="shared" ref="O82:O89" si="45">D82-L82-M82-N82</f>
        <v>0</v>
      </c>
      <c r="P82" s="255">
        <f>G82-L82</f>
        <v>0</v>
      </c>
      <c r="Q82" s="255"/>
      <c r="R82" s="255"/>
      <c r="S82" s="255"/>
      <c r="T82" s="255"/>
      <c r="U82" s="255">
        <f t="shared" ref="U82:U89" si="46">N82-T82</f>
        <v>7340000</v>
      </c>
      <c r="V82" s="255">
        <f t="shared" si="44"/>
        <v>7340000</v>
      </c>
      <c r="W82" s="255"/>
      <c r="X82" s="255"/>
      <c r="Y82" s="255"/>
      <c r="Z82" s="254"/>
      <c r="AA82" s="528">
        <v>810000</v>
      </c>
      <c r="AB82" s="267"/>
      <c r="AC82" s="255"/>
      <c r="AD82" s="255">
        <v>2340000</v>
      </c>
      <c r="AE82" s="255"/>
      <c r="AF82" s="255">
        <v>2500000</v>
      </c>
      <c r="AG82" s="255"/>
      <c r="AH82" s="255">
        <v>2500000</v>
      </c>
      <c r="AI82" s="255"/>
      <c r="AJ82" s="255"/>
      <c r="AK82" s="255">
        <f t="shared" si="20"/>
        <v>7340000</v>
      </c>
      <c r="AL82" s="255"/>
      <c r="AM82" s="255">
        <f t="shared" si="38"/>
        <v>7340000</v>
      </c>
      <c r="AN82" s="255">
        <f t="shared" si="39"/>
        <v>0</v>
      </c>
      <c r="AO82" s="255">
        <f t="shared" si="40"/>
        <v>7340000</v>
      </c>
      <c r="AP82" s="255"/>
      <c r="AQ82" s="255"/>
      <c r="AR82" s="255"/>
      <c r="AS82" s="255"/>
      <c r="AT82" s="255">
        <f t="shared" si="41"/>
        <v>0</v>
      </c>
      <c r="AU82" s="255"/>
      <c r="AV82" s="255"/>
      <c r="AW82" s="255"/>
      <c r="AX82" s="255"/>
      <c r="AY82" s="255">
        <f t="shared" si="42"/>
        <v>0</v>
      </c>
      <c r="AZ82" s="255"/>
      <c r="BA82" s="255"/>
      <c r="BB82" s="255"/>
      <c r="BC82" s="255"/>
    </row>
    <row r="83" spans="1:55">
      <c r="A83" s="254">
        <f t="shared" si="43"/>
        <v>79</v>
      </c>
      <c r="B83" s="42">
        <v>2017</v>
      </c>
      <c r="C83" s="254" t="s">
        <v>346</v>
      </c>
      <c r="D83" s="255">
        <v>2000000</v>
      </c>
      <c r="E83" s="255"/>
      <c r="F83" s="255">
        <f t="shared" si="33"/>
        <v>2000000</v>
      </c>
      <c r="G83" s="255"/>
      <c r="H83" s="255"/>
      <c r="I83" s="255"/>
      <c r="J83" s="255"/>
      <c r="K83" s="255">
        <f>SUM(I83:J83)</f>
        <v>0</v>
      </c>
      <c r="L83" s="255">
        <f>K83+H83</f>
        <v>0</v>
      </c>
      <c r="M83" s="255">
        <f>P83+S83</f>
        <v>0</v>
      </c>
      <c r="N83" s="255">
        <f>2000000-1000000</f>
        <v>1000000</v>
      </c>
      <c r="O83" s="255">
        <f t="shared" si="45"/>
        <v>1000000</v>
      </c>
      <c r="P83" s="255">
        <f>G83-L83</f>
        <v>0</v>
      </c>
      <c r="Q83" s="255"/>
      <c r="R83" s="255"/>
      <c r="S83" s="255"/>
      <c r="T83" s="255"/>
      <c r="U83" s="255">
        <f t="shared" si="46"/>
        <v>1000000</v>
      </c>
      <c r="V83" s="255">
        <f t="shared" si="44"/>
        <v>1000000</v>
      </c>
      <c r="W83" s="255"/>
      <c r="X83" s="255"/>
      <c r="Y83" s="255"/>
      <c r="Z83" s="254"/>
      <c r="AA83" s="528">
        <v>824000</v>
      </c>
      <c r="AB83" s="267"/>
      <c r="AC83" s="255"/>
      <c r="AD83" s="255">
        <v>500000</v>
      </c>
      <c r="AE83" s="255"/>
      <c r="AF83" s="255"/>
      <c r="AG83" s="255"/>
      <c r="AH83" s="255"/>
      <c r="AI83" s="255"/>
      <c r="AJ83" s="255"/>
      <c r="AK83" s="255">
        <f t="shared" si="20"/>
        <v>500000</v>
      </c>
      <c r="AL83" s="255">
        <v>500000</v>
      </c>
      <c r="AM83" s="255">
        <f t="shared" si="38"/>
        <v>1000000</v>
      </c>
      <c r="AN83" s="255">
        <f t="shared" si="39"/>
        <v>0</v>
      </c>
      <c r="AO83" s="255">
        <f t="shared" si="40"/>
        <v>1000000</v>
      </c>
      <c r="AP83" s="255"/>
      <c r="AQ83" s="255"/>
      <c r="AR83" s="255"/>
      <c r="AS83" s="255"/>
      <c r="AT83" s="255">
        <f t="shared" si="41"/>
        <v>500000</v>
      </c>
      <c r="AU83" s="255"/>
      <c r="AV83" s="255"/>
      <c r="AW83" s="255"/>
      <c r="AX83" s="255"/>
      <c r="AY83" s="255">
        <f t="shared" si="42"/>
        <v>0</v>
      </c>
      <c r="AZ83" s="255"/>
      <c r="BA83" s="255"/>
      <c r="BB83" s="255"/>
      <c r="BC83" s="255"/>
    </row>
    <row r="84" spans="1:55">
      <c r="A84" s="254">
        <f t="shared" si="43"/>
        <v>80</v>
      </c>
      <c r="B84" s="42">
        <v>2018</v>
      </c>
      <c r="C84" s="254" t="s">
        <v>347</v>
      </c>
      <c r="D84" s="255">
        <v>10000000</v>
      </c>
      <c r="E84" s="255"/>
      <c r="F84" s="255">
        <f t="shared" si="33"/>
        <v>10000000</v>
      </c>
      <c r="G84" s="255"/>
      <c r="H84" s="255"/>
      <c r="I84" s="255"/>
      <c r="J84" s="255"/>
      <c r="K84" s="255"/>
      <c r="L84" s="255"/>
      <c r="M84" s="255"/>
      <c r="N84" s="255">
        <v>3300000</v>
      </c>
      <c r="O84" s="255">
        <f t="shared" si="45"/>
        <v>6700000</v>
      </c>
      <c r="P84" s="255"/>
      <c r="Q84" s="255"/>
      <c r="R84" s="255"/>
      <c r="S84" s="255"/>
      <c r="T84" s="255"/>
      <c r="U84" s="4">
        <f t="shared" si="46"/>
        <v>3300000</v>
      </c>
      <c r="V84" s="255">
        <f t="shared" si="44"/>
        <v>3300000</v>
      </c>
      <c r="W84" s="255"/>
      <c r="X84" s="255"/>
      <c r="Y84" s="255"/>
      <c r="Z84" s="254"/>
      <c r="AA84" s="528">
        <v>742000</v>
      </c>
      <c r="AB84" s="267"/>
      <c r="AC84" s="255"/>
      <c r="AD84" s="255">
        <v>300000</v>
      </c>
      <c r="AE84" s="255"/>
      <c r="AF84" s="255"/>
      <c r="AG84" s="255"/>
      <c r="AH84" s="255">
        <v>200000</v>
      </c>
      <c r="AI84" s="255">
        <v>500000</v>
      </c>
      <c r="AJ84" s="255">
        <v>1300000</v>
      </c>
      <c r="AK84" s="255">
        <f t="shared" si="20"/>
        <v>2300000</v>
      </c>
      <c r="AL84" s="255">
        <v>1000000</v>
      </c>
      <c r="AM84" s="255">
        <f t="shared" si="38"/>
        <v>3300000</v>
      </c>
      <c r="AN84" s="255">
        <f t="shared" si="39"/>
        <v>0</v>
      </c>
      <c r="AO84" s="255">
        <f t="shared" si="40"/>
        <v>3300000</v>
      </c>
      <c r="AP84" s="255"/>
      <c r="AQ84" s="255"/>
      <c r="AR84" s="255"/>
      <c r="AS84" s="255"/>
      <c r="AT84" s="255">
        <f t="shared" si="41"/>
        <v>1000000</v>
      </c>
      <c r="AU84" s="255"/>
      <c r="AV84" s="255"/>
      <c r="AW84" s="255"/>
      <c r="AX84" s="255"/>
      <c r="AY84" s="255">
        <f t="shared" si="42"/>
        <v>0</v>
      </c>
      <c r="AZ84" s="255"/>
      <c r="BA84" s="255"/>
      <c r="BB84" s="255"/>
      <c r="BC84" s="255"/>
    </row>
    <row r="85" spans="1:55">
      <c r="A85" s="254">
        <f t="shared" si="43"/>
        <v>81</v>
      </c>
      <c r="B85" s="42">
        <v>2019</v>
      </c>
      <c r="C85" s="254" t="s">
        <v>348</v>
      </c>
      <c r="D85" s="255">
        <v>1200000</v>
      </c>
      <c r="E85" s="255"/>
      <c r="F85" s="255">
        <f t="shared" si="33"/>
        <v>1200000</v>
      </c>
      <c r="G85" s="255"/>
      <c r="H85" s="255"/>
      <c r="I85" s="255"/>
      <c r="J85" s="255"/>
      <c r="K85" s="255"/>
      <c r="L85" s="255"/>
      <c r="M85" s="255"/>
      <c r="N85" s="255">
        <v>1200000</v>
      </c>
      <c r="O85" s="255">
        <f t="shared" si="45"/>
        <v>0</v>
      </c>
      <c r="P85" s="255"/>
      <c r="Q85" s="255"/>
      <c r="R85" s="255"/>
      <c r="S85" s="255"/>
      <c r="T85" s="255"/>
      <c r="U85" s="4">
        <f t="shared" si="46"/>
        <v>1200000</v>
      </c>
      <c r="V85" s="255">
        <f t="shared" si="44"/>
        <v>1200000</v>
      </c>
      <c r="W85" s="255"/>
      <c r="X85" s="255"/>
      <c r="Y85" s="255"/>
      <c r="Z85" s="254"/>
      <c r="AA85" s="528">
        <v>742000</v>
      </c>
      <c r="AB85" s="267"/>
      <c r="AC85" s="255"/>
      <c r="AD85" s="255">
        <v>350000</v>
      </c>
      <c r="AE85" s="255"/>
      <c r="AF85" s="255"/>
      <c r="AG85" s="255"/>
      <c r="AH85" s="255"/>
      <c r="AI85" s="255"/>
      <c r="AJ85" s="255">
        <v>850000</v>
      </c>
      <c r="AK85" s="255">
        <f t="shared" si="20"/>
        <v>1200000</v>
      </c>
      <c r="AL85" s="255"/>
      <c r="AM85" s="255">
        <f t="shared" si="38"/>
        <v>1200000</v>
      </c>
      <c r="AN85" s="255">
        <f t="shared" si="39"/>
        <v>0</v>
      </c>
      <c r="AO85" s="255">
        <f t="shared" si="40"/>
        <v>1200000</v>
      </c>
      <c r="AP85" s="255"/>
      <c r="AQ85" s="255"/>
      <c r="AR85" s="255"/>
      <c r="AS85" s="255"/>
      <c r="AT85" s="255">
        <f t="shared" si="41"/>
        <v>0</v>
      </c>
      <c r="AU85" s="255"/>
      <c r="AV85" s="255"/>
      <c r="AW85" s="255"/>
      <c r="AX85" s="255"/>
      <c r="AY85" s="255">
        <f t="shared" si="42"/>
        <v>0</v>
      </c>
      <c r="AZ85" s="255"/>
      <c r="BA85" s="255"/>
      <c r="BB85" s="255"/>
      <c r="BC85" s="255"/>
    </row>
    <row r="86" spans="1:55" ht="28">
      <c r="A86" s="254">
        <f t="shared" si="43"/>
        <v>82</v>
      </c>
      <c r="B86" s="244">
        <v>2020</v>
      </c>
      <c r="C86" s="244" t="s">
        <v>1144</v>
      </c>
      <c r="D86" s="255">
        <v>500000</v>
      </c>
      <c r="E86" s="255"/>
      <c r="F86" s="255">
        <f t="shared" si="33"/>
        <v>500000</v>
      </c>
      <c r="G86" s="255"/>
      <c r="H86" s="255"/>
      <c r="I86" s="255"/>
      <c r="J86" s="255"/>
      <c r="K86" s="255"/>
      <c r="L86" s="255"/>
      <c r="M86" s="255"/>
      <c r="N86" s="255">
        <v>500000</v>
      </c>
      <c r="O86" s="255">
        <f t="shared" si="45"/>
        <v>0</v>
      </c>
      <c r="P86" s="255"/>
      <c r="Q86" s="255"/>
      <c r="R86" s="255"/>
      <c r="S86" s="255"/>
      <c r="T86" s="255"/>
      <c r="U86" s="4">
        <f t="shared" si="46"/>
        <v>500000</v>
      </c>
      <c r="V86" s="255">
        <f t="shared" si="44"/>
        <v>500000</v>
      </c>
      <c r="W86" s="255"/>
      <c r="X86" s="255"/>
      <c r="Y86" s="255"/>
      <c r="Z86" s="254"/>
      <c r="AA86" s="528">
        <v>746000</v>
      </c>
      <c r="AB86" s="267"/>
      <c r="AC86" s="255"/>
      <c r="AD86" s="255"/>
      <c r="AE86" s="255"/>
      <c r="AF86" s="255"/>
      <c r="AG86" s="255"/>
      <c r="AH86" s="255"/>
      <c r="AI86" s="255"/>
      <c r="AJ86" s="255"/>
      <c r="AK86" s="255">
        <f t="shared" si="20"/>
        <v>0</v>
      </c>
      <c r="AL86" s="255"/>
      <c r="AM86" s="255">
        <f t="shared" si="38"/>
        <v>0</v>
      </c>
      <c r="AN86" s="255">
        <f t="shared" si="39"/>
        <v>500000</v>
      </c>
      <c r="AO86" s="255">
        <f t="shared" si="40"/>
        <v>0</v>
      </c>
      <c r="AP86" s="255"/>
      <c r="AQ86" s="255"/>
      <c r="AR86" s="255"/>
      <c r="AS86" s="255"/>
      <c r="AT86" s="255">
        <f t="shared" si="41"/>
        <v>0</v>
      </c>
      <c r="AU86" s="255"/>
      <c r="AV86" s="255"/>
      <c r="AW86" s="255"/>
      <c r="AX86" s="255"/>
      <c r="AY86" s="255">
        <f t="shared" si="42"/>
        <v>500000</v>
      </c>
      <c r="AZ86" s="255"/>
      <c r="BA86" s="255"/>
      <c r="BB86" s="255"/>
      <c r="BC86" s="255"/>
    </row>
    <row r="87" spans="1:55">
      <c r="A87" s="254">
        <f t="shared" si="43"/>
        <v>83</v>
      </c>
      <c r="B87" s="42">
        <v>2021</v>
      </c>
      <c r="C87" s="254" t="s">
        <v>537</v>
      </c>
      <c r="D87" s="255">
        <v>500000</v>
      </c>
      <c r="E87" s="255"/>
      <c r="F87" s="255">
        <f t="shared" si="33"/>
        <v>500000</v>
      </c>
      <c r="G87" s="255"/>
      <c r="H87" s="255"/>
      <c r="I87" s="255"/>
      <c r="J87" s="255"/>
      <c r="K87" s="255"/>
      <c r="L87" s="255"/>
      <c r="M87" s="255"/>
      <c r="N87" s="255">
        <v>500000</v>
      </c>
      <c r="O87" s="255">
        <f t="shared" si="45"/>
        <v>0</v>
      </c>
      <c r="P87" s="255"/>
      <c r="Q87" s="255"/>
      <c r="R87" s="255"/>
      <c r="S87" s="255"/>
      <c r="T87" s="255"/>
      <c r="U87" s="4">
        <f t="shared" si="46"/>
        <v>500000</v>
      </c>
      <c r="V87" s="255">
        <f t="shared" si="44"/>
        <v>500000</v>
      </c>
      <c r="W87" s="255"/>
      <c r="X87" s="255"/>
      <c r="Y87" s="255"/>
      <c r="Z87" s="254"/>
      <c r="AA87" s="528">
        <v>850000</v>
      </c>
      <c r="AB87" s="267"/>
      <c r="AC87" s="267"/>
      <c r="AD87" s="267"/>
      <c r="AE87" s="267"/>
      <c r="AF87" s="267"/>
      <c r="AG87" s="267"/>
      <c r="AH87" s="255">
        <v>150000</v>
      </c>
      <c r="AI87" s="255"/>
      <c r="AJ87" s="255"/>
      <c r="AK87" s="254">
        <f t="shared" ref="AK87:AK92" si="47">SUM(AB87:AJ87)</f>
        <v>150000</v>
      </c>
      <c r="AL87" s="255">
        <v>350000</v>
      </c>
      <c r="AM87" s="255">
        <f t="shared" si="38"/>
        <v>500000</v>
      </c>
      <c r="AN87" s="255">
        <f t="shared" si="39"/>
        <v>0</v>
      </c>
      <c r="AO87" s="255">
        <f t="shared" si="40"/>
        <v>500000</v>
      </c>
      <c r="AP87" s="255"/>
      <c r="AQ87" s="255"/>
      <c r="AR87" s="255"/>
      <c r="AS87" s="255"/>
      <c r="AT87" s="255">
        <f t="shared" si="41"/>
        <v>350000</v>
      </c>
      <c r="AU87" s="255"/>
      <c r="AV87" s="255"/>
      <c r="AW87" s="255"/>
      <c r="AX87" s="255"/>
      <c r="AY87" s="255">
        <f t="shared" si="42"/>
        <v>0</v>
      </c>
      <c r="AZ87" s="255"/>
      <c r="BA87" s="255"/>
      <c r="BB87" s="255"/>
      <c r="BC87" s="255"/>
    </row>
    <row r="88" spans="1:55">
      <c r="A88" s="254">
        <f t="shared" si="43"/>
        <v>84</v>
      </c>
      <c r="B88" s="42">
        <v>2022</v>
      </c>
      <c r="C88" s="254" t="s">
        <v>349</v>
      </c>
      <c r="D88" s="255">
        <v>20000000</v>
      </c>
      <c r="E88" s="255"/>
      <c r="F88" s="255">
        <f t="shared" si="33"/>
        <v>20000000</v>
      </c>
      <c r="G88" s="255"/>
      <c r="H88" s="255"/>
      <c r="I88" s="255"/>
      <c r="J88" s="255"/>
      <c r="K88" s="255"/>
      <c r="L88" s="255"/>
      <c r="M88" s="255"/>
      <c r="N88" s="255">
        <v>2000000</v>
      </c>
      <c r="O88" s="255">
        <f t="shared" si="45"/>
        <v>18000000</v>
      </c>
      <c r="P88" s="255"/>
      <c r="Q88" s="255"/>
      <c r="R88" s="255"/>
      <c r="S88" s="255"/>
      <c r="T88" s="255"/>
      <c r="U88" s="4">
        <f t="shared" si="46"/>
        <v>2000000</v>
      </c>
      <c r="V88" s="255">
        <f t="shared" si="44"/>
        <v>2000000</v>
      </c>
      <c r="W88" s="255"/>
      <c r="X88" s="255"/>
      <c r="Y88" s="255"/>
      <c r="Z88" s="254"/>
      <c r="AA88" s="528">
        <v>829000</v>
      </c>
      <c r="AB88" s="267"/>
      <c r="AC88" s="267"/>
      <c r="AD88" s="267"/>
      <c r="AE88" s="267"/>
      <c r="AF88" s="267"/>
      <c r="AG88" s="267"/>
      <c r="AH88" s="267"/>
      <c r="AI88" s="255">
        <v>200000</v>
      </c>
      <c r="AJ88" s="255"/>
      <c r="AK88" s="255">
        <f t="shared" si="47"/>
        <v>200000</v>
      </c>
      <c r="AL88" s="255">
        <v>1800000</v>
      </c>
      <c r="AM88" s="255">
        <f t="shared" si="38"/>
        <v>2000000</v>
      </c>
      <c r="AN88" s="255">
        <f t="shared" si="39"/>
        <v>0</v>
      </c>
      <c r="AO88" s="255">
        <f t="shared" si="40"/>
        <v>2000000</v>
      </c>
      <c r="AP88" s="255"/>
      <c r="AQ88" s="255"/>
      <c r="AR88" s="255"/>
      <c r="AS88" s="255"/>
      <c r="AT88" s="255">
        <f t="shared" si="41"/>
        <v>1800000</v>
      </c>
      <c r="AU88" s="255"/>
      <c r="AV88" s="255"/>
      <c r="AW88" s="255"/>
      <c r="AX88" s="255"/>
      <c r="AY88" s="255">
        <f t="shared" si="42"/>
        <v>0</v>
      </c>
      <c r="AZ88" s="255"/>
      <c r="BA88" s="255"/>
      <c r="BB88" s="255"/>
      <c r="BC88" s="255"/>
    </row>
    <row r="89" spans="1:55">
      <c r="A89" s="254">
        <f t="shared" si="43"/>
        <v>85</v>
      </c>
      <c r="B89" s="42">
        <v>2023</v>
      </c>
      <c r="C89" s="254" t="s">
        <v>576</v>
      </c>
      <c r="D89" s="255">
        <v>7340000</v>
      </c>
      <c r="E89" s="255"/>
      <c r="F89" s="255">
        <f t="shared" si="33"/>
        <v>7340000</v>
      </c>
      <c r="G89" s="255"/>
      <c r="H89" s="255"/>
      <c r="I89" s="255"/>
      <c r="J89" s="255"/>
      <c r="K89" s="255"/>
      <c r="L89" s="255"/>
      <c r="M89" s="255"/>
      <c r="N89" s="255">
        <v>3000000</v>
      </c>
      <c r="O89" s="255">
        <f t="shared" si="45"/>
        <v>4340000</v>
      </c>
      <c r="P89" s="255"/>
      <c r="Q89" s="255"/>
      <c r="R89" s="255"/>
      <c r="S89" s="255"/>
      <c r="T89" s="255"/>
      <c r="U89" s="4">
        <f t="shared" si="46"/>
        <v>3000000</v>
      </c>
      <c r="V89" s="255">
        <f t="shared" si="44"/>
        <v>3000000</v>
      </c>
      <c r="W89" s="255"/>
      <c r="X89" s="255"/>
      <c r="Y89" s="255"/>
      <c r="Z89" s="254"/>
      <c r="AA89" s="528">
        <v>810000</v>
      </c>
      <c r="AB89" s="267"/>
      <c r="AC89" s="267"/>
      <c r="AD89" s="255">
        <v>250000</v>
      </c>
      <c r="AE89" s="255"/>
      <c r="AF89" s="255"/>
      <c r="AG89" s="255"/>
      <c r="AH89" s="255"/>
      <c r="AI89" s="255"/>
      <c r="AJ89" s="255"/>
      <c r="AK89" s="255">
        <f t="shared" si="47"/>
        <v>250000</v>
      </c>
      <c r="AL89" s="255">
        <v>2750000</v>
      </c>
      <c r="AM89" s="255">
        <f t="shared" si="38"/>
        <v>3000000</v>
      </c>
      <c r="AN89" s="255">
        <f t="shared" si="39"/>
        <v>0</v>
      </c>
      <c r="AO89" s="255">
        <f t="shared" si="40"/>
        <v>3000000</v>
      </c>
      <c r="AP89" s="255"/>
      <c r="AQ89" s="255"/>
      <c r="AR89" s="255"/>
      <c r="AS89" s="255"/>
      <c r="AT89" s="255">
        <f t="shared" si="41"/>
        <v>2750000</v>
      </c>
      <c r="AU89" s="255"/>
      <c r="AV89" s="255"/>
      <c r="AW89" s="255"/>
      <c r="AX89" s="255"/>
      <c r="AY89" s="255">
        <f t="shared" si="42"/>
        <v>0</v>
      </c>
      <c r="AZ89" s="255"/>
      <c r="BA89" s="255"/>
      <c r="BB89" s="255"/>
      <c r="BC89" s="255"/>
    </row>
    <row r="90" spans="1:55">
      <c r="A90" s="254">
        <f t="shared" si="43"/>
        <v>86</v>
      </c>
      <c r="B90" s="42">
        <v>2024</v>
      </c>
      <c r="C90" s="254" t="s">
        <v>577</v>
      </c>
      <c r="D90" s="255">
        <v>7340000</v>
      </c>
      <c r="E90" s="255"/>
      <c r="F90" s="255">
        <f>D90-E90</f>
        <v>7340000</v>
      </c>
      <c r="G90" s="255"/>
      <c r="H90" s="255"/>
      <c r="I90" s="255"/>
      <c r="J90" s="255"/>
      <c r="K90" s="255"/>
      <c r="L90" s="255"/>
      <c r="M90" s="255"/>
      <c r="N90" s="255">
        <v>700000</v>
      </c>
      <c r="O90" s="255">
        <f>D90-L90-M90-N90</f>
        <v>6640000</v>
      </c>
      <c r="P90" s="255"/>
      <c r="Q90" s="255"/>
      <c r="R90" s="255"/>
      <c r="S90" s="255"/>
      <c r="T90" s="255"/>
      <c r="U90" s="4">
        <f>N90-T90</f>
        <v>700000</v>
      </c>
      <c r="V90" s="255">
        <f t="shared" si="44"/>
        <v>700000</v>
      </c>
      <c r="W90" s="255"/>
      <c r="X90" s="255"/>
      <c r="Y90" s="255"/>
      <c r="Z90" s="254"/>
      <c r="AA90" s="528">
        <v>810000</v>
      </c>
      <c r="AB90" s="267"/>
      <c r="AC90" s="267"/>
      <c r="AD90" s="255">
        <v>250000</v>
      </c>
      <c r="AE90" s="255"/>
      <c r="AF90" s="255"/>
      <c r="AG90" s="255"/>
      <c r="AH90" s="255"/>
      <c r="AI90" s="255"/>
      <c r="AJ90" s="255"/>
      <c r="AK90" s="255">
        <f t="shared" si="47"/>
        <v>250000</v>
      </c>
      <c r="AL90" s="255">
        <v>450000</v>
      </c>
      <c r="AM90" s="255">
        <f t="shared" si="38"/>
        <v>700000</v>
      </c>
      <c r="AN90" s="255">
        <f t="shared" si="39"/>
        <v>0</v>
      </c>
      <c r="AO90" s="255">
        <f t="shared" si="40"/>
        <v>700000</v>
      </c>
      <c r="AP90" s="255"/>
      <c r="AQ90" s="255"/>
      <c r="AR90" s="255"/>
      <c r="AS90" s="255"/>
      <c r="AT90" s="255">
        <f t="shared" si="41"/>
        <v>450000</v>
      </c>
      <c r="AU90" s="255"/>
      <c r="AV90" s="255"/>
      <c r="AW90" s="255"/>
      <c r="AX90" s="255"/>
      <c r="AY90" s="255">
        <f t="shared" si="42"/>
        <v>0</v>
      </c>
      <c r="AZ90" s="255"/>
      <c r="BA90" s="255"/>
      <c r="BB90" s="255"/>
      <c r="BC90" s="255"/>
    </row>
    <row r="91" spans="1:55">
      <c r="A91" s="254">
        <f t="shared" si="43"/>
        <v>87</v>
      </c>
      <c r="B91" s="42">
        <v>2025</v>
      </c>
      <c r="C91" s="254" t="s">
        <v>578</v>
      </c>
      <c r="D91" s="255">
        <v>2600000</v>
      </c>
      <c r="E91" s="255"/>
      <c r="F91" s="255">
        <f>D91-E91</f>
        <v>2600000</v>
      </c>
      <c r="G91" s="255"/>
      <c r="H91" s="255"/>
      <c r="I91" s="255"/>
      <c r="J91" s="255"/>
      <c r="K91" s="255"/>
      <c r="L91" s="255"/>
      <c r="M91" s="255"/>
      <c r="N91" s="255">
        <v>1300000</v>
      </c>
      <c r="O91" s="255">
        <f>D91-L91-M91-N91</f>
        <v>1300000</v>
      </c>
      <c r="P91" s="255"/>
      <c r="Q91" s="255"/>
      <c r="R91" s="255"/>
      <c r="S91" s="255"/>
      <c r="T91" s="255"/>
      <c r="U91" s="4">
        <f>N91-T91</f>
        <v>1300000</v>
      </c>
      <c r="V91" s="255">
        <f t="shared" si="44"/>
        <v>1300000</v>
      </c>
      <c r="W91" s="255"/>
      <c r="X91" s="255"/>
      <c r="Y91" s="255"/>
      <c r="Z91" s="254"/>
      <c r="AA91" s="528">
        <v>810000</v>
      </c>
      <c r="AB91" s="267"/>
      <c r="AC91" s="267"/>
      <c r="AD91" s="267"/>
      <c r="AE91" s="267"/>
      <c r="AF91" s="267"/>
      <c r="AG91" s="267"/>
      <c r="AH91" s="255">
        <v>150000</v>
      </c>
      <c r="AI91" s="255"/>
      <c r="AJ91" s="255"/>
      <c r="AK91" s="255">
        <f t="shared" si="47"/>
        <v>150000</v>
      </c>
      <c r="AL91" s="255">
        <v>1150000</v>
      </c>
      <c r="AM91" s="255">
        <f t="shared" si="38"/>
        <v>1300000</v>
      </c>
      <c r="AN91" s="255">
        <f t="shared" si="39"/>
        <v>0</v>
      </c>
      <c r="AO91" s="255">
        <f t="shared" si="40"/>
        <v>1300000</v>
      </c>
      <c r="AP91" s="255"/>
      <c r="AQ91" s="255"/>
      <c r="AR91" s="255"/>
      <c r="AS91" s="255"/>
      <c r="AT91" s="255">
        <f t="shared" si="41"/>
        <v>1150000</v>
      </c>
      <c r="AU91" s="255"/>
      <c r="AV91" s="255"/>
      <c r="AW91" s="255"/>
      <c r="AX91" s="255"/>
      <c r="AY91" s="255">
        <f t="shared" si="42"/>
        <v>0</v>
      </c>
      <c r="AZ91" s="255"/>
      <c r="BA91" s="255"/>
      <c r="BB91" s="255"/>
      <c r="BC91" s="255"/>
    </row>
    <row r="92" spans="1:55">
      <c r="A92" s="254">
        <f t="shared" si="43"/>
        <v>88</v>
      </c>
      <c r="B92" s="42">
        <v>2026</v>
      </c>
      <c r="C92" s="254" t="s">
        <v>579</v>
      </c>
      <c r="D92" s="255">
        <v>7340000</v>
      </c>
      <c r="E92" s="255"/>
      <c r="F92" s="255">
        <f>D92-E92</f>
        <v>7340000</v>
      </c>
      <c r="G92" s="255"/>
      <c r="H92" s="255"/>
      <c r="I92" s="255"/>
      <c r="J92" s="255"/>
      <c r="K92" s="255"/>
      <c r="L92" s="255"/>
      <c r="M92" s="255"/>
      <c r="N92" s="255">
        <v>3000000</v>
      </c>
      <c r="O92" s="255">
        <f>D92-L92-M92-N92</f>
        <v>4340000</v>
      </c>
      <c r="P92" s="255"/>
      <c r="Q92" s="255"/>
      <c r="R92" s="255"/>
      <c r="S92" s="255"/>
      <c r="T92" s="255"/>
      <c r="U92" s="4">
        <f>N92-T92</f>
        <v>3000000</v>
      </c>
      <c r="V92" s="255">
        <f t="shared" si="44"/>
        <v>3000000</v>
      </c>
      <c r="W92" s="255"/>
      <c r="X92" s="255"/>
      <c r="Y92" s="255"/>
      <c r="Z92" s="254"/>
      <c r="AA92" s="528">
        <v>810000</v>
      </c>
      <c r="AB92" s="267"/>
      <c r="AC92" s="267"/>
      <c r="AD92" s="267"/>
      <c r="AE92" s="255">
        <v>150000</v>
      </c>
      <c r="AF92" s="255"/>
      <c r="AG92" s="255"/>
      <c r="AH92" s="255"/>
      <c r="AI92" s="255"/>
      <c r="AJ92" s="255"/>
      <c r="AK92" s="255">
        <f t="shared" si="47"/>
        <v>150000</v>
      </c>
      <c r="AL92" s="255"/>
      <c r="AM92" s="255">
        <f t="shared" si="38"/>
        <v>150000</v>
      </c>
      <c r="AN92" s="255">
        <f t="shared" si="39"/>
        <v>2850000</v>
      </c>
      <c r="AO92" s="255">
        <f t="shared" si="40"/>
        <v>150000</v>
      </c>
      <c r="AP92" s="255"/>
      <c r="AQ92" s="255"/>
      <c r="AR92" s="255"/>
      <c r="AS92" s="255"/>
      <c r="AT92" s="255">
        <f t="shared" si="41"/>
        <v>0</v>
      </c>
      <c r="AU92" s="255"/>
      <c r="AV92" s="255"/>
      <c r="AW92" s="255"/>
      <c r="AX92" s="255"/>
      <c r="AY92" s="255">
        <f t="shared" si="42"/>
        <v>2850000</v>
      </c>
      <c r="AZ92" s="255"/>
      <c r="BA92" s="255"/>
      <c r="BB92" s="255"/>
      <c r="BC92" s="255"/>
    </row>
    <row r="93" spans="1:55" s="433" customFormat="1">
      <c r="A93" s="260"/>
      <c r="B93" s="435"/>
      <c r="C93" s="260" t="s">
        <v>433</v>
      </c>
      <c r="D93" s="262">
        <f t="shared" ref="D93:AX93" si="48">SUM(D5:D92)</f>
        <v>1465427405</v>
      </c>
      <c r="E93" s="262">
        <f t="shared" si="48"/>
        <v>1207147405</v>
      </c>
      <c r="F93" s="262">
        <f t="shared" si="48"/>
        <v>258280000</v>
      </c>
      <c r="G93" s="262">
        <f t="shared" si="48"/>
        <v>725083248</v>
      </c>
      <c r="H93" s="262">
        <f t="shared" si="48"/>
        <v>549630069.54999995</v>
      </c>
      <c r="I93" s="262">
        <f t="shared" si="48"/>
        <v>1217527.7100000002</v>
      </c>
      <c r="J93" s="262">
        <f t="shared" si="48"/>
        <v>68725989.829999968</v>
      </c>
      <c r="K93" s="262">
        <f t="shared" si="48"/>
        <v>69943517.539999962</v>
      </c>
      <c r="L93" s="262">
        <f t="shared" si="48"/>
        <v>619573587.09000027</v>
      </c>
      <c r="M93" s="262">
        <f t="shared" si="48"/>
        <v>125464273.90999997</v>
      </c>
      <c r="N93" s="262">
        <f t="shared" si="48"/>
        <v>216773944</v>
      </c>
      <c r="O93" s="262">
        <f t="shared" si="48"/>
        <v>503615600</v>
      </c>
      <c r="P93" s="262">
        <f t="shared" si="48"/>
        <v>105509660.90999997</v>
      </c>
      <c r="Q93" s="262">
        <f t="shared" si="48"/>
        <v>22554613</v>
      </c>
      <c r="R93" s="262">
        <f t="shared" si="48"/>
        <v>-1200000</v>
      </c>
      <c r="S93" s="262">
        <f t="shared" si="48"/>
        <v>21354613</v>
      </c>
      <c r="T93" s="262">
        <f t="shared" si="48"/>
        <v>1400000</v>
      </c>
      <c r="U93" s="262">
        <f t="shared" si="48"/>
        <v>215373944</v>
      </c>
      <c r="V93" s="262">
        <f t="shared" si="48"/>
        <v>158809941</v>
      </c>
      <c r="W93" s="262">
        <f t="shared" si="48"/>
        <v>0</v>
      </c>
      <c r="X93" s="262">
        <f t="shared" si="48"/>
        <v>1250000</v>
      </c>
      <c r="Y93" s="262">
        <f t="shared" si="48"/>
        <v>0</v>
      </c>
      <c r="Z93" s="262">
        <f t="shared" si="48"/>
        <v>55314003</v>
      </c>
      <c r="AA93" s="262">
        <f t="shared" si="48"/>
        <v>68653000</v>
      </c>
      <c r="AB93" s="262">
        <f t="shared" si="48"/>
        <v>0</v>
      </c>
      <c r="AC93" s="262">
        <f t="shared" ref="AC93:AI93" si="49">SUM(AC5:AC92)</f>
        <v>6300000</v>
      </c>
      <c r="AD93" s="262">
        <f t="shared" si="49"/>
        <v>9190000</v>
      </c>
      <c r="AE93" s="262">
        <f t="shared" si="49"/>
        <v>3150000</v>
      </c>
      <c r="AF93" s="262">
        <f t="shared" si="49"/>
        <v>15032847</v>
      </c>
      <c r="AG93" s="262">
        <f t="shared" si="49"/>
        <v>2500000</v>
      </c>
      <c r="AH93" s="262">
        <f t="shared" si="49"/>
        <v>14299800</v>
      </c>
      <c r="AI93" s="262">
        <f t="shared" si="49"/>
        <v>2800000</v>
      </c>
      <c r="AJ93" s="262">
        <f t="shared" si="48"/>
        <v>8720000</v>
      </c>
      <c r="AK93" s="535">
        <f t="shared" si="48"/>
        <v>61992647</v>
      </c>
      <c r="AL93" s="535">
        <f t="shared" si="48"/>
        <v>108759932</v>
      </c>
      <c r="AM93" s="535">
        <f t="shared" si="48"/>
        <v>170752579</v>
      </c>
      <c r="AN93" s="535">
        <f t="shared" si="48"/>
        <v>44621365</v>
      </c>
      <c r="AO93" s="535">
        <f t="shared" si="48"/>
        <v>148109564</v>
      </c>
      <c r="AP93" s="535">
        <f t="shared" si="48"/>
        <v>0</v>
      </c>
      <c r="AQ93" s="535">
        <f t="shared" si="48"/>
        <v>0</v>
      </c>
      <c r="AR93" s="535">
        <f t="shared" si="48"/>
        <v>0</v>
      </c>
      <c r="AS93" s="535">
        <f t="shared" si="48"/>
        <v>22643015</v>
      </c>
      <c r="AT93" s="535">
        <f t="shared" si="48"/>
        <v>103759932</v>
      </c>
      <c r="AU93" s="535">
        <f t="shared" si="48"/>
        <v>0</v>
      </c>
      <c r="AV93" s="535">
        <f t="shared" si="48"/>
        <v>0</v>
      </c>
      <c r="AW93" s="535">
        <f t="shared" si="48"/>
        <v>0</v>
      </c>
      <c r="AX93" s="535">
        <f t="shared" si="48"/>
        <v>5000000</v>
      </c>
      <c r="AY93" s="535">
        <f>SUM(AY5:AY92)</f>
        <v>10700377</v>
      </c>
      <c r="AZ93" s="535">
        <f>SUM(AZ5:AZ92)</f>
        <v>0</v>
      </c>
      <c r="BA93" s="535">
        <f>SUM(BA5:BA92)</f>
        <v>1250000</v>
      </c>
      <c r="BB93" s="535">
        <f>SUM(BB5:BB92)</f>
        <v>0</v>
      </c>
      <c r="BC93" s="535">
        <f>SUM(BC5:BC92)</f>
        <v>32670988</v>
      </c>
    </row>
    <row r="94" spans="1:55" s="433" customFormat="1">
      <c r="A94" s="260"/>
      <c r="B94" s="435"/>
      <c r="C94" s="260" t="s">
        <v>298</v>
      </c>
      <c r="D94" s="262"/>
      <c r="E94" s="262"/>
      <c r="F94" s="262"/>
      <c r="G94" s="262"/>
      <c r="H94" s="262"/>
      <c r="I94" s="262"/>
      <c r="J94" s="262"/>
      <c r="K94" s="262"/>
      <c r="L94" s="262"/>
      <c r="M94" s="262"/>
      <c r="N94" s="262"/>
      <c r="O94" s="262"/>
      <c r="P94" s="262"/>
      <c r="Q94" s="262"/>
      <c r="R94" s="262"/>
      <c r="S94" s="262"/>
      <c r="T94" s="262"/>
      <c r="U94" s="262"/>
      <c r="V94" s="262"/>
      <c r="W94" s="262"/>
      <c r="X94" s="262"/>
      <c r="Y94" s="262"/>
      <c r="Z94" s="262"/>
      <c r="AA94" s="536"/>
      <c r="AB94" s="537"/>
      <c r="AC94" s="537"/>
      <c r="AD94" s="537"/>
      <c r="AE94" s="537"/>
      <c r="AF94" s="537"/>
      <c r="AG94" s="537"/>
      <c r="AH94" s="537"/>
      <c r="AI94" s="537"/>
      <c r="AJ94" s="537"/>
      <c r="AK94" s="255"/>
      <c r="AL94" s="537"/>
      <c r="AM94" s="537"/>
      <c r="AN94" s="537"/>
      <c r="AO94" s="537"/>
      <c r="AP94" s="537"/>
      <c r="AQ94" s="537"/>
      <c r="AR94" s="537"/>
      <c r="AS94" s="537"/>
      <c r="AT94" s="537"/>
      <c r="AU94" s="537"/>
      <c r="AV94" s="537"/>
      <c r="AW94" s="537"/>
      <c r="AX94" s="537"/>
      <c r="AY94" s="537"/>
      <c r="AZ94" s="537"/>
      <c r="BA94" s="537"/>
      <c r="BB94" s="537"/>
      <c r="BC94" s="537"/>
    </row>
    <row r="95" spans="1:55" s="258" customFormat="1">
      <c r="A95" s="254">
        <f>A92+1</f>
        <v>89</v>
      </c>
      <c r="B95" s="254">
        <v>1547</v>
      </c>
      <c r="C95" s="254" t="s">
        <v>168</v>
      </c>
      <c r="D95" s="255">
        <f>131000000+11000000+2000000</f>
        <v>144000000</v>
      </c>
      <c r="E95" s="255">
        <v>131000000</v>
      </c>
      <c r="F95" s="255">
        <f t="shared" ref="F95:F114" si="50">D95-E95</f>
        <v>13000000</v>
      </c>
      <c r="G95" s="255">
        <f>49000000+9300000</f>
        <v>58300000</v>
      </c>
      <c r="H95" s="255">
        <v>35755044.460000001</v>
      </c>
      <c r="I95" s="255">
        <v>1105773.8600000001</v>
      </c>
      <c r="J95" s="255">
        <v>5855596.3300000001</v>
      </c>
      <c r="K95" s="255">
        <f>SUM(I95:J95)</f>
        <v>6961370.1900000004</v>
      </c>
      <c r="L95" s="255">
        <f>K95+H95</f>
        <v>42716414.649999999</v>
      </c>
      <c r="M95" s="255">
        <f>P95+S95</f>
        <v>25583585.350000001</v>
      </c>
      <c r="N95" s="255">
        <v>42700000</v>
      </c>
      <c r="O95" s="255">
        <f>D95-L95-M95-N95</f>
        <v>33000000</v>
      </c>
      <c r="P95" s="255">
        <f>G95-L95</f>
        <v>15583585.350000001</v>
      </c>
      <c r="Q95" s="423">
        <f>39300000-20000000-9300000</f>
        <v>10000000</v>
      </c>
      <c r="R95" s="255"/>
      <c r="S95" s="255">
        <f t="shared" ref="S95:S114" si="51">SUM(Q95:R95)</f>
        <v>10000000</v>
      </c>
      <c r="T95" s="255">
        <f t="shared" ref="T95:T114" si="52">P95-M95+S95</f>
        <v>0</v>
      </c>
      <c r="U95" s="255">
        <f t="shared" ref="U95:U114" si="53">N95-T95</f>
        <v>42700000</v>
      </c>
      <c r="V95" s="255">
        <f>U95-X95-Y95-Z95</f>
        <v>0</v>
      </c>
      <c r="W95" s="255"/>
      <c r="X95" s="255"/>
      <c r="Y95" s="255">
        <v>21700000</v>
      </c>
      <c r="Z95" s="255">
        <v>21000000</v>
      </c>
      <c r="AA95" s="528">
        <v>742000</v>
      </c>
      <c r="AB95" s="254"/>
      <c r="AC95" s="254"/>
      <c r="AD95" s="254"/>
      <c r="AE95" s="254"/>
      <c r="AF95" s="255">
        <v>5000000</v>
      </c>
      <c r="AG95" s="255"/>
      <c r="AH95" s="255">
        <v>5000000</v>
      </c>
      <c r="AI95" s="255">
        <v>2700000</v>
      </c>
      <c r="AJ95" s="255">
        <v>7000000</v>
      </c>
      <c r="AK95" s="255">
        <f>SUM(AB95:AJ95)</f>
        <v>19700000</v>
      </c>
      <c r="AL95" s="255">
        <v>2000000</v>
      </c>
      <c r="AM95" s="255">
        <f t="shared" ref="AM95:AM114" si="54">AL95+AK95</f>
        <v>21700000</v>
      </c>
      <c r="AN95" s="255">
        <f t="shared" ref="AN95:AN114" si="55">U95-AM95</f>
        <v>21000000</v>
      </c>
      <c r="AO95" s="255"/>
      <c r="AP95" s="255"/>
      <c r="AQ95" s="255"/>
      <c r="AR95" s="255">
        <f>AM95-AS95</f>
        <v>21700000</v>
      </c>
      <c r="AS95" s="255"/>
      <c r="AT95" s="255"/>
      <c r="AU95" s="255"/>
      <c r="AV95" s="255"/>
      <c r="AW95" s="255">
        <f>AL95-AX95</f>
        <v>2000000</v>
      </c>
      <c r="AX95" s="255"/>
      <c r="AY95" s="255"/>
      <c r="AZ95" s="255"/>
      <c r="BA95" s="255"/>
      <c r="BB95" s="255">
        <f>AN95-BC95</f>
        <v>0</v>
      </c>
      <c r="BC95" s="255">
        <v>21000000</v>
      </c>
    </row>
    <row r="96" spans="1:55" s="259" customFormat="1" ht="28">
      <c r="A96" s="254">
        <f t="shared" ref="A96:A114" si="56">A95+1</f>
        <v>90</v>
      </c>
      <c r="B96" s="244">
        <v>1797</v>
      </c>
      <c r="C96" s="244" t="s">
        <v>943</v>
      </c>
      <c r="D96" s="255">
        <v>3000000</v>
      </c>
      <c r="E96" s="255">
        <v>3000000</v>
      </c>
      <c r="F96" s="255">
        <f t="shared" si="50"/>
        <v>0</v>
      </c>
      <c r="G96" s="255">
        <v>1761262</v>
      </c>
      <c r="H96" s="255">
        <v>0</v>
      </c>
      <c r="I96" s="255"/>
      <c r="J96" s="255"/>
      <c r="K96" s="255">
        <f t="shared" ref="K96:K114" si="57">SUM(I96:J96)</f>
        <v>0</v>
      </c>
      <c r="L96" s="255">
        <f t="shared" ref="L96:L114" si="58">K96+H96</f>
        <v>0</v>
      </c>
      <c r="M96" s="255">
        <f t="shared" ref="M96:M114" si="59">P96+S96</f>
        <v>249500</v>
      </c>
      <c r="N96" s="255"/>
      <c r="O96" s="255">
        <f t="shared" ref="O96:O114" si="60">D96-L96-M96-N96</f>
        <v>2750500</v>
      </c>
      <c r="P96" s="255">
        <f t="shared" ref="P96:P114" si="61">G96-L96</f>
        <v>1761262</v>
      </c>
      <c r="Q96" s="255">
        <v>-1511762</v>
      </c>
      <c r="R96" s="255"/>
      <c r="S96" s="255">
        <f t="shared" si="51"/>
        <v>-1511762</v>
      </c>
      <c r="T96" s="255">
        <f t="shared" si="52"/>
        <v>0</v>
      </c>
      <c r="U96" s="255">
        <f t="shared" si="53"/>
        <v>0</v>
      </c>
      <c r="V96" s="255">
        <f>U96-Z96-X96-Y96</f>
        <v>0</v>
      </c>
      <c r="W96" s="255"/>
      <c r="X96" s="255"/>
      <c r="Y96" s="255"/>
      <c r="Z96" s="255"/>
      <c r="AA96" s="528">
        <v>820000</v>
      </c>
      <c r="AB96" s="260"/>
      <c r="AC96" s="260"/>
      <c r="AD96" s="260"/>
      <c r="AE96" s="260"/>
      <c r="AF96" s="255"/>
      <c r="AG96" s="255"/>
      <c r="AH96" s="255"/>
      <c r="AI96" s="255"/>
      <c r="AJ96" s="255"/>
      <c r="AK96" s="255">
        <f t="shared" ref="AK96:AK114" si="62">SUM(AB96:AJ96)</f>
        <v>0</v>
      </c>
      <c r="AL96" s="255"/>
      <c r="AM96" s="255">
        <f t="shared" si="54"/>
        <v>0</v>
      </c>
      <c r="AN96" s="255">
        <f t="shared" si="55"/>
        <v>0</v>
      </c>
      <c r="AO96" s="255"/>
      <c r="AP96" s="255"/>
      <c r="AQ96" s="255"/>
      <c r="AR96" s="255">
        <f t="shared" ref="AR96:AR114" si="63">AM96-AS96</f>
        <v>0</v>
      </c>
      <c r="AS96" s="255"/>
      <c r="AT96" s="255"/>
      <c r="AU96" s="255"/>
      <c r="AV96" s="255"/>
      <c r="AW96" s="255">
        <f t="shared" ref="AW96:AW114" si="64">AL96-AX96</f>
        <v>0</v>
      </c>
      <c r="AX96" s="255"/>
      <c r="AY96" s="255"/>
      <c r="AZ96" s="255"/>
      <c r="BA96" s="255"/>
      <c r="BB96" s="255">
        <f t="shared" ref="BB96:BB114" si="65">AN96-BC96</f>
        <v>0</v>
      </c>
      <c r="BC96" s="255"/>
    </row>
    <row r="97" spans="1:55">
      <c r="A97" s="254">
        <f t="shared" si="56"/>
        <v>91</v>
      </c>
      <c r="B97" s="264">
        <v>1827</v>
      </c>
      <c r="C97" s="254" t="s">
        <v>207</v>
      </c>
      <c r="D97" s="255">
        <f>100000000</f>
        <v>100000000</v>
      </c>
      <c r="E97" s="255">
        <v>100000000</v>
      </c>
      <c r="F97" s="255">
        <f t="shared" si="50"/>
        <v>0</v>
      </c>
      <c r="G97" s="255">
        <v>21000000</v>
      </c>
      <c r="H97" s="255">
        <v>12313995</v>
      </c>
      <c r="I97" s="255"/>
      <c r="J97" s="255">
        <v>3765093.76</v>
      </c>
      <c r="K97" s="255">
        <f t="shared" si="57"/>
        <v>3765093.76</v>
      </c>
      <c r="L97" s="255">
        <f t="shared" si="58"/>
        <v>16079088.76</v>
      </c>
      <c r="M97" s="255">
        <f t="shared" si="59"/>
        <v>4920911.24</v>
      </c>
      <c r="N97" s="255">
        <v>62116279</v>
      </c>
      <c r="O97" s="255">
        <f t="shared" si="60"/>
        <v>16883721</v>
      </c>
      <c r="P97" s="255">
        <f t="shared" si="61"/>
        <v>4920911.24</v>
      </c>
      <c r="Q97" s="255"/>
      <c r="R97" s="255"/>
      <c r="S97" s="255">
        <f t="shared" si="51"/>
        <v>0</v>
      </c>
      <c r="T97" s="255">
        <f t="shared" si="52"/>
        <v>0</v>
      </c>
      <c r="U97" s="255">
        <f t="shared" si="53"/>
        <v>62116279</v>
      </c>
      <c r="V97" s="255">
        <f>U97-X97-Y97-Z97</f>
        <v>-6.976744532585144E-2</v>
      </c>
      <c r="W97" s="255"/>
      <c r="X97" s="255"/>
      <c r="Y97" s="255"/>
      <c r="Z97" s="255">
        <f>70000000/1.075-3000000</f>
        <v>62116279.069767445</v>
      </c>
      <c r="AA97" s="528">
        <v>746000</v>
      </c>
      <c r="AB97" s="267"/>
      <c r="AC97" s="267"/>
      <c r="AD97" s="267"/>
      <c r="AE97" s="267"/>
      <c r="AF97" s="255"/>
      <c r="AG97" s="255"/>
      <c r="AH97" s="255"/>
      <c r="AI97" s="255"/>
      <c r="AJ97" s="255"/>
      <c r="AK97" s="255">
        <f t="shared" si="62"/>
        <v>0</v>
      </c>
      <c r="AL97" s="255"/>
      <c r="AM97" s="255">
        <f t="shared" si="54"/>
        <v>0</v>
      </c>
      <c r="AN97" s="255">
        <f t="shared" si="55"/>
        <v>62116279</v>
      </c>
      <c r="AO97" s="255"/>
      <c r="AP97" s="255"/>
      <c r="AQ97" s="255"/>
      <c r="AR97" s="255">
        <f t="shared" si="63"/>
        <v>0</v>
      </c>
      <c r="AS97" s="255"/>
      <c r="AT97" s="255"/>
      <c r="AU97" s="255"/>
      <c r="AV97" s="255"/>
      <c r="AW97" s="255">
        <f t="shared" si="64"/>
        <v>0</v>
      </c>
      <c r="AX97" s="255"/>
      <c r="AY97" s="255"/>
      <c r="AZ97" s="255"/>
      <c r="BA97" s="255"/>
      <c r="BB97" s="255">
        <f t="shared" si="65"/>
        <v>0</v>
      </c>
      <c r="BC97" s="255">
        <v>62116279</v>
      </c>
    </row>
    <row r="98" spans="1:55" s="258" customFormat="1">
      <c r="A98" s="254">
        <f t="shared" si="56"/>
        <v>92</v>
      </c>
      <c r="B98" s="254">
        <v>1905</v>
      </c>
      <c r="C98" s="254" t="s">
        <v>205</v>
      </c>
      <c r="D98" s="255">
        <v>3366000</v>
      </c>
      <c r="E98" s="255">
        <v>3366000</v>
      </c>
      <c r="F98" s="255">
        <f t="shared" si="50"/>
        <v>0</v>
      </c>
      <c r="G98" s="255">
        <v>3366000</v>
      </c>
      <c r="H98" s="255">
        <v>0</v>
      </c>
      <c r="I98" s="255"/>
      <c r="J98" s="255"/>
      <c r="K98" s="255">
        <f t="shared" si="57"/>
        <v>0</v>
      </c>
      <c r="L98" s="255">
        <f t="shared" si="58"/>
        <v>0</v>
      </c>
      <c r="M98" s="255">
        <f t="shared" si="59"/>
        <v>3366000</v>
      </c>
      <c r="N98" s="255"/>
      <c r="O98" s="255">
        <f t="shared" si="60"/>
        <v>0</v>
      </c>
      <c r="P98" s="255">
        <f t="shared" si="61"/>
        <v>3366000</v>
      </c>
      <c r="Q98" s="255"/>
      <c r="R98" s="255"/>
      <c r="S98" s="255">
        <f t="shared" si="51"/>
        <v>0</v>
      </c>
      <c r="T98" s="255">
        <f t="shared" si="52"/>
        <v>0</v>
      </c>
      <c r="U98" s="255">
        <f t="shared" si="53"/>
        <v>0</v>
      </c>
      <c r="V98" s="255">
        <f>U98-Z98-X98-Y98</f>
        <v>0</v>
      </c>
      <c r="W98" s="255"/>
      <c r="X98" s="255"/>
      <c r="Y98" s="255"/>
      <c r="Z98" s="254"/>
      <c r="AA98" s="528">
        <v>746000</v>
      </c>
      <c r="AB98" s="254"/>
      <c r="AC98" s="254"/>
      <c r="AD98" s="254"/>
      <c r="AE98" s="254"/>
      <c r="AF98" s="255"/>
      <c r="AG98" s="255"/>
      <c r="AH98" s="255"/>
      <c r="AI98" s="255"/>
      <c r="AJ98" s="255"/>
      <c r="AK98" s="255">
        <f t="shared" si="62"/>
        <v>0</v>
      </c>
      <c r="AL98" s="255"/>
      <c r="AM98" s="255">
        <f t="shared" si="54"/>
        <v>0</v>
      </c>
      <c r="AN98" s="255">
        <f t="shared" si="55"/>
        <v>0</v>
      </c>
      <c r="AO98" s="255"/>
      <c r="AP98" s="255"/>
      <c r="AQ98" s="255"/>
      <c r="AR98" s="255">
        <f t="shared" si="63"/>
        <v>0</v>
      </c>
      <c r="AS98" s="255"/>
      <c r="AT98" s="255"/>
      <c r="AU98" s="255"/>
      <c r="AV98" s="255"/>
      <c r="AW98" s="255">
        <f t="shared" si="64"/>
        <v>0</v>
      </c>
      <c r="AX98" s="255"/>
      <c r="AY98" s="255"/>
      <c r="AZ98" s="255"/>
      <c r="BA98" s="255"/>
      <c r="BB98" s="255">
        <f t="shared" si="65"/>
        <v>0</v>
      </c>
      <c r="BC98" s="255"/>
    </row>
    <row r="99" spans="1:55" s="258" customFormat="1">
      <c r="A99" s="254">
        <f t="shared" si="56"/>
        <v>93</v>
      </c>
      <c r="B99" s="254">
        <v>1906</v>
      </c>
      <c r="C99" s="254" t="s">
        <v>500</v>
      </c>
      <c r="D99" s="255">
        <v>10000000</v>
      </c>
      <c r="E99" s="255">
        <v>10000000</v>
      </c>
      <c r="F99" s="255">
        <f t="shared" si="50"/>
        <v>0</v>
      </c>
      <c r="G99" s="255">
        <v>1650000</v>
      </c>
      <c r="H99" s="255">
        <v>11720</v>
      </c>
      <c r="I99" s="255"/>
      <c r="J99" s="255">
        <v>88278.84</v>
      </c>
      <c r="K99" s="255">
        <f t="shared" si="57"/>
        <v>88278.84</v>
      </c>
      <c r="L99" s="255">
        <f t="shared" si="58"/>
        <v>99998.84</v>
      </c>
      <c r="M99" s="255">
        <f t="shared" si="59"/>
        <v>1550001.16</v>
      </c>
      <c r="N99" s="255">
        <v>8350000</v>
      </c>
      <c r="O99" s="255">
        <f t="shared" si="60"/>
        <v>0</v>
      </c>
      <c r="P99" s="255">
        <f t="shared" si="61"/>
        <v>1550001.16</v>
      </c>
      <c r="Q99" s="255"/>
      <c r="R99" s="255"/>
      <c r="S99" s="255">
        <f t="shared" si="51"/>
        <v>0</v>
      </c>
      <c r="T99" s="255">
        <f t="shared" si="52"/>
        <v>0</v>
      </c>
      <c r="U99" s="255">
        <f t="shared" si="53"/>
        <v>8350000</v>
      </c>
      <c r="V99" s="255">
        <f>U99-Z99-X99-Y99</f>
        <v>0</v>
      </c>
      <c r="W99" s="255"/>
      <c r="X99" s="255"/>
      <c r="Y99" s="255">
        <v>5100000</v>
      </c>
      <c r="Z99" s="255">
        <v>3250000</v>
      </c>
      <c r="AA99" s="528">
        <v>810000</v>
      </c>
      <c r="AB99" s="254"/>
      <c r="AC99" s="255">
        <v>1350000</v>
      </c>
      <c r="AD99" s="255"/>
      <c r="AE99" s="255"/>
      <c r="AF99" s="255">
        <v>2958844</v>
      </c>
      <c r="AG99" s="255"/>
      <c r="AH99" s="255">
        <v>2000000</v>
      </c>
      <c r="AI99" s="255">
        <v>1750000</v>
      </c>
      <c r="AJ99" s="255"/>
      <c r="AK99" s="255">
        <f t="shared" si="62"/>
        <v>8058844</v>
      </c>
      <c r="AL99" s="255"/>
      <c r="AM99" s="255">
        <f t="shared" si="54"/>
        <v>8058844</v>
      </c>
      <c r="AN99" s="255">
        <f t="shared" si="55"/>
        <v>291156</v>
      </c>
      <c r="AO99" s="255"/>
      <c r="AP99" s="255"/>
      <c r="AQ99" s="255"/>
      <c r="AR99" s="255">
        <f t="shared" si="63"/>
        <v>5100000</v>
      </c>
      <c r="AS99" s="255">
        <v>2958844</v>
      </c>
      <c r="AT99" s="255"/>
      <c r="AU99" s="255"/>
      <c r="AV99" s="255"/>
      <c r="AW99" s="255">
        <f t="shared" si="64"/>
        <v>0</v>
      </c>
      <c r="AX99" s="255"/>
      <c r="AY99" s="255"/>
      <c r="AZ99" s="255"/>
      <c r="BA99" s="255"/>
      <c r="BB99" s="255">
        <f t="shared" si="65"/>
        <v>0</v>
      </c>
      <c r="BC99" s="255">
        <v>291156</v>
      </c>
    </row>
    <row r="100" spans="1:55" s="258" customFormat="1">
      <c r="A100" s="254">
        <f t="shared" si="56"/>
        <v>94</v>
      </c>
      <c r="B100" s="254">
        <v>1907</v>
      </c>
      <c r="C100" s="254" t="s">
        <v>203</v>
      </c>
      <c r="D100" s="255">
        <v>10000000</v>
      </c>
      <c r="E100" s="255">
        <v>10000000</v>
      </c>
      <c r="F100" s="255">
        <f t="shared" si="50"/>
        <v>0</v>
      </c>
      <c r="G100" s="255">
        <v>1650000</v>
      </c>
      <c r="H100" s="255">
        <v>86132</v>
      </c>
      <c r="I100" s="255"/>
      <c r="J100" s="255">
        <v>13866.84</v>
      </c>
      <c r="K100" s="255">
        <f t="shared" si="57"/>
        <v>13866.84</v>
      </c>
      <c r="L100" s="255">
        <f t="shared" si="58"/>
        <v>99998.84</v>
      </c>
      <c r="M100" s="255">
        <f t="shared" si="59"/>
        <v>1550001.16</v>
      </c>
      <c r="N100" s="255">
        <v>8350000</v>
      </c>
      <c r="O100" s="255">
        <f t="shared" si="60"/>
        <v>0</v>
      </c>
      <c r="P100" s="255">
        <f t="shared" si="61"/>
        <v>1550001.16</v>
      </c>
      <c r="Q100" s="255"/>
      <c r="R100" s="255"/>
      <c r="S100" s="255">
        <f t="shared" si="51"/>
        <v>0</v>
      </c>
      <c r="T100" s="255">
        <f t="shared" si="52"/>
        <v>0</v>
      </c>
      <c r="U100" s="255">
        <f t="shared" si="53"/>
        <v>8350000</v>
      </c>
      <c r="V100" s="255">
        <f>U100-Z100-X100-Y100</f>
        <v>0</v>
      </c>
      <c r="W100" s="255"/>
      <c r="X100" s="255"/>
      <c r="Y100" s="255">
        <v>5100000</v>
      </c>
      <c r="Z100" s="255">
        <v>3250000</v>
      </c>
      <c r="AA100" s="528">
        <v>810000</v>
      </c>
      <c r="AB100" s="254"/>
      <c r="AC100" s="255">
        <v>1350000</v>
      </c>
      <c r="AD100" s="255"/>
      <c r="AE100" s="255"/>
      <c r="AF100" s="255">
        <v>2958844</v>
      </c>
      <c r="AG100" s="255"/>
      <c r="AH100" s="255">
        <v>2000000</v>
      </c>
      <c r="AI100" s="255"/>
      <c r="AJ100" s="255">
        <v>1750000</v>
      </c>
      <c r="AK100" s="255">
        <f t="shared" si="62"/>
        <v>8058844</v>
      </c>
      <c r="AL100" s="255"/>
      <c r="AM100" s="255">
        <f t="shared" si="54"/>
        <v>8058844</v>
      </c>
      <c r="AN100" s="255">
        <f t="shared" si="55"/>
        <v>291156</v>
      </c>
      <c r="AO100" s="255"/>
      <c r="AP100" s="255"/>
      <c r="AQ100" s="255"/>
      <c r="AR100" s="255">
        <f t="shared" si="63"/>
        <v>5100000</v>
      </c>
      <c r="AS100" s="255">
        <v>2958844</v>
      </c>
      <c r="AT100" s="255"/>
      <c r="AU100" s="255"/>
      <c r="AV100" s="255"/>
      <c r="AW100" s="255">
        <f t="shared" si="64"/>
        <v>0</v>
      </c>
      <c r="AX100" s="255"/>
      <c r="AY100" s="255"/>
      <c r="AZ100" s="255"/>
      <c r="BA100" s="255"/>
      <c r="BB100" s="255">
        <f t="shared" si="65"/>
        <v>0</v>
      </c>
      <c r="BC100" s="255">
        <v>291156</v>
      </c>
    </row>
    <row r="101" spans="1:55" s="258" customFormat="1">
      <c r="A101" s="254">
        <f t="shared" si="56"/>
        <v>95</v>
      </c>
      <c r="B101" s="254">
        <v>1908</v>
      </c>
      <c r="C101" s="254" t="s">
        <v>249</v>
      </c>
      <c r="D101" s="255">
        <v>16900000</v>
      </c>
      <c r="E101" s="255">
        <v>16000000</v>
      </c>
      <c r="F101" s="255">
        <f t="shared" si="50"/>
        <v>900000</v>
      </c>
      <c r="G101" s="255">
        <f>2000000+7432067</f>
        <v>9432067</v>
      </c>
      <c r="H101" s="255">
        <v>53515</v>
      </c>
      <c r="I101" s="255"/>
      <c r="J101" s="255">
        <v>46484.1</v>
      </c>
      <c r="K101" s="255">
        <f t="shared" si="57"/>
        <v>46484.1</v>
      </c>
      <c r="L101" s="255">
        <f t="shared" si="58"/>
        <v>99999.1</v>
      </c>
      <c r="M101" s="255">
        <f t="shared" si="59"/>
        <v>10843829.9</v>
      </c>
      <c r="N101" s="255"/>
      <c r="O101" s="255">
        <f t="shared" si="60"/>
        <v>5956170.9999999981</v>
      </c>
      <c r="P101" s="255">
        <f t="shared" si="61"/>
        <v>9332067.9000000004</v>
      </c>
      <c r="Q101" s="255">
        <v>1511762</v>
      </c>
      <c r="R101" s="255"/>
      <c r="S101" s="255">
        <f t="shared" si="51"/>
        <v>1511762</v>
      </c>
      <c r="T101" s="255">
        <f t="shared" si="52"/>
        <v>0</v>
      </c>
      <c r="U101" s="255">
        <f t="shared" si="53"/>
        <v>0</v>
      </c>
      <c r="V101" s="255">
        <f>U101-Z101-X101-Y101</f>
        <v>0</v>
      </c>
      <c r="W101" s="255"/>
      <c r="X101" s="255"/>
      <c r="Y101" s="255"/>
      <c r="Z101" s="255"/>
      <c r="AA101" s="528">
        <v>810000</v>
      </c>
      <c r="AB101" s="254"/>
      <c r="AC101" s="255"/>
      <c r="AD101" s="255"/>
      <c r="AE101" s="255"/>
      <c r="AF101" s="255"/>
      <c r="AG101" s="255"/>
      <c r="AH101" s="255"/>
      <c r="AI101" s="255"/>
      <c r="AJ101" s="255"/>
      <c r="AK101" s="255">
        <f t="shared" si="62"/>
        <v>0</v>
      </c>
      <c r="AL101" s="255"/>
      <c r="AM101" s="255">
        <f t="shared" si="54"/>
        <v>0</v>
      </c>
      <c r="AN101" s="255">
        <f t="shared" si="55"/>
        <v>0</v>
      </c>
      <c r="AO101" s="255"/>
      <c r="AP101" s="255"/>
      <c r="AQ101" s="255"/>
      <c r="AR101" s="255">
        <f t="shared" si="63"/>
        <v>0</v>
      </c>
      <c r="AS101" s="255"/>
      <c r="AT101" s="255"/>
      <c r="AU101" s="255"/>
      <c r="AV101" s="255"/>
      <c r="AW101" s="255">
        <f t="shared" si="64"/>
        <v>0</v>
      </c>
      <c r="AX101" s="255"/>
      <c r="AY101" s="255"/>
      <c r="AZ101" s="255"/>
      <c r="BA101" s="255"/>
      <c r="BB101" s="255">
        <f t="shared" si="65"/>
        <v>0</v>
      </c>
      <c r="BC101" s="255"/>
    </row>
    <row r="102" spans="1:55">
      <c r="A102" s="254">
        <f t="shared" si="56"/>
        <v>96</v>
      </c>
      <c r="B102" s="264">
        <v>1909</v>
      </c>
      <c r="C102" s="268" t="s">
        <v>521</v>
      </c>
      <c r="D102" s="255">
        <v>12500000</v>
      </c>
      <c r="E102" s="255">
        <v>12000000</v>
      </c>
      <c r="F102" s="255">
        <f t="shared" si="50"/>
        <v>500000</v>
      </c>
      <c r="G102" s="255">
        <v>1650000</v>
      </c>
      <c r="H102" s="255">
        <v>4341</v>
      </c>
      <c r="I102" s="255"/>
      <c r="J102" s="255">
        <v>95658.03</v>
      </c>
      <c r="K102" s="255">
        <f t="shared" si="57"/>
        <v>95658.03</v>
      </c>
      <c r="L102" s="255">
        <f t="shared" si="58"/>
        <v>99999.03</v>
      </c>
      <c r="M102" s="255">
        <f t="shared" si="59"/>
        <v>1550000.97</v>
      </c>
      <c r="N102" s="255">
        <f>4062500-4062500</f>
        <v>0</v>
      </c>
      <c r="O102" s="255">
        <f t="shared" si="60"/>
        <v>10850000</v>
      </c>
      <c r="P102" s="255">
        <f t="shared" si="61"/>
        <v>1550000.97</v>
      </c>
      <c r="Q102" s="255"/>
      <c r="R102" s="255"/>
      <c r="S102" s="255">
        <f t="shared" si="51"/>
        <v>0</v>
      </c>
      <c r="T102" s="255">
        <f t="shared" si="52"/>
        <v>0</v>
      </c>
      <c r="U102" s="255">
        <f t="shared" si="53"/>
        <v>0</v>
      </c>
      <c r="V102" s="255">
        <f>U102-X102-Y102-Z102</f>
        <v>0</v>
      </c>
      <c r="W102" s="255"/>
      <c r="X102" s="255"/>
      <c r="Y102" s="255"/>
      <c r="Z102" s="255"/>
      <c r="AA102" s="528">
        <v>810000</v>
      </c>
      <c r="AB102" s="267"/>
      <c r="AC102" s="255"/>
      <c r="AD102" s="255"/>
      <c r="AE102" s="255"/>
      <c r="AF102" s="255"/>
      <c r="AG102" s="255"/>
      <c r="AH102" s="255"/>
      <c r="AI102" s="255"/>
      <c r="AJ102" s="255"/>
      <c r="AK102" s="255">
        <f t="shared" si="62"/>
        <v>0</v>
      </c>
      <c r="AL102" s="255"/>
      <c r="AM102" s="255">
        <f t="shared" si="54"/>
        <v>0</v>
      </c>
      <c r="AN102" s="255">
        <f t="shared" si="55"/>
        <v>0</v>
      </c>
      <c r="AO102" s="255"/>
      <c r="AP102" s="255"/>
      <c r="AQ102" s="255"/>
      <c r="AR102" s="255">
        <f t="shared" si="63"/>
        <v>0</v>
      </c>
      <c r="AS102" s="255"/>
      <c r="AT102" s="255"/>
      <c r="AU102" s="255"/>
      <c r="AV102" s="255"/>
      <c r="AW102" s="255">
        <f t="shared" si="64"/>
        <v>0</v>
      </c>
      <c r="AX102" s="255"/>
      <c r="AY102" s="255"/>
      <c r="AZ102" s="255"/>
      <c r="BA102" s="255"/>
      <c r="BB102" s="255">
        <f t="shared" si="65"/>
        <v>0</v>
      </c>
      <c r="BC102" s="255"/>
    </row>
    <row r="103" spans="1:55">
      <c r="A103" s="254">
        <f t="shared" si="56"/>
        <v>97</v>
      </c>
      <c r="B103" s="264">
        <v>1910</v>
      </c>
      <c r="C103" s="254" t="s">
        <v>213</v>
      </c>
      <c r="D103" s="255">
        <v>650000</v>
      </c>
      <c r="E103" s="255">
        <v>650000</v>
      </c>
      <c r="F103" s="255">
        <f t="shared" si="50"/>
        <v>0</v>
      </c>
      <c r="G103" s="255">
        <v>650000</v>
      </c>
      <c r="H103" s="255">
        <v>0</v>
      </c>
      <c r="I103" s="255"/>
      <c r="J103" s="255"/>
      <c r="K103" s="255">
        <f t="shared" si="57"/>
        <v>0</v>
      </c>
      <c r="L103" s="255">
        <f t="shared" si="58"/>
        <v>0</v>
      </c>
      <c r="M103" s="255">
        <f t="shared" si="59"/>
        <v>650000</v>
      </c>
      <c r="N103" s="255"/>
      <c r="O103" s="255">
        <f t="shared" si="60"/>
        <v>0</v>
      </c>
      <c r="P103" s="255">
        <f t="shared" si="61"/>
        <v>650000</v>
      </c>
      <c r="Q103" s="255"/>
      <c r="R103" s="255"/>
      <c r="S103" s="255">
        <f t="shared" si="51"/>
        <v>0</v>
      </c>
      <c r="T103" s="255">
        <f t="shared" si="52"/>
        <v>0</v>
      </c>
      <c r="U103" s="255">
        <f t="shared" si="53"/>
        <v>0</v>
      </c>
      <c r="V103" s="255">
        <f>U103-X103-Y103-Z103</f>
        <v>0</v>
      </c>
      <c r="W103" s="255"/>
      <c r="X103" s="255"/>
      <c r="Y103" s="255"/>
      <c r="Z103" s="254"/>
      <c r="AA103" s="528">
        <v>823000</v>
      </c>
      <c r="AB103" s="267"/>
      <c r="AC103" s="255"/>
      <c r="AD103" s="255"/>
      <c r="AE103" s="255"/>
      <c r="AF103" s="255"/>
      <c r="AG103" s="255"/>
      <c r="AH103" s="255"/>
      <c r="AI103" s="255"/>
      <c r="AJ103" s="255"/>
      <c r="AK103" s="255">
        <f t="shared" si="62"/>
        <v>0</v>
      </c>
      <c r="AL103" s="255"/>
      <c r="AM103" s="255">
        <f t="shared" si="54"/>
        <v>0</v>
      </c>
      <c r="AN103" s="255">
        <f t="shared" si="55"/>
        <v>0</v>
      </c>
      <c r="AO103" s="255"/>
      <c r="AP103" s="255"/>
      <c r="AQ103" s="255"/>
      <c r="AR103" s="255">
        <f t="shared" si="63"/>
        <v>0</v>
      </c>
      <c r="AS103" s="255"/>
      <c r="AT103" s="255"/>
      <c r="AU103" s="255"/>
      <c r="AV103" s="255"/>
      <c r="AW103" s="255">
        <f t="shared" si="64"/>
        <v>0</v>
      </c>
      <c r="AX103" s="255"/>
      <c r="AY103" s="255"/>
      <c r="AZ103" s="255"/>
      <c r="BA103" s="255"/>
      <c r="BB103" s="255">
        <f t="shared" si="65"/>
        <v>0</v>
      </c>
      <c r="BC103" s="255"/>
    </row>
    <row r="104" spans="1:55" ht="28">
      <c r="A104" s="254">
        <f t="shared" si="56"/>
        <v>98</v>
      </c>
      <c r="B104" s="427">
        <v>1911</v>
      </c>
      <c r="C104" s="254" t="s">
        <v>563</v>
      </c>
      <c r="D104" s="255">
        <f>23500000+4000000</f>
        <v>27500000</v>
      </c>
      <c r="E104" s="255">
        <v>23500000</v>
      </c>
      <c r="F104" s="255">
        <f t="shared" si="50"/>
        <v>4000000</v>
      </c>
      <c r="G104" s="255">
        <f>1750000+7432067</f>
        <v>9182067</v>
      </c>
      <c r="H104" s="255">
        <v>21487</v>
      </c>
      <c r="I104" s="255"/>
      <c r="J104" s="255">
        <v>78512.22</v>
      </c>
      <c r="K104" s="255">
        <f t="shared" si="57"/>
        <v>78512.22</v>
      </c>
      <c r="L104" s="255">
        <f t="shared" si="58"/>
        <v>99999.22</v>
      </c>
      <c r="M104" s="255">
        <f t="shared" si="59"/>
        <v>9082067.7799999993</v>
      </c>
      <c r="N104" s="255">
        <v>16000000</v>
      </c>
      <c r="O104" s="255">
        <f t="shared" si="60"/>
        <v>2317933</v>
      </c>
      <c r="P104" s="255">
        <f t="shared" si="61"/>
        <v>9082067.7799999993</v>
      </c>
      <c r="Q104" s="255"/>
      <c r="R104" s="255"/>
      <c r="S104" s="255">
        <f t="shared" si="51"/>
        <v>0</v>
      </c>
      <c r="T104" s="255">
        <f t="shared" si="52"/>
        <v>0</v>
      </c>
      <c r="U104" s="255">
        <f t="shared" si="53"/>
        <v>16000000</v>
      </c>
      <c r="V104" s="255">
        <f>U104-X104-Y104-Z104</f>
        <v>0</v>
      </c>
      <c r="W104" s="255"/>
      <c r="X104" s="255"/>
      <c r="Y104" s="255">
        <v>11937500</v>
      </c>
      <c r="Z104" s="255">
        <f>812500*5</f>
        <v>4062500</v>
      </c>
      <c r="AA104" s="528">
        <v>810000</v>
      </c>
      <c r="AB104" s="267"/>
      <c r="AC104" s="255"/>
      <c r="AD104" s="255"/>
      <c r="AE104" s="255"/>
      <c r="AF104" s="255"/>
      <c r="AG104" s="255"/>
      <c r="AH104" s="255"/>
      <c r="AI104" s="255"/>
      <c r="AJ104" s="255"/>
      <c r="AK104" s="255">
        <f t="shared" si="62"/>
        <v>0</v>
      </c>
      <c r="AL104" s="255"/>
      <c r="AM104" s="255">
        <f t="shared" si="54"/>
        <v>0</v>
      </c>
      <c r="AN104" s="255">
        <f t="shared" si="55"/>
        <v>16000000</v>
      </c>
      <c r="AO104" s="255"/>
      <c r="AP104" s="255"/>
      <c r="AQ104" s="255"/>
      <c r="AR104" s="255">
        <f t="shared" si="63"/>
        <v>0</v>
      </c>
      <c r="AS104" s="255"/>
      <c r="AT104" s="255"/>
      <c r="AU104" s="255"/>
      <c r="AV104" s="255"/>
      <c r="AW104" s="255">
        <f t="shared" si="64"/>
        <v>0</v>
      </c>
      <c r="AX104" s="255"/>
      <c r="AY104" s="255"/>
      <c r="AZ104" s="255"/>
      <c r="BA104" s="255"/>
      <c r="BB104" s="255">
        <f t="shared" si="65"/>
        <v>11937500</v>
      </c>
      <c r="BC104" s="255">
        <v>4062500</v>
      </c>
    </row>
    <row r="105" spans="1:55">
      <c r="A105" s="254">
        <f t="shared" si="56"/>
        <v>99</v>
      </c>
      <c r="B105" s="264">
        <v>1912</v>
      </c>
      <c r="C105" s="254" t="s">
        <v>592</v>
      </c>
      <c r="D105" s="255">
        <v>100000000</v>
      </c>
      <c r="E105" s="255">
        <v>100000000</v>
      </c>
      <c r="F105" s="255">
        <f t="shared" si="50"/>
        <v>0</v>
      </c>
      <c r="G105" s="255">
        <v>2000000</v>
      </c>
      <c r="H105" s="255">
        <v>4341</v>
      </c>
      <c r="I105" s="255"/>
      <c r="J105" s="255">
        <v>95658.03</v>
      </c>
      <c r="K105" s="255">
        <f t="shared" si="57"/>
        <v>95658.03</v>
      </c>
      <c r="L105" s="255">
        <f t="shared" si="58"/>
        <v>99999.03</v>
      </c>
      <c r="M105" s="255">
        <f t="shared" si="59"/>
        <v>1900000.97</v>
      </c>
      <c r="N105" s="255">
        <v>3000000</v>
      </c>
      <c r="O105" s="255">
        <f t="shared" si="60"/>
        <v>95000000</v>
      </c>
      <c r="P105" s="255">
        <f t="shared" si="61"/>
        <v>1900000.97</v>
      </c>
      <c r="Q105" s="255"/>
      <c r="R105" s="255"/>
      <c r="S105" s="255">
        <f t="shared" si="51"/>
        <v>0</v>
      </c>
      <c r="T105" s="255">
        <f t="shared" si="52"/>
        <v>0</v>
      </c>
      <c r="U105" s="255">
        <f t="shared" si="53"/>
        <v>3000000</v>
      </c>
      <c r="V105" s="255">
        <f t="shared" ref="V105:V112" si="66">U105-Z105-X105-Y105</f>
        <v>0</v>
      </c>
      <c r="W105" s="255"/>
      <c r="X105" s="255"/>
      <c r="Y105" s="255">
        <v>3000000</v>
      </c>
      <c r="Z105" s="254"/>
      <c r="AA105" s="528">
        <v>810000</v>
      </c>
      <c r="AB105" s="267"/>
      <c r="AC105" s="267"/>
      <c r="AD105" s="267"/>
      <c r="AE105" s="267"/>
      <c r="AF105" s="267"/>
      <c r="AG105" s="267"/>
      <c r="AH105" s="267"/>
      <c r="AI105" s="267"/>
      <c r="AJ105" s="267"/>
      <c r="AK105" s="254">
        <f t="shared" si="62"/>
        <v>0</v>
      </c>
      <c r="AL105" s="255">
        <v>3000000</v>
      </c>
      <c r="AM105" s="255">
        <f t="shared" si="54"/>
        <v>3000000</v>
      </c>
      <c r="AN105" s="255">
        <f t="shared" si="55"/>
        <v>0</v>
      </c>
      <c r="AO105" s="255"/>
      <c r="AP105" s="255"/>
      <c r="AQ105" s="255"/>
      <c r="AR105" s="255">
        <f t="shared" si="63"/>
        <v>3000000</v>
      </c>
      <c r="AS105" s="255"/>
      <c r="AT105" s="255"/>
      <c r="AU105" s="255"/>
      <c r="AV105" s="255"/>
      <c r="AW105" s="255">
        <f t="shared" si="64"/>
        <v>3000000</v>
      </c>
      <c r="AX105" s="255"/>
      <c r="AY105" s="255"/>
      <c r="AZ105" s="255"/>
      <c r="BA105" s="255"/>
      <c r="BB105" s="255">
        <f t="shared" si="65"/>
        <v>0</v>
      </c>
      <c r="BC105" s="255"/>
    </row>
    <row r="106" spans="1:55" ht="28">
      <c r="A106" s="254">
        <f t="shared" si="56"/>
        <v>100</v>
      </c>
      <c r="B106" s="427">
        <v>1913</v>
      </c>
      <c r="C106" s="254" t="s">
        <v>566</v>
      </c>
      <c r="D106" s="255">
        <v>400000</v>
      </c>
      <c r="E106" s="255">
        <v>400000</v>
      </c>
      <c r="F106" s="255">
        <f t="shared" si="50"/>
        <v>0</v>
      </c>
      <c r="G106" s="255">
        <v>400000</v>
      </c>
      <c r="H106" s="255">
        <v>0</v>
      </c>
      <c r="I106" s="255"/>
      <c r="J106" s="255"/>
      <c r="K106" s="255">
        <f t="shared" si="57"/>
        <v>0</v>
      </c>
      <c r="L106" s="255">
        <f t="shared" si="58"/>
        <v>0</v>
      </c>
      <c r="M106" s="255">
        <f t="shared" si="59"/>
        <v>400000</v>
      </c>
      <c r="N106" s="255"/>
      <c r="O106" s="255">
        <f t="shared" si="60"/>
        <v>0</v>
      </c>
      <c r="P106" s="255">
        <f t="shared" si="61"/>
        <v>400000</v>
      </c>
      <c r="Q106" s="255"/>
      <c r="R106" s="255"/>
      <c r="S106" s="255">
        <f t="shared" si="51"/>
        <v>0</v>
      </c>
      <c r="T106" s="255">
        <f t="shared" si="52"/>
        <v>0</v>
      </c>
      <c r="U106" s="255">
        <f t="shared" si="53"/>
        <v>0</v>
      </c>
      <c r="V106" s="255">
        <f t="shared" si="66"/>
        <v>0</v>
      </c>
      <c r="W106" s="255"/>
      <c r="X106" s="255"/>
      <c r="Y106" s="255"/>
      <c r="Z106" s="254"/>
      <c r="AA106" s="528">
        <v>823000</v>
      </c>
      <c r="AB106" s="267"/>
      <c r="AC106" s="267"/>
      <c r="AD106" s="267"/>
      <c r="AE106" s="267"/>
      <c r="AF106" s="267"/>
      <c r="AG106" s="267"/>
      <c r="AH106" s="267"/>
      <c r="AI106" s="267"/>
      <c r="AJ106" s="267"/>
      <c r="AK106" s="254">
        <f t="shared" si="62"/>
        <v>0</v>
      </c>
      <c r="AL106" s="255"/>
      <c r="AM106" s="255">
        <f t="shared" si="54"/>
        <v>0</v>
      </c>
      <c r="AN106" s="255">
        <f t="shared" si="55"/>
        <v>0</v>
      </c>
      <c r="AO106" s="255"/>
      <c r="AP106" s="255"/>
      <c r="AQ106" s="255"/>
      <c r="AR106" s="255">
        <f t="shared" si="63"/>
        <v>0</v>
      </c>
      <c r="AS106" s="255"/>
      <c r="AT106" s="255"/>
      <c r="AU106" s="255"/>
      <c r="AV106" s="255"/>
      <c r="AW106" s="255">
        <f t="shared" si="64"/>
        <v>0</v>
      </c>
      <c r="AX106" s="255"/>
      <c r="AY106" s="255"/>
      <c r="AZ106" s="255"/>
      <c r="BA106" s="255"/>
      <c r="BB106" s="255">
        <f t="shared" si="65"/>
        <v>0</v>
      </c>
      <c r="BC106" s="255"/>
    </row>
    <row r="107" spans="1:55">
      <c r="A107" s="254">
        <f t="shared" si="56"/>
        <v>101</v>
      </c>
      <c r="B107" s="264">
        <v>1914</v>
      </c>
      <c r="C107" s="254" t="s">
        <v>248</v>
      </c>
      <c r="D107" s="255">
        <f>7500000+200000</f>
        <v>7700000</v>
      </c>
      <c r="E107" s="255">
        <v>7500000</v>
      </c>
      <c r="F107" s="255">
        <f t="shared" si="50"/>
        <v>200000</v>
      </c>
      <c r="G107" s="255">
        <f>900000+400000</f>
        <v>1300000</v>
      </c>
      <c r="H107" s="255">
        <v>10852</v>
      </c>
      <c r="I107" s="255"/>
      <c r="J107" s="255">
        <v>89146.98</v>
      </c>
      <c r="K107" s="255">
        <f t="shared" si="57"/>
        <v>89146.98</v>
      </c>
      <c r="L107" s="255">
        <f t="shared" si="58"/>
        <v>99998.98</v>
      </c>
      <c r="M107" s="255">
        <f t="shared" si="59"/>
        <v>1200001.02</v>
      </c>
      <c r="N107" s="255">
        <v>3200000</v>
      </c>
      <c r="O107" s="255">
        <f t="shared" si="60"/>
        <v>3200000</v>
      </c>
      <c r="P107" s="255">
        <f t="shared" si="61"/>
        <v>1200001.02</v>
      </c>
      <c r="Q107" s="255"/>
      <c r="R107" s="255"/>
      <c r="S107" s="255">
        <f t="shared" si="51"/>
        <v>0</v>
      </c>
      <c r="T107" s="255">
        <f t="shared" si="52"/>
        <v>0</v>
      </c>
      <c r="U107" s="255">
        <f t="shared" si="53"/>
        <v>3200000</v>
      </c>
      <c r="V107" s="255">
        <f t="shared" si="66"/>
        <v>0</v>
      </c>
      <c r="W107" s="255"/>
      <c r="X107" s="255"/>
      <c r="Y107" s="255">
        <v>762500</v>
      </c>
      <c r="Z107" s="255">
        <v>2437500</v>
      </c>
      <c r="AA107" s="528">
        <v>810000</v>
      </c>
      <c r="AB107" s="267"/>
      <c r="AC107" s="267"/>
      <c r="AD107" s="267"/>
      <c r="AE107" s="267"/>
      <c r="AF107" s="267"/>
      <c r="AG107" s="267"/>
      <c r="AH107" s="267"/>
      <c r="AI107" s="267"/>
      <c r="AJ107" s="267"/>
      <c r="AK107" s="254">
        <f t="shared" si="62"/>
        <v>0</v>
      </c>
      <c r="AL107" s="255"/>
      <c r="AM107" s="255">
        <f t="shared" si="54"/>
        <v>0</v>
      </c>
      <c r="AN107" s="255">
        <f t="shared" si="55"/>
        <v>3200000</v>
      </c>
      <c r="AO107" s="255"/>
      <c r="AP107" s="255"/>
      <c r="AQ107" s="255"/>
      <c r="AR107" s="255">
        <f t="shared" si="63"/>
        <v>0</v>
      </c>
      <c r="AS107" s="255"/>
      <c r="AT107" s="255"/>
      <c r="AU107" s="255"/>
      <c r="AV107" s="255"/>
      <c r="AW107" s="255">
        <f t="shared" si="64"/>
        <v>0</v>
      </c>
      <c r="AX107" s="255"/>
      <c r="AY107" s="255"/>
      <c r="AZ107" s="255"/>
      <c r="BA107" s="255"/>
      <c r="BB107" s="255">
        <f t="shared" si="65"/>
        <v>762500</v>
      </c>
      <c r="BC107" s="255">
        <v>2437500</v>
      </c>
    </row>
    <row r="108" spans="1:55">
      <c r="A108" s="254">
        <f t="shared" si="56"/>
        <v>102</v>
      </c>
      <c r="B108" s="264">
        <v>1919</v>
      </c>
      <c r="C108" s="254" t="s">
        <v>214</v>
      </c>
      <c r="D108" s="255">
        <v>135100000</v>
      </c>
      <c r="E108" s="255">
        <v>135100000</v>
      </c>
      <c r="F108" s="255">
        <f t="shared" si="50"/>
        <v>0</v>
      </c>
      <c r="G108" s="255">
        <v>9098527</v>
      </c>
      <c r="H108" s="255">
        <v>1043918</v>
      </c>
      <c r="I108" s="255"/>
      <c r="J108" s="255">
        <v>6567376.96</v>
      </c>
      <c r="K108" s="255">
        <f t="shared" si="57"/>
        <v>6567376.96</v>
      </c>
      <c r="L108" s="255">
        <f t="shared" si="58"/>
        <v>7611294.96</v>
      </c>
      <c r="M108" s="255">
        <f t="shared" si="59"/>
        <v>1487232.04</v>
      </c>
      <c r="N108" s="255">
        <v>31000000</v>
      </c>
      <c r="O108" s="255">
        <f t="shared" si="60"/>
        <v>95001473</v>
      </c>
      <c r="P108" s="255">
        <f t="shared" si="61"/>
        <v>1487232.04</v>
      </c>
      <c r="Q108" s="255"/>
      <c r="R108" s="255"/>
      <c r="S108" s="255">
        <f t="shared" si="51"/>
        <v>0</v>
      </c>
      <c r="T108" s="255">
        <f t="shared" si="52"/>
        <v>0</v>
      </c>
      <c r="U108" s="255">
        <f t="shared" si="53"/>
        <v>31000000</v>
      </c>
      <c r="V108" s="255">
        <f t="shared" si="66"/>
        <v>0</v>
      </c>
      <c r="W108" s="255"/>
      <c r="X108" s="255"/>
      <c r="Y108" s="255"/>
      <c r="Z108" s="255">
        <v>31000000</v>
      </c>
      <c r="AA108" s="528">
        <v>742000</v>
      </c>
      <c r="AB108" s="267"/>
      <c r="AC108" s="267"/>
      <c r="AD108" s="267"/>
      <c r="AE108" s="267"/>
      <c r="AF108" s="255">
        <v>24804331</v>
      </c>
      <c r="AG108" s="255"/>
      <c r="AH108" s="255"/>
      <c r="AI108" s="255"/>
      <c r="AJ108" s="255"/>
      <c r="AK108" s="255">
        <f t="shared" si="62"/>
        <v>24804331</v>
      </c>
      <c r="AL108" s="255">
        <v>6195669</v>
      </c>
      <c r="AM108" s="255">
        <f t="shared" si="54"/>
        <v>31000000</v>
      </c>
      <c r="AN108" s="255">
        <f t="shared" si="55"/>
        <v>0</v>
      </c>
      <c r="AO108" s="255"/>
      <c r="AP108" s="255"/>
      <c r="AQ108" s="255"/>
      <c r="AR108" s="255">
        <f t="shared" si="63"/>
        <v>0</v>
      </c>
      <c r="AS108" s="255">
        <f>24804331+6195669</f>
        <v>31000000</v>
      </c>
      <c r="AT108" s="255"/>
      <c r="AU108" s="255"/>
      <c r="AV108" s="255"/>
      <c r="AW108" s="255">
        <f t="shared" si="64"/>
        <v>0</v>
      </c>
      <c r="AX108" s="255">
        <v>6195669</v>
      </c>
      <c r="AY108" s="255"/>
      <c r="AZ108" s="255"/>
      <c r="BA108" s="255"/>
      <c r="BB108" s="255">
        <f t="shared" si="65"/>
        <v>0</v>
      </c>
      <c r="BC108" s="255"/>
    </row>
    <row r="109" spans="1:55" ht="28">
      <c r="A109" s="254">
        <f t="shared" si="56"/>
        <v>103</v>
      </c>
      <c r="B109" s="427">
        <v>1959</v>
      </c>
      <c r="C109" s="254" t="s">
        <v>564</v>
      </c>
      <c r="D109" s="255">
        <v>35000000</v>
      </c>
      <c r="E109" s="255">
        <v>35000000</v>
      </c>
      <c r="F109" s="255">
        <f t="shared" si="50"/>
        <v>0</v>
      </c>
      <c r="G109" s="255">
        <f>1000000+500000</f>
        <v>1500000</v>
      </c>
      <c r="H109" s="255">
        <v>0</v>
      </c>
      <c r="I109" s="255"/>
      <c r="J109" s="255"/>
      <c r="K109" s="255">
        <f t="shared" si="57"/>
        <v>0</v>
      </c>
      <c r="L109" s="255">
        <f t="shared" si="58"/>
        <v>0</v>
      </c>
      <c r="M109" s="255">
        <f t="shared" si="59"/>
        <v>1500000</v>
      </c>
      <c r="N109" s="255"/>
      <c r="O109" s="255">
        <f t="shared" si="60"/>
        <v>33500000</v>
      </c>
      <c r="P109" s="255">
        <f t="shared" si="61"/>
        <v>1500000</v>
      </c>
      <c r="Q109" s="255"/>
      <c r="R109" s="255"/>
      <c r="S109" s="255">
        <f t="shared" si="51"/>
        <v>0</v>
      </c>
      <c r="T109" s="255">
        <f t="shared" si="52"/>
        <v>0</v>
      </c>
      <c r="U109" s="255">
        <f t="shared" si="53"/>
        <v>0</v>
      </c>
      <c r="V109" s="255">
        <f t="shared" si="66"/>
        <v>0</v>
      </c>
      <c r="W109" s="255"/>
      <c r="X109" s="255"/>
      <c r="Y109" s="255"/>
      <c r="Z109" s="255"/>
      <c r="AA109" s="528">
        <v>810000</v>
      </c>
      <c r="AB109" s="267"/>
      <c r="AC109" s="267"/>
      <c r="AD109" s="267"/>
      <c r="AE109" s="267"/>
      <c r="AF109" s="267"/>
      <c r="AG109" s="267"/>
      <c r="AH109" s="267"/>
      <c r="AI109" s="267"/>
      <c r="AJ109" s="267"/>
      <c r="AK109" s="254">
        <f t="shared" si="62"/>
        <v>0</v>
      </c>
      <c r="AL109" s="255"/>
      <c r="AM109" s="255">
        <f t="shared" si="54"/>
        <v>0</v>
      </c>
      <c r="AN109" s="255">
        <f t="shared" si="55"/>
        <v>0</v>
      </c>
      <c r="AO109" s="255"/>
      <c r="AP109" s="255"/>
      <c r="AQ109" s="255"/>
      <c r="AR109" s="255">
        <f t="shared" si="63"/>
        <v>0</v>
      </c>
      <c r="AS109" s="255"/>
      <c r="AT109" s="255"/>
      <c r="AU109" s="255"/>
      <c r="AV109" s="255"/>
      <c r="AW109" s="255">
        <f t="shared" si="64"/>
        <v>0</v>
      </c>
      <c r="AX109" s="255"/>
      <c r="AY109" s="255"/>
      <c r="AZ109" s="255"/>
      <c r="BA109" s="255"/>
      <c r="BB109" s="255">
        <f t="shared" si="65"/>
        <v>0</v>
      </c>
      <c r="BC109" s="255"/>
    </row>
    <row r="110" spans="1:55">
      <c r="A110" s="254">
        <f t="shared" si="56"/>
        <v>104</v>
      </c>
      <c r="B110" s="264">
        <v>1960</v>
      </c>
      <c r="C110" s="254" t="s">
        <v>565</v>
      </c>
      <c r="D110" s="255">
        <f>7500000+200000</f>
        <v>7700000</v>
      </c>
      <c r="E110" s="255">
        <v>7500000</v>
      </c>
      <c r="F110" s="255">
        <f t="shared" si="50"/>
        <v>200000</v>
      </c>
      <c r="G110" s="255">
        <f>600000+150000</f>
        <v>750000</v>
      </c>
      <c r="H110" s="255">
        <v>0</v>
      </c>
      <c r="I110" s="255"/>
      <c r="J110" s="255"/>
      <c r="K110" s="255">
        <f t="shared" si="57"/>
        <v>0</v>
      </c>
      <c r="L110" s="255">
        <f t="shared" si="58"/>
        <v>0</v>
      </c>
      <c r="M110" s="255">
        <f t="shared" si="59"/>
        <v>750000</v>
      </c>
      <c r="N110" s="255">
        <v>3400000</v>
      </c>
      <c r="O110" s="255">
        <f t="shared" si="60"/>
        <v>3550000</v>
      </c>
      <c r="P110" s="255">
        <f t="shared" si="61"/>
        <v>750000</v>
      </c>
      <c r="Q110" s="255"/>
      <c r="R110" s="255"/>
      <c r="S110" s="255">
        <f t="shared" si="51"/>
        <v>0</v>
      </c>
      <c r="T110" s="255">
        <f t="shared" si="52"/>
        <v>0</v>
      </c>
      <c r="U110" s="255">
        <f t="shared" si="53"/>
        <v>3400000</v>
      </c>
      <c r="V110" s="255">
        <f t="shared" si="66"/>
        <v>0</v>
      </c>
      <c r="W110" s="255"/>
      <c r="X110" s="255"/>
      <c r="Y110" s="255">
        <v>962500</v>
      </c>
      <c r="Z110" s="255">
        <v>2437500</v>
      </c>
      <c r="AA110" s="528">
        <v>810000</v>
      </c>
      <c r="AB110" s="267"/>
      <c r="AC110" s="267"/>
      <c r="AD110" s="267"/>
      <c r="AE110" s="267"/>
      <c r="AF110" s="267"/>
      <c r="AG110" s="267"/>
      <c r="AH110" s="267"/>
      <c r="AI110" s="267"/>
      <c r="AJ110" s="267"/>
      <c r="AK110" s="254">
        <f t="shared" si="62"/>
        <v>0</v>
      </c>
      <c r="AL110" s="255"/>
      <c r="AM110" s="255">
        <f t="shared" si="54"/>
        <v>0</v>
      </c>
      <c r="AN110" s="255">
        <f t="shared" si="55"/>
        <v>3400000</v>
      </c>
      <c r="AO110" s="255"/>
      <c r="AP110" s="255"/>
      <c r="AQ110" s="255"/>
      <c r="AR110" s="255">
        <f t="shared" si="63"/>
        <v>0</v>
      </c>
      <c r="AS110" s="255"/>
      <c r="AT110" s="255"/>
      <c r="AU110" s="255"/>
      <c r="AV110" s="255"/>
      <c r="AW110" s="255">
        <f t="shared" si="64"/>
        <v>0</v>
      </c>
      <c r="AX110" s="255"/>
      <c r="AY110" s="255"/>
      <c r="AZ110" s="255"/>
      <c r="BA110" s="255"/>
      <c r="BB110" s="255">
        <f t="shared" si="65"/>
        <v>962500</v>
      </c>
      <c r="BC110" s="255">
        <v>2437500</v>
      </c>
    </row>
    <row r="111" spans="1:55">
      <c r="A111" s="254">
        <f t="shared" si="56"/>
        <v>105</v>
      </c>
      <c r="B111" s="264">
        <v>1961</v>
      </c>
      <c r="C111" s="254" t="s">
        <v>288</v>
      </c>
      <c r="D111" s="255">
        <v>3000000</v>
      </c>
      <c r="E111" s="255">
        <v>3000000</v>
      </c>
      <c r="F111" s="255">
        <f t="shared" si="50"/>
        <v>0</v>
      </c>
      <c r="G111" s="255">
        <f>500000+1000000</f>
        <v>1500000</v>
      </c>
      <c r="H111" s="255">
        <v>0</v>
      </c>
      <c r="I111" s="255"/>
      <c r="J111" s="255"/>
      <c r="K111" s="255">
        <f t="shared" si="57"/>
        <v>0</v>
      </c>
      <c r="L111" s="255">
        <f t="shared" si="58"/>
        <v>0</v>
      </c>
      <c r="M111" s="255">
        <f t="shared" si="59"/>
        <v>1500000</v>
      </c>
      <c r="N111" s="255"/>
      <c r="O111" s="255">
        <f t="shared" si="60"/>
        <v>1500000</v>
      </c>
      <c r="P111" s="255">
        <f t="shared" si="61"/>
        <v>1500000</v>
      </c>
      <c r="Q111" s="255"/>
      <c r="R111" s="255"/>
      <c r="S111" s="255">
        <f t="shared" si="51"/>
        <v>0</v>
      </c>
      <c r="T111" s="255">
        <f t="shared" si="52"/>
        <v>0</v>
      </c>
      <c r="U111" s="255">
        <f t="shared" si="53"/>
        <v>0</v>
      </c>
      <c r="V111" s="255">
        <f t="shared" si="66"/>
        <v>0</v>
      </c>
      <c r="W111" s="255"/>
      <c r="X111" s="255"/>
      <c r="Y111" s="255"/>
      <c r="Z111" s="255"/>
      <c r="AA111" s="528">
        <v>742000</v>
      </c>
      <c r="AB111" s="267"/>
      <c r="AC111" s="267"/>
      <c r="AD111" s="267"/>
      <c r="AE111" s="267"/>
      <c r="AF111" s="267"/>
      <c r="AG111" s="267"/>
      <c r="AH111" s="267"/>
      <c r="AI111" s="267"/>
      <c r="AJ111" s="267"/>
      <c r="AK111" s="254">
        <f t="shared" si="62"/>
        <v>0</v>
      </c>
      <c r="AL111" s="267"/>
      <c r="AM111" s="255">
        <f t="shared" si="54"/>
        <v>0</v>
      </c>
      <c r="AN111" s="255">
        <f t="shared" si="55"/>
        <v>0</v>
      </c>
      <c r="AO111" s="255"/>
      <c r="AP111" s="255"/>
      <c r="AQ111" s="255"/>
      <c r="AR111" s="255">
        <f t="shared" si="63"/>
        <v>0</v>
      </c>
      <c r="AS111" s="255"/>
      <c r="AT111" s="255"/>
      <c r="AU111" s="255"/>
      <c r="AV111" s="255"/>
      <c r="AW111" s="255">
        <f t="shared" si="64"/>
        <v>0</v>
      </c>
      <c r="AX111" s="255"/>
      <c r="AY111" s="255"/>
      <c r="AZ111" s="255"/>
      <c r="BA111" s="255"/>
      <c r="BB111" s="255">
        <f t="shared" si="65"/>
        <v>0</v>
      </c>
      <c r="BC111" s="255"/>
    </row>
    <row r="112" spans="1:55">
      <c r="A112" s="254">
        <f t="shared" si="56"/>
        <v>106</v>
      </c>
      <c r="B112" s="264">
        <v>1962</v>
      </c>
      <c r="C112" s="254" t="s">
        <v>289</v>
      </c>
      <c r="D112" s="255">
        <v>20000000</v>
      </c>
      <c r="E112" s="255">
        <v>20000000</v>
      </c>
      <c r="F112" s="255">
        <f t="shared" si="50"/>
        <v>0</v>
      </c>
      <c r="G112" s="255">
        <f>500000+500000</f>
        <v>1000000</v>
      </c>
      <c r="H112" s="255">
        <v>0</v>
      </c>
      <c r="I112" s="255"/>
      <c r="J112" s="255"/>
      <c r="K112" s="255">
        <f t="shared" si="57"/>
        <v>0</v>
      </c>
      <c r="L112" s="255">
        <f t="shared" si="58"/>
        <v>0</v>
      </c>
      <c r="M112" s="255">
        <f t="shared" si="59"/>
        <v>1000000</v>
      </c>
      <c r="N112" s="255"/>
      <c r="O112" s="255">
        <f t="shared" si="60"/>
        <v>19000000</v>
      </c>
      <c r="P112" s="255">
        <f t="shared" si="61"/>
        <v>1000000</v>
      </c>
      <c r="Q112" s="255"/>
      <c r="R112" s="255"/>
      <c r="S112" s="255">
        <f t="shared" si="51"/>
        <v>0</v>
      </c>
      <c r="T112" s="255">
        <f t="shared" si="52"/>
        <v>0</v>
      </c>
      <c r="U112" s="255">
        <f t="shared" si="53"/>
        <v>0</v>
      </c>
      <c r="V112" s="255">
        <f t="shared" si="66"/>
        <v>0</v>
      </c>
      <c r="W112" s="255"/>
      <c r="X112" s="255"/>
      <c r="Y112" s="255"/>
      <c r="Z112" s="255"/>
      <c r="AA112" s="528">
        <v>742000</v>
      </c>
      <c r="AB112" s="267"/>
      <c r="AC112" s="267"/>
      <c r="AD112" s="267"/>
      <c r="AE112" s="267"/>
      <c r="AF112" s="267"/>
      <c r="AG112" s="267"/>
      <c r="AH112" s="267"/>
      <c r="AI112" s="267"/>
      <c r="AJ112" s="267"/>
      <c r="AK112" s="254">
        <f t="shared" si="62"/>
        <v>0</v>
      </c>
      <c r="AL112" s="267"/>
      <c r="AM112" s="255">
        <f t="shared" si="54"/>
        <v>0</v>
      </c>
      <c r="AN112" s="255">
        <f t="shared" si="55"/>
        <v>0</v>
      </c>
      <c r="AO112" s="255"/>
      <c r="AP112" s="255"/>
      <c r="AQ112" s="255"/>
      <c r="AR112" s="255">
        <f t="shared" si="63"/>
        <v>0</v>
      </c>
      <c r="AS112" s="255"/>
      <c r="AT112" s="255"/>
      <c r="AU112" s="255"/>
      <c r="AV112" s="255"/>
      <c r="AW112" s="255">
        <f t="shared" si="64"/>
        <v>0</v>
      </c>
      <c r="AX112" s="255"/>
      <c r="AY112" s="255"/>
      <c r="AZ112" s="255"/>
      <c r="BA112" s="255"/>
      <c r="BB112" s="255">
        <f t="shared" si="65"/>
        <v>0</v>
      </c>
      <c r="BC112" s="255"/>
    </row>
    <row r="113" spans="1:55">
      <c r="A113" s="254">
        <f t="shared" si="56"/>
        <v>107</v>
      </c>
      <c r="B113" s="264">
        <v>1963</v>
      </c>
      <c r="C113" s="254" t="s">
        <v>303</v>
      </c>
      <c r="D113" s="255">
        <v>2800000</v>
      </c>
      <c r="E113" s="255">
        <v>2800000</v>
      </c>
      <c r="F113" s="255">
        <f t="shared" si="50"/>
        <v>0</v>
      </c>
      <c r="G113" s="255">
        <f>200000+109655</f>
        <v>309655</v>
      </c>
      <c r="H113" s="255">
        <v>0</v>
      </c>
      <c r="I113" s="255"/>
      <c r="J113" s="255"/>
      <c r="K113" s="255">
        <f t="shared" si="57"/>
        <v>0</v>
      </c>
      <c r="L113" s="255">
        <f t="shared" si="58"/>
        <v>0</v>
      </c>
      <c r="M113" s="255">
        <f t="shared" si="59"/>
        <v>309655</v>
      </c>
      <c r="N113" s="255">
        <v>2490345</v>
      </c>
      <c r="O113" s="255">
        <f t="shared" si="60"/>
        <v>0</v>
      </c>
      <c r="P113" s="255">
        <f t="shared" si="61"/>
        <v>309655</v>
      </c>
      <c r="Q113" s="255"/>
      <c r="R113" s="255"/>
      <c r="S113" s="255">
        <f t="shared" si="51"/>
        <v>0</v>
      </c>
      <c r="T113" s="255">
        <f t="shared" si="52"/>
        <v>0</v>
      </c>
      <c r="U113" s="255">
        <f t="shared" si="53"/>
        <v>2490345</v>
      </c>
      <c r="V113" s="255">
        <f>U113-X113-Y113-Z113</f>
        <v>0</v>
      </c>
      <c r="W113" s="255"/>
      <c r="X113" s="255"/>
      <c r="Y113" s="255"/>
      <c r="Z113" s="255">
        <v>2490345</v>
      </c>
      <c r="AA113" s="528">
        <v>742000</v>
      </c>
      <c r="AB113" s="267"/>
      <c r="AC113" s="267"/>
      <c r="AD113" s="267"/>
      <c r="AE113" s="267"/>
      <c r="AF113" s="267"/>
      <c r="AG113" s="267"/>
      <c r="AH113" s="267"/>
      <c r="AI113" s="267"/>
      <c r="AJ113" s="267"/>
      <c r="AK113" s="254">
        <f t="shared" si="62"/>
        <v>0</v>
      </c>
      <c r="AL113" s="267"/>
      <c r="AM113" s="255">
        <f t="shared" si="54"/>
        <v>0</v>
      </c>
      <c r="AN113" s="255">
        <f t="shared" si="55"/>
        <v>2490345</v>
      </c>
      <c r="AO113" s="255"/>
      <c r="AP113" s="255"/>
      <c r="AQ113" s="255"/>
      <c r="AR113" s="255">
        <f t="shared" si="63"/>
        <v>0</v>
      </c>
      <c r="AS113" s="255"/>
      <c r="AT113" s="255"/>
      <c r="AU113" s="255"/>
      <c r="AV113" s="255"/>
      <c r="AW113" s="255">
        <f t="shared" si="64"/>
        <v>0</v>
      </c>
      <c r="AX113" s="255"/>
      <c r="AY113" s="255"/>
      <c r="AZ113" s="255"/>
      <c r="BA113" s="255"/>
      <c r="BB113" s="255">
        <f t="shared" si="65"/>
        <v>0</v>
      </c>
      <c r="BC113" s="255">
        <v>2490345</v>
      </c>
    </row>
    <row r="114" spans="1:55" ht="28">
      <c r="A114" s="254">
        <f t="shared" si="56"/>
        <v>108</v>
      </c>
      <c r="B114" s="254">
        <v>1965</v>
      </c>
      <c r="C114" s="254" t="s">
        <v>567</v>
      </c>
      <c r="D114" s="255">
        <v>35000000</v>
      </c>
      <c r="E114" s="255">
        <v>35000000</v>
      </c>
      <c r="F114" s="255">
        <f t="shared" si="50"/>
        <v>0</v>
      </c>
      <c r="G114" s="255">
        <v>100000</v>
      </c>
      <c r="H114" s="255">
        <v>0</v>
      </c>
      <c r="I114" s="255"/>
      <c r="J114" s="255"/>
      <c r="K114" s="255">
        <f t="shared" si="57"/>
        <v>0</v>
      </c>
      <c r="L114" s="255">
        <f t="shared" si="58"/>
        <v>0</v>
      </c>
      <c r="M114" s="255">
        <f t="shared" si="59"/>
        <v>100000</v>
      </c>
      <c r="N114" s="255">
        <v>400000</v>
      </c>
      <c r="O114" s="255">
        <f t="shared" si="60"/>
        <v>34500000</v>
      </c>
      <c r="P114" s="255">
        <f t="shared" si="61"/>
        <v>100000</v>
      </c>
      <c r="Q114" s="255"/>
      <c r="R114" s="255"/>
      <c r="S114" s="255">
        <f t="shared" si="51"/>
        <v>0</v>
      </c>
      <c r="T114" s="255">
        <f t="shared" si="52"/>
        <v>0</v>
      </c>
      <c r="U114" s="255">
        <f t="shared" si="53"/>
        <v>400000</v>
      </c>
      <c r="V114" s="255">
        <f>U114-X114-Y114-Z114</f>
        <v>0</v>
      </c>
      <c r="W114" s="255"/>
      <c r="X114" s="255"/>
      <c r="Y114" s="255">
        <v>400000</v>
      </c>
      <c r="Z114" s="254"/>
      <c r="AA114" s="528">
        <v>810000</v>
      </c>
      <c r="AB114" s="267"/>
      <c r="AC114" s="267"/>
      <c r="AD114" s="267"/>
      <c r="AE114" s="267"/>
      <c r="AF114" s="267"/>
      <c r="AG114" s="267"/>
      <c r="AH114" s="267"/>
      <c r="AI114" s="267"/>
      <c r="AJ114" s="267"/>
      <c r="AK114" s="254">
        <f t="shared" si="62"/>
        <v>0</v>
      </c>
      <c r="AL114" s="267"/>
      <c r="AM114" s="255">
        <f t="shared" si="54"/>
        <v>0</v>
      </c>
      <c r="AN114" s="255">
        <f t="shared" si="55"/>
        <v>400000</v>
      </c>
      <c r="AO114" s="255"/>
      <c r="AP114" s="255"/>
      <c r="AQ114" s="255"/>
      <c r="AR114" s="255">
        <f t="shared" si="63"/>
        <v>0</v>
      </c>
      <c r="AS114" s="255"/>
      <c r="AT114" s="255"/>
      <c r="AU114" s="255"/>
      <c r="AV114" s="255"/>
      <c r="AW114" s="255">
        <f t="shared" si="64"/>
        <v>0</v>
      </c>
      <c r="AX114" s="255"/>
      <c r="AY114" s="255"/>
      <c r="AZ114" s="255"/>
      <c r="BA114" s="255"/>
      <c r="BB114" s="255">
        <f t="shared" si="65"/>
        <v>400000</v>
      </c>
      <c r="BC114" s="255"/>
    </row>
    <row r="115" spans="1:55" s="433" customFormat="1">
      <c r="A115" s="260"/>
      <c r="B115" s="435"/>
      <c r="C115" s="260" t="s">
        <v>299</v>
      </c>
      <c r="D115" s="262">
        <f t="shared" ref="D115:Z115" si="67">SUM(D95:D114)</f>
        <v>674616000</v>
      </c>
      <c r="E115" s="262">
        <f t="shared" si="67"/>
        <v>655816000</v>
      </c>
      <c r="F115" s="262">
        <f t="shared" si="67"/>
        <v>18800000</v>
      </c>
      <c r="G115" s="262">
        <f t="shared" si="67"/>
        <v>126599578</v>
      </c>
      <c r="H115" s="262">
        <f t="shared" si="67"/>
        <v>49305345.460000001</v>
      </c>
      <c r="I115" s="262">
        <f t="shared" si="67"/>
        <v>1105773.8600000001</v>
      </c>
      <c r="J115" s="262">
        <f t="shared" si="67"/>
        <v>16695672.09</v>
      </c>
      <c r="K115" s="262">
        <f t="shared" si="67"/>
        <v>17801445.949999999</v>
      </c>
      <c r="L115" s="262">
        <f t="shared" si="67"/>
        <v>67106791.410000004</v>
      </c>
      <c r="M115" s="262">
        <f t="shared" si="67"/>
        <v>69492786.590000004</v>
      </c>
      <c r="N115" s="262">
        <f t="shared" si="67"/>
        <v>181006624</v>
      </c>
      <c r="O115" s="262">
        <f t="shared" si="67"/>
        <v>357009798</v>
      </c>
      <c r="P115" s="262">
        <f t="shared" si="67"/>
        <v>59492786.590000004</v>
      </c>
      <c r="Q115" s="262">
        <f t="shared" si="67"/>
        <v>10000000</v>
      </c>
      <c r="R115" s="262">
        <f t="shared" si="67"/>
        <v>0</v>
      </c>
      <c r="S115" s="262">
        <f t="shared" si="67"/>
        <v>10000000</v>
      </c>
      <c r="T115" s="262">
        <f t="shared" si="67"/>
        <v>0</v>
      </c>
      <c r="U115" s="262">
        <f t="shared" si="67"/>
        <v>181006624</v>
      </c>
      <c r="V115" s="262">
        <f t="shared" si="67"/>
        <v>-6.976744532585144E-2</v>
      </c>
      <c r="W115" s="262">
        <f>SUM(W95:W114)</f>
        <v>0</v>
      </c>
      <c r="X115" s="262">
        <f t="shared" si="67"/>
        <v>0</v>
      </c>
      <c r="Y115" s="262">
        <f t="shared" si="67"/>
        <v>48962500</v>
      </c>
      <c r="Z115" s="262">
        <f t="shared" si="67"/>
        <v>132044124.06976745</v>
      </c>
      <c r="AA115" s="262">
        <f t="shared" ref="AA115:BC115" si="68">SUM(AA95:AA114)</f>
        <v>15768000</v>
      </c>
      <c r="AB115" s="262">
        <f t="shared" si="68"/>
        <v>0</v>
      </c>
      <c r="AC115" s="262">
        <f t="shared" si="68"/>
        <v>2700000</v>
      </c>
      <c r="AD115" s="262">
        <f t="shared" si="68"/>
        <v>0</v>
      </c>
      <c r="AE115" s="262">
        <f t="shared" si="68"/>
        <v>0</v>
      </c>
      <c r="AF115" s="262">
        <f t="shared" si="68"/>
        <v>35722019</v>
      </c>
      <c r="AG115" s="262">
        <f t="shared" si="68"/>
        <v>0</v>
      </c>
      <c r="AH115" s="262">
        <f t="shared" si="68"/>
        <v>9000000</v>
      </c>
      <c r="AI115" s="262">
        <f t="shared" si="68"/>
        <v>4450000</v>
      </c>
      <c r="AJ115" s="262">
        <f t="shared" si="68"/>
        <v>8750000</v>
      </c>
      <c r="AK115" s="262">
        <f t="shared" si="68"/>
        <v>60622019</v>
      </c>
      <c r="AL115" s="262">
        <f t="shared" si="68"/>
        <v>11195669</v>
      </c>
      <c r="AM115" s="262">
        <f t="shared" si="68"/>
        <v>71817688</v>
      </c>
      <c r="AN115" s="262">
        <f t="shared" si="68"/>
        <v>109188936</v>
      </c>
      <c r="AO115" s="262">
        <f t="shared" si="68"/>
        <v>0</v>
      </c>
      <c r="AP115" s="262">
        <f t="shared" si="68"/>
        <v>0</v>
      </c>
      <c r="AQ115" s="262">
        <f t="shared" si="68"/>
        <v>0</v>
      </c>
      <c r="AR115" s="262">
        <f t="shared" si="68"/>
        <v>34900000</v>
      </c>
      <c r="AS115" s="262">
        <f t="shared" si="68"/>
        <v>36917688</v>
      </c>
      <c r="AT115" s="262">
        <f t="shared" si="68"/>
        <v>0</v>
      </c>
      <c r="AU115" s="262">
        <f t="shared" si="68"/>
        <v>0</v>
      </c>
      <c r="AV115" s="262">
        <f t="shared" si="68"/>
        <v>0</v>
      </c>
      <c r="AW115" s="262">
        <f t="shared" si="68"/>
        <v>5000000</v>
      </c>
      <c r="AX115" s="262">
        <f t="shared" si="68"/>
        <v>6195669</v>
      </c>
      <c r="AY115" s="262">
        <f t="shared" si="68"/>
        <v>0</v>
      </c>
      <c r="AZ115" s="262">
        <f t="shared" si="68"/>
        <v>0</v>
      </c>
      <c r="BA115" s="262">
        <f t="shared" si="68"/>
        <v>0</v>
      </c>
      <c r="BB115" s="262">
        <f t="shared" si="68"/>
        <v>14062500</v>
      </c>
      <c r="BC115" s="262">
        <f t="shared" si="68"/>
        <v>95126436</v>
      </c>
    </row>
    <row r="116" spans="1:55" s="303" customFormat="1" ht="15.5">
      <c r="A116" s="270">
        <f>A114</f>
        <v>108</v>
      </c>
      <c r="B116" s="538"/>
      <c r="C116" s="270" t="s">
        <v>137</v>
      </c>
      <c r="D116" s="271">
        <f t="shared" ref="D116:AI116" si="69">D93+D115</f>
        <v>2140043405</v>
      </c>
      <c r="E116" s="271">
        <f t="shared" si="69"/>
        <v>1862963405</v>
      </c>
      <c r="F116" s="271">
        <f t="shared" si="69"/>
        <v>277080000</v>
      </c>
      <c r="G116" s="271">
        <f t="shared" si="69"/>
        <v>851682826</v>
      </c>
      <c r="H116" s="271">
        <f t="shared" si="69"/>
        <v>598935415.00999999</v>
      </c>
      <c r="I116" s="271">
        <f t="shared" si="69"/>
        <v>2323301.5700000003</v>
      </c>
      <c r="J116" s="271">
        <f t="shared" si="69"/>
        <v>85421661.919999972</v>
      </c>
      <c r="K116" s="271">
        <f t="shared" si="69"/>
        <v>87744963.489999965</v>
      </c>
      <c r="L116" s="271">
        <f t="shared" si="69"/>
        <v>686680378.50000024</v>
      </c>
      <c r="M116" s="271">
        <f t="shared" si="69"/>
        <v>194957060.49999997</v>
      </c>
      <c r="N116" s="271">
        <f t="shared" si="69"/>
        <v>397780568</v>
      </c>
      <c r="O116" s="271">
        <f t="shared" si="69"/>
        <v>860625398</v>
      </c>
      <c r="P116" s="271">
        <f t="shared" si="69"/>
        <v>165002447.49999997</v>
      </c>
      <c r="Q116" s="271">
        <f t="shared" si="69"/>
        <v>32554613</v>
      </c>
      <c r="R116" s="271">
        <f t="shared" si="69"/>
        <v>-1200000</v>
      </c>
      <c r="S116" s="271">
        <f t="shared" si="69"/>
        <v>31354613</v>
      </c>
      <c r="T116" s="271">
        <f t="shared" si="69"/>
        <v>1400000</v>
      </c>
      <c r="U116" s="271">
        <f t="shared" si="69"/>
        <v>396380568</v>
      </c>
      <c r="V116" s="271">
        <f t="shared" si="69"/>
        <v>158809940.93023255</v>
      </c>
      <c r="W116" s="271">
        <f t="shared" si="69"/>
        <v>0</v>
      </c>
      <c r="X116" s="271">
        <f t="shared" si="69"/>
        <v>1250000</v>
      </c>
      <c r="Y116" s="271">
        <f t="shared" si="69"/>
        <v>48962500</v>
      </c>
      <c r="Z116" s="271">
        <f t="shared" si="69"/>
        <v>187358127.06976745</v>
      </c>
      <c r="AA116" s="271">
        <f t="shared" si="69"/>
        <v>84421000</v>
      </c>
      <c r="AB116" s="271">
        <f t="shared" si="69"/>
        <v>0</v>
      </c>
      <c r="AC116" s="271">
        <f t="shared" si="69"/>
        <v>9000000</v>
      </c>
      <c r="AD116" s="271">
        <f t="shared" si="69"/>
        <v>9190000</v>
      </c>
      <c r="AE116" s="271">
        <f t="shared" si="69"/>
        <v>3150000</v>
      </c>
      <c r="AF116" s="271">
        <f t="shared" si="69"/>
        <v>50754866</v>
      </c>
      <c r="AG116" s="271">
        <f t="shared" si="69"/>
        <v>2500000</v>
      </c>
      <c r="AH116" s="271">
        <f t="shared" si="69"/>
        <v>23299800</v>
      </c>
      <c r="AI116" s="271">
        <f t="shared" si="69"/>
        <v>7250000</v>
      </c>
      <c r="AJ116" s="271">
        <f t="shared" ref="AJ116:BC116" si="70">AJ93+AJ115</f>
        <v>17470000</v>
      </c>
      <c r="AK116" s="271">
        <f t="shared" si="70"/>
        <v>122614666</v>
      </c>
      <c r="AL116" s="271">
        <f t="shared" si="70"/>
        <v>119955601</v>
      </c>
      <c r="AM116" s="271">
        <f t="shared" si="70"/>
        <v>242570267</v>
      </c>
      <c r="AN116" s="271">
        <f t="shared" si="70"/>
        <v>153810301</v>
      </c>
      <c r="AO116" s="271">
        <f t="shared" si="70"/>
        <v>148109564</v>
      </c>
      <c r="AP116" s="271">
        <f t="shared" si="70"/>
        <v>0</v>
      </c>
      <c r="AQ116" s="271">
        <f t="shared" si="70"/>
        <v>0</v>
      </c>
      <c r="AR116" s="271">
        <f t="shared" si="70"/>
        <v>34900000</v>
      </c>
      <c r="AS116" s="271">
        <f t="shared" si="70"/>
        <v>59560703</v>
      </c>
      <c r="AT116" s="271">
        <f t="shared" si="70"/>
        <v>103759932</v>
      </c>
      <c r="AU116" s="271">
        <f t="shared" si="70"/>
        <v>0</v>
      </c>
      <c r="AV116" s="271">
        <f t="shared" si="70"/>
        <v>0</v>
      </c>
      <c r="AW116" s="271">
        <f t="shared" si="70"/>
        <v>5000000</v>
      </c>
      <c r="AX116" s="271">
        <f t="shared" si="70"/>
        <v>11195669</v>
      </c>
      <c r="AY116" s="271">
        <f t="shared" si="70"/>
        <v>10700377</v>
      </c>
      <c r="AZ116" s="271">
        <f t="shared" si="70"/>
        <v>0</v>
      </c>
      <c r="BA116" s="271">
        <f t="shared" si="70"/>
        <v>1250000</v>
      </c>
      <c r="BB116" s="271">
        <f t="shared" si="70"/>
        <v>14062500</v>
      </c>
      <c r="BC116" s="271">
        <f t="shared" si="70"/>
        <v>127797424</v>
      </c>
    </row>
    <row r="117" spans="1:55" ht="15.5">
      <c r="A117" s="436"/>
      <c r="B117" s="272"/>
      <c r="C117" s="272"/>
      <c r="D117" s="273"/>
      <c r="E117" s="273"/>
      <c r="F117" s="273"/>
      <c r="G117" s="273"/>
      <c r="H117" s="273"/>
      <c r="I117" s="273"/>
      <c r="J117" s="273"/>
      <c r="K117" s="273"/>
      <c r="L117" s="273"/>
      <c r="M117" s="273"/>
      <c r="N117" s="273"/>
      <c r="O117" s="273"/>
      <c r="P117" s="273"/>
      <c r="Q117" s="273"/>
      <c r="R117" s="273"/>
      <c r="S117" s="273"/>
      <c r="T117" s="273"/>
      <c r="U117" s="273"/>
      <c r="V117" s="273"/>
      <c r="W117" s="273"/>
      <c r="X117" s="273"/>
      <c r="Y117" s="273"/>
      <c r="Z117" s="273"/>
      <c r="AA117" s="272"/>
    </row>
    <row r="118" spans="1:55" ht="15.5">
      <c r="A118" s="436"/>
      <c r="B118" s="272"/>
      <c r="C118" s="272"/>
      <c r="D118" s="273"/>
      <c r="E118" s="273"/>
      <c r="F118" s="273"/>
      <c r="G118" s="273"/>
      <c r="H118" s="273"/>
      <c r="I118" s="273"/>
      <c r="J118" s="273"/>
      <c r="K118" s="273"/>
      <c r="L118" s="273"/>
      <c r="M118" s="273"/>
      <c r="N118" s="273"/>
      <c r="O118" s="273"/>
      <c r="P118" s="273"/>
      <c r="Q118" s="273"/>
      <c r="R118" s="273"/>
      <c r="S118" s="273"/>
      <c r="T118" s="273"/>
      <c r="U118" s="273"/>
      <c r="V118" s="273"/>
      <c r="W118" s="273"/>
      <c r="X118" s="273"/>
      <c r="Y118" s="273"/>
      <c r="Z118" s="273"/>
      <c r="AA118" s="272"/>
    </row>
    <row r="119" spans="1:55">
      <c r="B119" s="266"/>
      <c r="C119" s="266"/>
      <c r="D119" s="274"/>
      <c r="E119" s="274"/>
      <c r="F119" s="274"/>
      <c r="G119" s="274"/>
      <c r="H119" s="274"/>
      <c r="I119" s="274"/>
      <c r="J119" s="274"/>
      <c r="K119" s="274"/>
      <c r="L119" s="274"/>
      <c r="M119" s="274"/>
      <c r="N119" s="274"/>
      <c r="O119" s="274"/>
      <c r="P119" s="274"/>
      <c r="Q119" s="274"/>
      <c r="R119" s="274"/>
      <c r="S119" s="274"/>
      <c r="T119" s="274"/>
      <c r="U119" s="266"/>
      <c r="V119" s="266"/>
      <c r="W119" s="266"/>
      <c r="X119" s="266"/>
      <c r="Y119" s="266"/>
      <c r="Z119" s="274"/>
      <c r="AA119" s="266"/>
    </row>
    <row r="120" spans="1:55">
      <c r="B120" s="266"/>
      <c r="C120" s="266"/>
      <c r="D120" s="274"/>
      <c r="E120" s="274"/>
      <c r="F120" s="274"/>
      <c r="G120" s="274"/>
      <c r="H120" s="274"/>
      <c r="I120" s="274"/>
      <c r="J120" s="274"/>
      <c r="K120" s="274"/>
      <c r="L120" s="274"/>
      <c r="M120" s="274"/>
      <c r="N120" s="274"/>
      <c r="O120" s="274"/>
      <c r="Q120" s="274" t="e">
        <f>#REF!-#REF!</f>
        <v>#REF!</v>
      </c>
      <c r="R120" s="274">
        <f>R9+R102</f>
        <v>-1200000</v>
      </c>
      <c r="S120" s="274"/>
      <c r="U120" s="266"/>
      <c r="V120" s="266"/>
      <c r="W120" s="266"/>
      <c r="X120" s="266"/>
      <c r="Y120" s="266"/>
      <c r="AA120" s="266"/>
    </row>
    <row r="121" spans="1:55">
      <c r="C121" s="437"/>
      <c r="D121" s="438"/>
      <c r="E121" s="438"/>
      <c r="F121" s="438"/>
      <c r="G121" s="438"/>
      <c r="H121" s="438"/>
      <c r="I121" s="438"/>
      <c r="J121" s="438"/>
      <c r="K121" s="438"/>
      <c r="L121" s="438"/>
      <c r="M121" s="437"/>
      <c r="P121" s="438"/>
      <c r="Q121" s="438"/>
      <c r="R121" s="438">
        <f>SUM(R120:R120)</f>
        <v>-1200000</v>
      </c>
      <c r="S121" s="438"/>
      <c r="U121" s="248"/>
    </row>
    <row r="122" spans="1:55">
      <c r="C122" s="437"/>
      <c r="D122" s="438"/>
      <c r="E122" s="438"/>
      <c r="F122" s="438"/>
      <c r="G122" s="438"/>
      <c r="H122" s="438"/>
      <c r="I122" s="438"/>
      <c r="J122" s="438"/>
      <c r="K122" s="438"/>
      <c r="L122" s="438"/>
      <c r="M122" s="438"/>
      <c r="P122" s="437"/>
      <c r="Q122" s="438"/>
      <c r="R122" s="438" t="e">
        <f>#REF!-R121</f>
        <v>#REF!</v>
      </c>
      <c r="S122" s="438"/>
      <c r="U122" s="248"/>
      <c r="Y122" s="248"/>
    </row>
    <row r="123" spans="1:55">
      <c r="C123" s="437"/>
      <c r="D123" s="438"/>
      <c r="E123" s="438"/>
      <c r="F123" s="438"/>
      <c r="G123" s="438"/>
      <c r="H123" s="438"/>
      <c r="I123" s="438"/>
      <c r="J123" s="438"/>
      <c r="K123" s="438"/>
      <c r="L123" s="438"/>
      <c r="M123" s="438"/>
      <c r="P123" s="437"/>
      <c r="Q123" s="438"/>
      <c r="R123" s="438"/>
      <c r="S123" s="438"/>
      <c r="U123" s="248"/>
      <c r="V123" s="248"/>
      <c r="Y123" s="248"/>
    </row>
    <row r="124" spans="1:55">
      <c r="C124" s="437"/>
      <c r="D124" s="438"/>
      <c r="E124" s="438"/>
      <c r="F124" s="438"/>
      <c r="G124" s="438"/>
      <c r="H124" s="438"/>
      <c r="I124" s="438"/>
      <c r="J124" s="438"/>
      <c r="K124" s="438"/>
      <c r="L124" s="438"/>
      <c r="M124" s="438"/>
      <c r="N124" s="437"/>
      <c r="P124" s="439">
        <v>4429613</v>
      </c>
      <c r="Q124" s="438" t="s">
        <v>539</v>
      </c>
      <c r="R124" s="438"/>
      <c r="S124" s="438"/>
      <c r="U124" s="248"/>
    </row>
    <row r="125" spans="1:55">
      <c r="C125" s="437"/>
      <c r="D125" s="438"/>
      <c r="E125" s="438"/>
      <c r="F125" s="438"/>
      <c r="G125" s="438"/>
      <c r="H125" s="438"/>
      <c r="I125" s="438"/>
      <c r="J125" s="438"/>
      <c r="K125" s="438"/>
      <c r="L125" s="438"/>
      <c r="M125" s="438"/>
      <c r="N125" s="437"/>
      <c r="O125" s="437"/>
      <c r="P125" s="438"/>
      <c r="Q125" s="438"/>
      <c r="R125" s="438"/>
      <c r="S125" s="438"/>
      <c r="U125" s="248"/>
    </row>
    <row r="126" spans="1:55">
      <c r="C126" s="437"/>
      <c r="D126" s="438"/>
      <c r="E126" s="438"/>
      <c r="F126" s="438"/>
      <c r="G126" s="438"/>
      <c r="H126" s="438"/>
      <c r="I126" s="438"/>
      <c r="J126" s="438"/>
      <c r="K126" s="438"/>
      <c r="L126" s="438"/>
      <c r="M126" s="438"/>
      <c r="N126" s="438"/>
      <c r="O126" s="438"/>
      <c r="P126" s="438"/>
      <c r="Q126" s="438"/>
      <c r="S126" s="438"/>
    </row>
    <row r="127" spans="1:55">
      <c r="C127" s="437"/>
      <c r="D127" s="438"/>
      <c r="E127" s="438"/>
      <c r="F127" s="438"/>
      <c r="G127" s="438"/>
      <c r="H127" s="438"/>
      <c r="I127" s="438"/>
      <c r="J127" s="438"/>
      <c r="K127" s="438"/>
      <c r="L127" s="438"/>
      <c r="M127" s="438"/>
      <c r="N127" s="438"/>
      <c r="O127" s="438"/>
      <c r="P127" s="438"/>
      <c r="Q127" s="438"/>
      <c r="R127" s="438"/>
      <c r="S127" s="438"/>
    </row>
    <row r="128" spans="1:55">
      <c r="C128" s="437"/>
      <c r="D128" s="438"/>
      <c r="E128" s="438"/>
      <c r="F128" s="438"/>
      <c r="G128" s="438"/>
      <c r="H128" s="438"/>
      <c r="I128" s="438"/>
      <c r="J128" s="438"/>
      <c r="K128" s="438"/>
      <c r="L128" s="438"/>
      <c r="M128" s="438"/>
      <c r="N128" s="438"/>
      <c r="O128" s="438"/>
      <c r="P128" s="539"/>
      <c r="Q128" s="438"/>
      <c r="R128" s="438"/>
      <c r="S128" s="438"/>
    </row>
    <row r="129" spans="3:20">
      <c r="C129" s="437"/>
      <c r="D129" s="438"/>
      <c r="E129" s="438"/>
      <c r="F129" s="438"/>
      <c r="G129" s="438"/>
      <c r="H129" s="438"/>
      <c r="I129" s="438"/>
      <c r="J129" s="438"/>
      <c r="K129" s="438"/>
      <c r="L129" s="438"/>
      <c r="M129" s="438"/>
      <c r="N129" s="438"/>
      <c r="O129" s="438"/>
      <c r="P129" s="539"/>
      <c r="Q129" s="438"/>
      <c r="R129" s="438"/>
      <c r="S129" s="438"/>
    </row>
    <row r="130" spans="3:20">
      <c r="C130" s="437"/>
      <c r="D130" s="438"/>
      <c r="E130" s="438"/>
      <c r="F130" s="438"/>
      <c r="G130" s="438"/>
      <c r="H130" s="438"/>
      <c r="I130" s="438"/>
      <c r="J130" s="438"/>
      <c r="K130" s="438"/>
      <c r="L130" s="438"/>
      <c r="M130" s="438"/>
      <c r="N130" s="438"/>
      <c r="O130" s="438"/>
      <c r="P130" s="438"/>
      <c r="Q130" s="438"/>
      <c r="R130" s="438"/>
      <c r="S130" s="438"/>
    </row>
    <row r="131" spans="3:20">
      <c r="C131" s="437"/>
      <c r="D131" s="438"/>
      <c r="E131" s="438"/>
      <c r="F131" s="438"/>
      <c r="G131" s="438"/>
      <c r="H131" s="438"/>
      <c r="I131" s="438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/>
    </row>
    <row r="132" spans="3:20">
      <c r="C132" s="437"/>
      <c r="D132" s="438"/>
      <c r="E132" s="438"/>
      <c r="F132" s="438"/>
      <c r="G132" s="438"/>
      <c r="H132" s="438"/>
      <c r="I132" s="438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</row>
    <row r="133" spans="3:20">
      <c r="C133" s="437"/>
      <c r="D133" s="438"/>
      <c r="E133" s="438"/>
      <c r="F133" s="438"/>
      <c r="G133" s="438"/>
      <c r="H133" s="438"/>
      <c r="I133" s="438"/>
      <c r="J133" s="438"/>
      <c r="K133" s="438"/>
      <c r="L133" s="438"/>
      <c r="M133" s="438"/>
      <c r="N133" s="438"/>
      <c r="O133" s="438"/>
      <c r="P133" s="438"/>
      <c r="S133" s="438"/>
    </row>
    <row r="134" spans="3:20">
      <c r="C134" s="437"/>
      <c r="D134" s="438"/>
      <c r="E134" s="438"/>
      <c r="F134" s="438"/>
      <c r="G134" s="438"/>
      <c r="H134" s="438"/>
      <c r="I134" s="438"/>
      <c r="J134" s="438"/>
      <c r="K134" s="438"/>
      <c r="L134" s="438"/>
      <c r="M134" s="438"/>
      <c r="N134" s="437"/>
      <c r="O134" s="437"/>
      <c r="P134" s="438"/>
      <c r="Q134" s="438"/>
      <c r="R134" s="438"/>
      <c r="S134" s="438"/>
    </row>
    <row r="135" spans="3:20">
      <c r="C135" s="437"/>
      <c r="D135" s="438"/>
      <c r="E135" s="438"/>
      <c r="F135" s="438"/>
      <c r="G135" s="438"/>
      <c r="H135" s="438"/>
      <c r="I135" s="438"/>
      <c r="J135" s="438"/>
      <c r="K135" s="438"/>
      <c r="L135" s="438"/>
      <c r="M135" s="438"/>
      <c r="N135" s="438"/>
      <c r="O135" s="438"/>
      <c r="P135" s="437"/>
      <c r="Q135" s="437"/>
      <c r="R135" s="438"/>
      <c r="S135" s="438"/>
    </row>
    <row r="136" spans="3:20">
      <c r="F136" s="438"/>
      <c r="G136" s="438"/>
      <c r="H136" s="438"/>
      <c r="I136" s="438"/>
      <c r="J136" s="438"/>
      <c r="K136" s="438"/>
      <c r="L136" s="438"/>
      <c r="M136" s="438"/>
      <c r="N136" s="438"/>
      <c r="O136" s="438"/>
      <c r="P136" s="437"/>
      <c r="Q136" s="437"/>
      <c r="R136" s="438"/>
      <c r="S136" s="438"/>
      <c r="T136" s="438"/>
    </row>
    <row r="137" spans="3:20">
      <c r="F137" s="438"/>
      <c r="G137" s="438"/>
      <c r="H137" s="438"/>
      <c r="I137" s="438"/>
      <c r="J137" s="438"/>
      <c r="K137" s="438"/>
      <c r="L137" s="438"/>
      <c r="M137" s="438"/>
      <c r="N137" s="438"/>
      <c r="O137" s="438"/>
      <c r="P137" s="438"/>
      <c r="Q137" s="438"/>
      <c r="R137" s="437"/>
      <c r="S137" s="438"/>
      <c r="T137" s="438"/>
    </row>
    <row r="138" spans="3:20">
      <c r="F138" s="438"/>
      <c r="G138" s="438"/>
      <c r="H138" s="438"/>
      <c r="I138" s="438"/>
      <c r="J138" s="438"/>
      <c r="K138" s="438"/>
      <c r="L138" s="438"/>
      <c r="M138" s="438"/>
      <c r="N138" s="438"/>
      <c r="O138" s="438"/>
      <c r="P138" s="438"/>
      <c r="Q138" s="438"/>
      <c r="R138" s="437"/>
      <c r="S138" s="438"/>
      <c r="T138" s="438"/>
    </row>
    <row r="139" spans="3:20">
      <c r="F139" s="438"/>
      <c r="G139" s="438"/>
      <c r="H139" s="438"/>
      <c r="I139" s="438"/>
      <c r="J139" s="438"/>
      <c r="K139" s="438"/>
      <c r="L139" s="438"/>
      <c r="M139" s="438"/>
      <c r="N139" s="438"/>
      <c r="O139" s="438"/>
      <c r="P139" s="438"/>
      <c r="Q139" s="438"/>
      <c r="R139" s="437"/>
      <c r="S139" s="438"/>
      <c r="T139" s="438"/>
    </row>
    <row r="140" spans="3:20">
      <c r="F140" s="438"/>
      <c r="G140" s="438"/>
      <c r="H140" s="438"/>
      <c r="I140" s="438"/>
      <c r="J140" s="438"/>
      <c r="K140" s="438"/>
      <c r="L140" s="438"/>
      <c r="M140" s="438"/>
      <c r="N140" s="438"/>
      <c r="O140" s="438"/>
      <c r="P140" s="438"/>
      <c r="Q140" s="438"/>
      <c r="R140" s="437"/>
      <c r="S140" s="438"/>
      <c r="T140" s="438"/>
    </row>
    <row r="141" spans="3:20">
      <c r="F141" s="438"/>
      <c r="G141" s="438"/>
      <c r="H141" s="438"/>
      <c r="I141" s="438"/>
      <c r="J141" s="438"/>
      <c r="K141" s="438"/>
      <c r="L141" s="438"/>
      <c r="M141" s="438"/>
      <c r="N141" s="438"/>
      <c r="O141" s="438"/>
      <c r="P141" s="438"/>
      <c r="Q141" s="438"/>
      <c r="R141" s="438"/>
      <c r="S141" s="438"/>
      <c r="T141" s="438"/>
    </row>
    <row r="142" spans="3:20">
      <c r="F142" s="438"/>
      <c r="G142" s="438"/>
      <c r="H142" s="438"/>
      <c r="I142" s="438"/>
      <c r="J142" s="438"/>
      <c r="K142" s="438"/>
      <c r="L142" s="438"/>
      <c r="M142" s="438"/>
      <c r="N142" s="438"/>
      <c r="O142" s="438"/>
      <c r="P142" s="438"/>
      <c r="Q142" s="438"/>
      <c r="R142" s="439"/>
      <c r="S142" s="438"/>
      <c r="T142" s="438"/>
    </row>
    <row r="143" spans="3:20">
      <c r="F143" s="438"/>
      <c r="G143" s="438"/>
      <c r="H143" s="438"/>
      <c r="I143" s="438"/>
      <c r="J143" s="438"/>
      <c r="K143" s="438"/>
      <c r="L143" s="438"/>
      <c r="M143" s="438"/>
      <c r="N143" s="438"/>
      <c r="O143" s="438"/>
      <c r="P143" s="438"/>
      <c r="Q143" s="438"/>
      <c r="R143" s="438"/>
      <c r="S143" s="438"/>
      <c r="T143" s="438"/>
    </row>
    <row r="144" spans="3:20">
      <c r="F144" s="438"/>
      <c r="G144" s="438"/>
      <c r="H144" s="438"/>
      <c r="I144" s="438"/>
      <c r="J144" s="438"/>
      <c r="K144" s="438"/>
      <c r="L144" s="438"/>
      <c r="M144" s="438"/>
      <c r="N144" s="438"/>
      <c r="O144" s="438"/>
      <c r="P144" s="438"/>
      <c r="Q144" s="438"/>
      <c r="R144" s="438"/>
      <c r="S144" s="438"/>
      <c r="T144" s="438"/>
    </row>
    <row r="145" spans="6:20">
      <c r="F145" s="438"/>
      <c r="G145" s="438"/>
      <c r="H145" s="438"/>
      <c r="I145" s="438"/>
      <c r="J145" s="438"/>
      <c r="K145" s="438"/>
      <c r="L145" s="438"/>
      <c r="M145" s="438"/>
      <c r="N145" s="438"/>
      <c r="O145" s="438"/>
      <c r="P145" s="438"/>
      <c r="Q145" s="438"/>
      <c r="R145" s="438"/>
      <c r="S145" s="438"/>
      <c r="T145" s="438"/>
    </row>
    <row r="146" spans="6:20">
      <c r="F146" s="438"/>
      <c r="G146" s="438"/>
      <c r="H146" s="438"/>
      <c r="I146" s="438"/>
      <c r="J146" s="438"/>
      <c r="K146" s="438"/>
      <c r="L146" s="438"/>
      <c r="M146" s="438"/>
      <c r="N146" s="438"/>
      <c r="O146" s="438"/>
      <c r="P146" s="438"/>
      <c r="Q146" s="261"/>
      <c r="R146" s="438"/>
      <c r="S146" s="438"/>
      <c r="T146" s="438"/>
    </row>
    <row r="147" spans="6:20">
      <c r="F147" s="438"/>
      <c r="G147" s="438"/>
      <c r="H147" s="438"/>
      <c r="I147" s="438"/>
      <c r="J147" s="438"/>
      <c r="K147" s="438"/>
      <c r="L147" s="438"/>
      <c r="M147" s="438"/>
      <c r="N147" s="438"/>
      <c r="O147" s="438"/>
      <c r="P147" s="438"/>
      <c r="Q147" s="438"/>
      <c r="R147" s="438"/>
      <c r="S147" s="438"/>
      <c r="T147" s="438"/>
    </row>
    <row r="148" spans="6:20">
      <c r="F148" s="438"/>
      <c r="G148" s="438"/>
      <c r="H148" s="438"/>
      <c r="I148" s="438"/>
      <c r="J148" s="438"/>
      <c r="K148" s="438"/>
      <c r="L148" s="438"/>
      <c r="M148" s="438"/>
      <c r="N148" s="438"/>
      <c r="O148" s="438"/>
      <c r="P148" s="438"/>
      <c r="Q148" s="438"/>
      <c r="R148" s="438"/>
      <c r="S148" s="438"/>
      <c r="T148" s="438"/>
    </row>
    <row r="149" spans="6:20">
      <c r="F149" s="438"/>
      <c r="G149" s="438"/>
      <c r="H149" s="438"/>
      <c r="I149" s="438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</row>
    <row r="150" spans="6:20">
      <c r="F150" s="438"/>
      <c r="G150" s="438"/>
      <c r="H150" s="438"/>
      <c r="I150" s="438"/>
      <c r="J150" s="438"/>
      <c r="K150" s="438"/>
      <c r="L150" s="438"/>
      <c r="M150" s="438"/>
      <c r="N150" s="438"/>
      <c r="O150" s="438"/>
      <c r="P150" s="438"/>
      <c r="Q150" s="438"/>
      <c r="R150" s="261"/>
      <c r="S150" s="438"/>
      <c r="T150" s="438"/>
    </row>
    <row r="151" spans="6:20">
      <c r="F151" s="438"/>
      <c r="G151" s="438"/>
      <c r="H151" s="438"/>
      <c r="I151" s="438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</row>
    <row r="152" spans="6:20">
      <c r="F152" s="438"/>
      <c r="G152" s="438"/>
      <c r="H152" s="438"/>
      <c r="I152" s="438"/>
      <c r="J152" s="438"/>
      <c r="K152" s="438"/>
      <c r="L152" s="438"/>
      <c r="M152" s="438"/>
      <c r="N152" s="438"/>
      <c r="O152" s="438"/>
      <c r="P152" s="438"/>
      <c r="Q152" s="438"/>
      <c r="R152" s="438"/>
      <c r="S152" s="438"/>
      <c r="T152" s="438"/>
    </row>
    <row r="153" spans="6:20">
      <c r="F153" s="438"/>
      <c r="G153" s="438"/>
      <c r="H153" s="438"/>
      <c r="I153" s="438"/>
      <c r="J153" s="438"/>
      <c r="K153" s="438"/>
      <c r="L153" s="438"/>
      <c r="M153" s="438"/>
      <c r="N153" s="438"/>
      <c r="O153" s="438"/>
      <c r="P153" s="438"/>
      <c r="Q153" s="438"/>
      <c r="R153" s="438"/>
      <c r="S153" s="438"/>
      <c r="T153" s="438"/>
    </row>
    <row r="154" spans="6:20">
      <c r="F154" s="438"/>
      <c r="G154" s="438"/>
      <c r="H154" s="438"/>
      <c r="I154" s="438"/>
      <c r="J154" s="438"/>
      <c r="K154" s="438"/>
      <c r="L154" s="438"/>
      <c r="M154" s="438"/>
      <c r="N154" s="438"/>
      <c r="O154" s="438"/>
      <c r="P154" s="438"/>
      <c r="Q154" s="438"/>
      <c r="R154" s="438"/>
      <c r="S154" s="438"/>
      <c r="T154" s="438"/>
    </row>
  </sheetData>
  <sheetProtection formatCells="0" formatColumns="0" formatRows="0" insertColumns="0" insertRows="0" insertHyperlinks="0" deleteColumns="0" deleteRows="0" sort="0" autoFilter="0" pivotTables="0"/>
  <mergeCells count="5">
    <mergeCell ref="AB3:AM3"/>
    <mergeCell ref="AO3:AS3"/>
    <mergeCell ref="AT3:AX3"/>
    <mergeCell ref="AY3:BC3"/>
    <mergeCell ref="T3:Z3"/>
  </mergeCells>
  <conditionalFormatting sqref="AD4">
    <cfRule type="cellIs" dxfId="180" priority="7" operator="equal">
      <formula>0</formula>
    </cfRule>
  </conditionalFormatting>
  <conditionalFormatting sqref="AE4">
    <cfRule type="cellIs" dxfId="179" priority="6" operator="equal">
      <formula>0</formula>
    </cfRule>
  </conditionalFormatting>
  <conditionalFormatting sqref="AF4">
    <cfRule type="cellIs" dxfId="178" priority="5" operator="equal">
      <formula>0</formula>
    </cfRule>
  </conditionalFormatting>
  <conditionalFormatting sqref="AG4">
    <cfRule type="cellIs" dxfId="177" priority="4" operator="equal">
      <formula>0</formula>
    </cfRule>
  </conditionalFormatting>
  <conditionalFormatting sqref="AH4">
    <cfRule type="cellIs" dxfId="176" priority="3" operator="equal">
      <formula>0</formula>
    </cfRule>
  </conditionalFormatting>
  <conditionalFormatting sqref="AI4">
    <cfRule type="cellIs" dxfId="175" priority="2" operator="equal">
      <formula>0</formula>
    </cfRule>
  </conditionalFormatting>
  <conditionalFormatting sqref="AJ4">
    <cfRule type="cellIs" dxfId="174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C104"/>
  <sheetViews>
    <sheetView showZeros="0" rightToLeft="1" zoomScaleNormal="100" workbookViewId="0">
      <pane xSplit="3" ySplit="5" topLeftCell="T6" activePane="bottomRight" state="frozen"/>
      <selection activeCell="T20" sqref="T20"/>
      <selection pane="topRight" activeCell="T20" sqref="T20"/>
      <selection pane="bottomLeft" activeCell="T20" sqref="T20"/>
      <selection pane="bottomRight" activeCell="T20" sqref="T20"/>
    </sheetView>
  </sheetViews>
  <sheetFormatPr defaultColWidth="9.1796875" defaultRowHeight="14"/>
  <cols>
    <col min="1" max="1" width="3.453125" style="40" customWidth="1"/>
    <col min="2" max="2" width="4.81640625" style="15" customWidth="1"/>
    <col min="3" max="3" width="36.7265625" style="15" customWidth="1"/>
    <col min="4" max="4" width="11.26953125" style="17" hidden="1" customWidth="1"/>
    <col min="5" max="5" width="11" style="17" hidden="1" customWidth="1"/>
    <col min="6" max="6" width="11.26953125" style="17" hidden="1" customWidth="1"/>
    <col min="7" max="10" width="12.7265625" style="17" hidden="1" customWidth="1"/>
    <col min="11" max="11" width="11.26953125" style="17" hidden="1" customWidth="1"/>
    <col min="12" max="12" width="10.81640625" style="17" hidden="1" customWidth="1"/>
    <col min="13" max="13" width="10.26953125" style="17" hidden="1" customWidth="1"/>
    <col min="14" max="14" width="9.81640625" style="17" hidden="1" customWidth="1"/>
    <col min="15" max="17" width="11.1796875" style="17" hidden="1" customWidth="1"/>
    <col min="18" max="18" width="12" style="17" hidden="1" customWidth="1"/>
    <col min="19" max="19" width="10.26953125" style="17" hidden="1" customWidth="1"/>
    <col min="20" max="20" width="9.26953125" style="17" customWidth="1"/>
    <col min="21" max="23" width="10.26953125" style="15" customWidth="1"/>
    <col min="24" max="25" width="6.26953125" style="15" customWidth="1"/>
    <col min="26" max="26" width="10.26953125" style="15" customWidth="1"/>
    <col min="27" max="27" width="7.81640625" style="15" hidden="1" customWidth="1"/>
    <col min="28" max="28" width="14.26953125" style="15" hidden="1" customWidth="1"/>
    <col min="29" max="36" width="11.1796875" style="20" hidden="1" customWidth="1"/>
    <col min="37" max="38" width="10.1796875" style="20" hidden="1" customWidth="1"/>
    <col min="39" max="39" width="11.7265625" style="20" customWidth="1"/>
    <col min="40" max="42" width="10.26953125" style="20" customWidth="1"/>
    <col min="43" max="44" width="6.26953125" style="20" customWidth="1"/>
    <col min="45" max="45" width="9.26953125" style="20" customWidth="1"/>
    <col min="46" max="46" width="10.1796875" style="20" hidden="1" customWidth="1"/>
    <col min="47" max="47" width="10.1796875" style="15" hidden="1" customWidth="1"/>
    <col min="48" max="49" width="9.1796875" style="15" hidden="1" customWidth="1"/>
    <col min="50" max="50" width="10.1796875" style="20" hidden="1" customWidth="1"/>
    <col min="51" max="53" width="10.1796875" style="15" hidden="1" customWidth="1"/>
    <col min="54" max="54" width="9.1796875" style="15" hidden="1" customWidth="1"/>
    <col min="55" max="55" width="10.1796875" style="20" hidden="1" customWidth="1"/>
    <col min="56" max="16384" width="9.1796875" style="15"/>
  </cols>
  <sheetData>
    <row r="2" spans="1:55" ht="18">
      <c r="A2" s="122" t="s">
        <v>1010</v>
      </c>
      <c r="B2" s="501"/>
      <c r="C2" s="501"/>
      <c r="D2" s="501"/>
      <c r="E2" s="501"/>
      <c r="F2" s="501"/>
      <c r="G2" s="501"/>
      <c r="H2" s="501"/>
      <c r="I2" s="501"/>
      <c r="J2" s="501"/>
      <c r="K2" s="501"/>
      <c r="L2" s="501"/>
      <c r="M2" s="501"/>
      <c r="N2" s="501"/>
      <c r="O2" s="525"/>
      <c r="P2" s="501"/>
      <c r="Q2" s="501"/>
      <c r="R2" s="501"/>
      <c r="S2" s="501"/>
      <c r="T2" s="501"/>
      <c r="U2" s="501"/>
      <c r="V2" s="501"/>
      <c r="W2" s="501"/>
      <c r="X2" s="501"/>
      <c r="Y2" s="501"/>
      <c r="Z2" s="501"/>
      <c r="AB2" s="501"/>
    </row>
    <row r="3" spans="1:55" ht="18">
      <c r="B3" s="501"/>
      <c r="C3" s="501"/>
      <c r="D3" s="501"/>
      <c r="E3" s="501"/>
      <c r="F3" s="501"/>
      <c r="G3" s="501"/>
      <c r="H3" s="501"/>
      <c r="I3" s="501"/>
      <c r="J3" s="501"/>
      <c r="K3" s="501"/>
      <c r="L3" s="501"/>
      <c r="M3" s="501"/>
      <c r="N3" s="501"/>
      <c r="O3" s="525"/>
      <c r="P3" s="501"/>
      <c r="Q3" s="501"/>
      <c r="R3" s="501"/>
      <c r="S3" s="501"/>
      <c r="T3" s="501"/>
      <c r="U3" s="501"/>
      <c r="V3" s="501"/>
      <c r="W3" s="501"/>
      <c r="X3" s="501"/>
      <c r="Y3" s="501"/>
      <c r="Z3" s="501"/>
      <c r="AB3" s="501"/>
    </row>
    <row r="4" spans="1:55">
      <c r="A4" s="530"/>
      <c r="B4" s="531"/>
      <c r="C4" s="531"/>
      <c r="D4" s="531"/>
      <c r="E4" s="531"/>
      <c r="F4" s="531"/>
      <c r="G4" s="531"/>
      <c r="H4" s="531"/>
      <c r="I4" s="531"/>
      <c r="J4" s="531"/>
      <c r="K4" s="531"/>
      <c r="L4" s="531"/>
      <c r="M4" s="531"/>
      <c r="N4" s="531"/>
      <c r="O4" s="531"/>
      <c r="P4" s="531"/>
      <c r="Q4" s="531"/>
      <c r="R4" s="531"/>
      <c r="S4" s="531"/>
      <c r="T4" s="738" t="s">
        <v>146</v>
      </c>
      <c r="U4" s="739"/>
      <c r="V4" s="739"/>
      <c r="W4" s="739"/>
      <c r="X4" s="739"/>
      <c r="Y4" s="739"/>
      <c r="Z4" s="740"/>
      <c r="AB4" s="735" t="s">
        <v>489</v>
      </c>
      <c r="AC4" s="736"/>
      <c r="AD4" s="736"/>
      <c r="AE4" s="736"/>
      <c r="AF4" s="736"/>
      <c r="AG4" s="736"/>
      <c r="AH4" s="736"/>
      <c r="AI4" s="736"/>
      <c r="AJ4" s="736"/>
      <c r="AK4" s="737"/>
      <c r="AL4" s="526"/>
      <c r="AM4" s="672" t="s">
        <v>489</v>
      </c>
      <c r="AN4" s="672"/>
      <c r="AO4" s="735" t="s">
        <v>834</v>
      </c>
      <c r="AP4" s="736"/>
      <c r="AQ4" s="736"/>
      <c r="AR4" s="736"/>
      <c r="AS4" s="737"/>
      <c r="AT4" s="735" t="s">
        <v>835</v>
      </c>
      <c r="AU4" s="736"/>
      <c r="AV4" s="736"/>
      <c r="AW4" s="736"/>
      <c r="AX4" s="737"/>
      <c r="AY4" s="735" t="s">
        <v>836</v>
      </c>
      <c r="AZ4" s="736"/>
      <c r="BA4" s="736"/>
      <c r="BB4" s="736"/>
      <c r="BC4" s="737"/>
    </row>
    <row r="5" spans="1:55" s="34" customFormat="1" ht="70">
      <c r="A5" s="19" t="s">
        <v>0</v>
      </c>
      <c r="B5" s="19" t="s">
        <v>1</v>
      </c>
      <c r="C5" s="19" t="s">
        <v>2</v>
      </c>
      <c r="D5" s="19" t="s">
        <v>3</v>
      </c>
      <c r="E5" s="19" t="s">
        <v>4</v>
      </c>
      <c r="F5" s="19" t="s">
        <v>5</v>
      </c>
      <c r="G5" s="19" t="s">
        <v>6</v>
      </c>
      <c r="H5" s="19" t="s">
        <v>7</v>
      </c>
      <c r="I5" s="19" t="s">
        <v>9</v>
      </c>
      <c r="J5" s="19" t="s">
        <v>318</v>
      </c>
      <c r="K5" s="19" t="s">
        <v>10</v>
      </c>
      <c r="L5" s="19" t="s">
        <v>11</v>
      </c>
      <c r="M5" s="11" t="s">
        <v>309</v>
      </c>
      <c r="N5" s="19" t="s">
        <v>310</v>
      </c>
      <c r="O5" s="19" t="s">
        <v>311</v>
      </c>
      <c r="P5" s="19" t="s">
        <v>12</v>
      </c>
      <c r="Q5" s="19" t="s">
        <v>312</v>
      </c>
      <c r="R5" s="19" t="s">
        <v>313</v>
      </c>
      <c r="S5" s="19" t="s">
        <v>314</v>
      </c>
      <c r="T5" s="19" t="s">
        <v>315</v>
      </c>
      <c r="U5" s="19" t="s">
        <v>316</v>
      </c>
      <c r="V5" s="19" t="s">
        <v>13</v>
      </c>
      <c r="W5" s="19" t="s">
        <v>14</v>
      </c>
      <c r="X5" s="19" t="s">
        <v>15</v>
      </c>
      <c r="Y5" s="19" t="s">
        <v>523</v>
      </c>
      <c r="Z5" s="19" t="s">
        <v>140</v>
      </c>
      <c r="AA5" s="55" t="s">
        <v>16</v>
      </c>
      <c r="AB5" s="107" t="s">
        <v>490</v>
      </c>
      <c r="AC5" s="107" t="s">
        <v>491</v>
      </c>
      <c r="AD5" s="107" t="s">
        <v>492</v>
      </c>
      <c r="AE5" s="107" t="s">
        <v>493</v>
      </c>
      <c r="AF5" s="107" t="s">
        <v>494</v>
      </c>
      <c r="AG5" s="107" t="s">
        <v>495</v>
      </c>
      <c r="AH5" s="107" t="s">
        <v>496</v>
      </c>
      <c r="AI5" s="107" t="s">
        <v>497</v>
      </c>
      <c r="AJ5" s="107" t="s">
        <v>498</v>
      </c>
      <c r="AK5" s="498" t="s">
        <v>837</v>
      </c>
      <c r="AL5" s="498" t="s">
        <v>838</v>
      </c>
      <c r="AM5" s="498" t="s">
        <v>839</v>
      </c>
      <c r="AN5" s="498" t="s">
        <v>840</v>
      </c>
      <c r="AO5" s="498" t="s">
        <v>13</v>
      </c>
      <c r="AP5" s="498" t="s">
        <v>14</v>
      </c>
      <c r="AQ5" s="498" t="s">
        <v>15</v>
      </c>
      <c r="AR5" s="498" t="s">
        <v>523</v>
      </c>
      <c r="AS5" s="498" t="s">
        <v>140</v>
      </c>
      <c r="AT5" s="498" t="s">
        <v>13</v>
      </c>
      <c r="AU5" s="498" t="s">
        <v>14</v>
      </c>
      <c r="AV5" s="498" t="s">
        <v>15</v>
      </c>
      <c r="AW5" s="498" t="s">
        <v>523</v>
      </c>
      <c r="AX5" s="498" t="s">
        <v>140</v>
      </c>
      <c r="AY5" s="498" t="s">
        <v>13</v>
      </c>
      <c r="AZ5" s="498" t="s">
        <v>14</v>
      </c>
      <c r="BA5" s="498" t="s">
        <v>15</v>
      </c>
      <c r="BB5" s="498" t="s">
        <v>523</v>
      </c>
      <c r="BC5" s="498" t="s">
        <v>140</v>
      </c>
    </row>
    <row r="6" spans="1:55" s="5" customFormat="1" ht="18" customHeight="1">
      <c r="A6" s="3"/>
      <c r="B6" s="3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3"/>
      <c r="AA6" s="12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</row>
    <row r="7" spans="1:55" s="5" customFormat="1">
      <c r="A7" s="3">
        <v>1</v>
      </c>
      <c r="B7" s="3">
        <v>1247</v>
      </c>
      <c r="C7" s="3" t="s">
        <v>68</v>
      </c>
      <c r="D7" s="4">
        <v>9500000</v>
      </c>
      <c r="E7" s="4">
        <v>9500000</v>
      </c>
      <c r="F7" s="4">
        <f t="shared" ref="F7:F71" si="0">D7-E7</f>
        <v>0</v>
      </c>
      <c r="G7" s="4">
        <f>8350000+100000</f>
        <v>8450000</v>
      </c>
      <c r="H7" s="4">
        <v>7752686</v>
      </c>
      <c r="I7" s="4"/>
      <c r="J7" s="4">
        <v>498203</v>
      </c>
      <c r="K7" s="4">
        <f>SUM(I7:J7)</f>
        <v>498203</v>
      </c>
      <c r="L7" s="4">
        <f>K7+H7</f>
        <v>8250889</v>
      </c>
      <c r="M7" s="4">
        <f>P7+S7</f>
        <v>199111</v>
      </c>
      <c r="N7" s="4">
        <v>200000</v>
      </c>
      <c r="O7" s="4">
        <f>D7-L7-M7-N7</f>
        <v>850000</v>
      </c>
      <c r="P7" s="4">
        <f>G7-L7</f>
        <v>199111</v>
      </c>
      <c r="Q7" s="4">
        <f>100000-100000</f>
        <v>0</v>
      </c>
      <c r="R7" s="4"/>
      <c r="S7" s="4">
        <f t="shared" ref="S7:S63" si="1">SUM(Q7:R7)</f>
        <v>0</v>
      </c>
      <c r="T7" s="4">
        <f>P7-M7+S7</f>
        <v>0</v>
      </c>
      <c r="U7" s="4">
        <f t="shared" ref="U7:U72" si="2">N7-T7</f>
        <v>200000</v>
      </c>
      <c r="V7" s="4">
        <f>N7-W7-Y7-Z7</f>
        <v>200000</v>
      </c>
      <c r="W7" s="4"/>
      <c r="X7" s="4"/>
      <c r="Y7" s="4"/>
      <c r="Z7" s="3"/>
      <c r="AA7" s="123">
        <v>732000</v>
      </c>
      <c r="AB7" s="4"/>
      <c r="AC7" s="4"/>
      <c r="AD7" s="4"/>
      <c r="AE7" s="4">
        <v>50000</v>
      </c>
      <c r="AF7" s="4">
        <v>50000</v>
      </c>
      <c r="AG7" s="4">
        <v>100000</v>
      </c>
      <c r="AH7" s="4"/>
      <c r="AI7" s="4"/>
      <c r="AJ7" s="4"/>
      <c r="AK7" s="4">
        <f>SUM(AB7:AJ7)</f>
        <v>200000</v>
      </c>
      <c r="AL7" s="4"/>
      <c r="AM7" s="4">
        <f>AK7+AL7</f>
        <v>200000</v>
      </c>
      <c r="AN7" s="4">
        <f>U7-AM7</f>
        <v>0</v>
      </c>
      <c r="AO7" s="4">
        <v>200000</v>
      </c>
      <c r="AP7" s="4">
        <f>AM7-AO7-AQ7-AR7-AS7</f>
        <v>0</v>
      </c>
      <c r="AQ7" s="4"/>
      <c r="AR7" s="4"/>
      <c r="AS7" s="4"/>
      <c r="AT7" s="4"/>
      <c r="AU7" s="4">
        <f>AL7-AT7-AV7-AW7-AX7</f>
        <v>0</v>
      </c>
      <c r="AV7" s="4"/>
      <c r="AW7" s="3"/>
      <c r="AX7" s="4"/>
      <c r="AY7" s="4"/>
      <c r="AZ7" s="4">
        <f>AN7-AY7-BA7-BB7-BC7</f>
        <v>0</v>
      </c>
      <c r="BA7" s="4"/>
      <c r="BB7" s="4"/>
      <c r="BC7" s="4"/>
    </row>
    <row r="8" spans="1:55" s="5" customFormat="1">
      <c r="A8" s="3">
        <f t="shared" ref="A8:A71" si="3">A7+1</f>
        <v>2</v>
      </c>
      <c r="B8" s="3">
        <v>1250</v>
      </c>
      <c r="C8" s="3" t="s">
        <v>69</v>
      </c>
      <c r="D8" s="4">
        <v>1450000</v>
      </c>
      <c r="E8" s="4">
        <v>1450000</v>
      </c>
      <c r="F8" s="4">
        <f t="shared" si="0"/>
        <v>0</v>
      </c>
      <c r="G8" s="4">
        <v>1000000</v>
      </c>
      <c r="H8" s="4">
        <v>708018.48</v>
      </c>
      <c r="I8" s="4"/>
      <c r="J8" s="4">
        <v>105927.1</v>
      </c>
      <c r="K8" s="4">
        <f t="shared" ref="K8:K64" si="4">SUM(I8:J8)</f>
        <v>105927.1</v>
      </c>
      <c r="L8" s="4">
        <f t="shared" ref="L8:L72" si="5">K8+H8</f>
        <v>813945.58</v>
      </c>
      <c r="M8" s="4">
        <f>P8+S8</f>
        <v>186054.42000000004</v>
      </c>
      <c r="N8" s="4"/>
      <c r="O8" s="4">
        <f>D8-L8-M8-N8</f>
        <v>450000</v>
      </c>
      <c r="P8" s="4">
        <f>G8-L8</f>
        <v>186054.42000000004</v>
      </c>
      <c r="Q8" s="4"/>
      <c r="R8" s="4"/>
      <c r="S8" s="4">
        <f t="shared" si="1"/>
        <v>0</v>
      </c>
      <c r="T8" s="4">
        <f t="shared" ref="T8:T72" si="6">P8-M8+S8</f>
        <v>0</v>
      </c>
      <c r="U8" s="4">
        <f t="shared" si="2"/>
        <v>0</v>
      </c>
      <c r="V8" s="4"/>
      <c r="W8" s="4">
        <f>U8-V8-Y8-AB8</f>
        <v>0</v>
      </c>
      <c r="X8" s="4"/>
      <c r="Y8" s="4"/>
      <c r="Z8" s="3"/>
      <c r="AA8" s="123">
        <v>749000</v>
      </c>
      <c r="AB8" s="4"/>
      <c r="AC8" s="4"/>
      <c r="AD8" s="4"/>
      <c r="AE8" s="4"/>
      <c r="AF8" s="4"/>
      <c r="AG8" s="4"/>
      <c r="AH8" s="4"/>
      <c r="AI8" s="4"/>
      <c r="AJ8" s="4"/>
      <c r="AK8" s="4">
        <f t="shared" ref="AK8:AK71" si="7">SUM(AB8:AJ8)</f>
        <v>0</v>
      </c>
      <c r="AL8" s="4"/>
      <c r="AM8" s="4">
        <f t="shared" ref="AM8:AM71" si="8">AK8+AL8</f>
        <v>0</v>
      </c>
      <c r="AN8" s="4">
        <f t="shared" ref="AN8:AN71" si="9">U8-AM8</f>
        <v>0</v>
      </c>
      <c r="AO8" s="4"/>
      <c r="AP8" s="4">
        <f t="shared" ref="AP8:AP71" si="10">AM8-AO8-AQ8-AR8-AS8</f>
        <v>0</v>
      </c>
      <c r="AQ8" s="4"/>
      <c r="AR8" s="4"/>
      <c r="AS8" s="4"/>
      <c r="AT8" s="4"/>
      <c r="AU8" s="4">
        <f t="shared" ref="AU8:AU71" si="11">AL8-AT8-AV8-AW8-AX8</f>
        <v>0</v>
      </c>
      <c r="AV8" s="4"/>
      <c r="AW8" s="3"/>
      <c r="AX8" s="4"/>
      <c r="AY8" s="4"/>
      <c r="AZ8" s="4">
        <f t="shared" ref="AZ8:AZ71" si="12">AN8-AY8-BA8-BB8-BC8</f>
        <v>0</v>
      </c>
      <c r="BA8" s="4"/>
      <c r="BB8" s="4"/>
      <c r="BC8" s="4"/>
    </row>
    <row r="9" spans="1:55" s="5" customFormat="1">
      <c r="A9" s="3">
        <f t="shared" si="3"/>
        <v>3</v>
      </c>
      <c r="B9" s="3">
        <v>1253</v>
      </c>
      <c r="C9" s="3" t="s">
        <v>70</v>
      </c>
      <c r="D9" s="4">
        <f>3900000+300000</f>
        <v>4200000</v>
      </c>
      <c r="E9" s="4">
        <v>3900000</v>
      </c>
      <c r="F9" s="4">
        <f t="shared" si="0"/>
        <v>300000</v>
      </c>
      <c r="G9" s="4">
        <v>3700000</v>
      </c>
      <c r="H9" s="4">
        <v>3269133</v>
      </c>
      <c r="I9" s="4"/>
      <c r="J9" s="4">
        <v>260499.41</v>
      </c>
      <c r="K9" s="4">
        <f t="shared" si="4"/>
        <v>260499.41</v>
      </c>
      <c r="L9" s="4">
        <f t="shared" si="5"/>
        <v>3529632.41</v>
      </c>
      <c r="M9" s="4">
        <f>P9+S9</f>
        <v>170367.58999999985</v>
      </c>
      <c r="N9" s="4">
        <f>300000+200000</f>
        <v>500000</v>
      </c>
      <c r="O9" s="4">
        <f>D9-L9-M9-N9</f>
        <v>0</v>
      </c>
      <c r="P9" s="4">
        <f>G9-L9</f>
        <v>170367.58999999985</v>
      </c>
      <c r="Q9" s="4"/>
      <c r="R9" s="24"/>
      <c r="S9" s="4">
        <f t="shared" si="1"/>
        <v>0</v>
      </c>
      <c r="T9" s="4">
        <f t="shared" si="6"/>
        <v>0</v>
      </c>
      <c r="U9" s="4">
        <f t="shared" si="2"/>
        <v>500000</v>
      </c>
      <c r="V9" s="4"/>
      <c r="W9" s="4">
        <f>U9-V9-Y9-Z9</f>
        <v>500000</v>
      </c>
      <c r="X9" s="4"/>
      <c r="Y9" s="4"/>
      <c r="Z9" s="3"/>
      <c r="AA9" s="123">
        <v>850000</v>
      </c>
      <c r="AB9" s="4"/>
      <c r="AC9" s="4"/>
      <c r="AD9" s="4"/>
      <c r="AE9" s="520">
        <f>300000-300000</f>
        <v>0</v>
      </c>
      <c r="AF9" s="520"/>
      <c r="AG9" s="520">
        <v>500000</v>
      </c>
      <c r="AH9" s="4"/>
      <c r="AI9" s="4"/>
      <c r="AJ9" s="4"/>
      <c r="AK9" s="4">
        <f t="shared" si="7"/>
        <v>500000</v>
      </c>
      <c r="AL9" s="4"/>
      <c r="AM9" s="4">
        <f t="shared" si="8"/>
        <v>500000</v>
      </c>
      <c r="AN9" s="4">
        <f t="shared" si="9"/>
        <v>0</v>
      </c>
      <c r="AO9" s="4"/>
      <c r="AP9" s="4">
        <f t="shared" si="10"/>
        <v>500000</v>
      </c>
      <c r="AQ9" s="4"/>
      <c r="AR9" s="4"/>
      <c r="AS9" s="4"/>
      <c r="AT9" s="4"/>
      <c r="AU9" s="4">
        <f t="shared" si="11"/>
        <v>0</v>
      </c>
      <c r="AV9" s="4"/>
      <c r="AW9" s="3"/>
      <c r="AX9" s="4"/>
      <c r="AY9" s="4"/>
      <c r="AZ9" s="4">
        <f t="shared" si="12"/>
        <v>0</v>
      </c>
      <c r="BA9" s="4"/>
      <c r="BB9" s="4"/>
      <c r="BC9" s="4"/>
    </row>
    <row r="10" spans="1:55" s="5" customFormat="1">
      <c r="A10" s="3">
        <f t="shared" si="3"/>
        <v>4</v>
      </c>
      <c r="B10" s="3">
        <v>1281</v>
      </c>
      <c r="C10" s="3" t="s">
        <v>71</v>
      </c>
      <c r="D10" s="4">
        <v>213755840</v>
      </c>
      <c r="E10" s="4">
        <v>213755840</v>
      </c>
      <c r="F10" s="4">
        <f t="shared" si="0"/>
        <v>0</v>
      </c>
      <c r="G10" s="4">
        <v>213755840</v>
      </c>
      <c r="H10" s="4">
        <v>212334871.83000001</v>
      </c>
      <c r="I10" s="4">
        <v>1313261.3600000001</v>
      </c>
      <c r="J10" s="4">
        <v>97066</v>
      </c>
      <c r="K10" s="4">
        <f t="shared" si="4"/>
        <v>1410327.36</v>
      </c>
      <c r="L10" s="4">
        <f t="shared" si="5"/>
        <v>213745199.19000003</v>
      </c>
      <c r="M10" s="4">
        <f>P10+S10</f>
        <v>10640.809999972582</v>
      </c>
      <c r="N10" s="4"/>
      <c r="O10" s="4">
        <f>D10-L10-M10-N10</f>
        <v>0</v>
      </c>
      <c r="P10" s="4">
        <f>G10-L10</f>
        <v>10640.809999972582</v>
      </c>
      <c r="Q10" s="4"/>
      <c r="R10" s="4"/>
      <c r="S10" s="4">
        <f t="shared" si="1"/>
        <v>0</v>
      </c>
      <c r="T10" s="4">
        <f t="shared" si="6"/>
        <v>0</v>
      </c>
      <c r="U10" s="4">
        <f t="shared" si="2"/>
        <v>0</v>
      </c>
      <c r="V10" s="4"/>
      <c r="W10" s="4">
        <f t="shared" ref="W10:W72" si="13">U10-V10-Y10-Z10</f>
        <v>0</v>
      </c>
      <c r="X10" s="4"/>
      <c r="Y10" s="4"/>
      <c r="Z10" s="3"/>
      <c r="AA10" s="123">
        <v>810000</v>
      </c>
      <c r="AB10" s="4"/>
      <c r="AC10" s="4"/>
      <c r="AD10" s="4"/>
      <c r="AE10" s="4"/>
      <c r="AF10" s="4"/>
      <c r="AG10" s="4"/>
      <c r="AH10" s="4"/>
      <c r="AI10" s="4"/>
      <c r="AJ10" s="4"/>
      <c r="AK10" s="4">
        <f t="shared" si="7"/>
        <v>0</v>
      </c>
      <c r="AL10" s="4"/>
      <c r="AM10" s="4">
        <f t="shared" si="8"/>
        <v>0</v>
      </c>
      <c r="AN10" s="4">
        <f t="shared" si="9"/>
        <v>0</v>
      </c>
      <c r="AO10" s="4"/>
      <c r="AP10" s="4">
        <f t="shared" si="10"/>
        <v>0</v>
      </c>
      <c r="AQ10" s="4"/>
      <c r="AR10" s="4"/>
      <c r="AS10" s="4"/>
      <c r="AT10" s="4"/>
      <c r="AU10" s="4">
        <f t="shared" si="11"/>
        <v>0</v>
      </c>
      <c r="AV10" s="4"/>
      <c r="AW10" s="3"/>
      <c r="AX10" s="4"/>
      <c r="AY10" s="4"/>
      <c r="AZ10" s="4">
        <f t="shared" si="12"/>
        <v>0</v>
      </c>
      <c r="BA10" s="4"/>
      <c r="BB10" s="4"/>
      <c r="BC10" s="4"/>
    </row>
    <row r="11" spans="1:55" s="5" customFormat="1">
      <c r="A11" s="3">
        <f t="shared" si="3"/>
        <v>5</v>
      </c>
      <c r="B11" s="3">
        <v>1372</v>
      </c>
      <c r="C11" s="3" t="s">
        <v>72</v>
      </c>
      <c r="D11" s="4">
        <v>2900000</v>
      </c>
      <c r="E11" s="4">
        <v>2900000</v>
      </c>
      <c r="F11" s="4">
        <f t="shared" si="0"/>
        <v>0</v>
      </c>
      <c r="G11" s="4">
        <v>1500000</v>
      </c>
      <c r="H11" s="4">
        <v>1471934</v>
      </c>
      <c r="I11" s="4"/>
      <c r="J11" s="4">
        <v>25919</v>
      </c>
      <c r="K11" s="4">
        <f t="shared" si="4"/>
        <v>25919</v>
      </c>
      <c r="L11" s="4">
        <f t="shared" si="5"/>
        <v>1497853</v>
      </c>
      <c r="M11" s="4">
        <f t="shared" ref="M11:M70" si="14">P11+S11</f>
        <v>2147</v>
      </c>
      <c r="N11" s="4"/>
      <c r="O11" s="4">
        <f t="shared" ref="O11:O73" si="15">D11-L11-M11-N11</f>
        <v>1400000</v>
      </c>
      <c r="P11" s="4">
        <f t="shared" ref="P11:P70" si="16">G11-L11</f>
        <v>2147</v>
      </c>
      <c r="Q11" s="4"/>
      <c r="R11" s="4"/>
      <c r="S11" s="4">
        <f t="shared" si="1"/>
        <v>0</v>
      </c>
      <c r="T11" s="4">
        <f t="shared" si="6"/>
        <v>0</v>
      </c>
      <c r="U11" s="4">
        <f t="shared" si="2"/>
        <v>0</v>
      </c>
      <c r="V11" s="4"/>
      <c r="W11" s="4">
        <f t="shared" si="13"/>
        <v>0</v>
      </c>
      <c r="X11" s="4"/>
      <c r="Y11" s="4"/>
      <c r="Z11" s="3"/>
      <c r="AA11" s="123">
        <v>810000</v>
      </c>
      <c r="AB11" s="4"/>
      <c r="AC11" s="4"/>
      <c r="AD11" s="4"/>
      <c r="AE11" s="4"/>
      <c r="AF11" s="4"/>
      <c r="AG11" s="4"/>
      <c r="AH11" s="4"/>
      <c r="AI11" s="4"/>
      <c r="AJ11" s="4"/>
      <c r="AK11" s="4">
        <f t="shared" si="7"/>
        <v>0</v>
      </c>
      <c r="AL11" s="4"/>
      <c r="AM11" s="4">
        <f t="shared" si="8"/>
        <v>0</v>
      </c>
      <c r="AN11" s="4">
        <f t="shared" si="9"/>
        <v>0</v>
      </c>
      <c r="AO11" s="4"/>
      <c r="AP11" s="4">
        <f t="shared" si="10"/>
        <v>0</v>
      </c>
      <c r="AQ11" s="4"/>
      <c r="AR11" s="4"/>
      <c r="AS11" s="4"/>
      <c r="AT11" s="4"/>
      <c r="AU11" s="4">
        <f t="shared" si="11"/>
        <v>0</v>
      </c>
      <c r="AV11" s="4"/>
      <c r="AW11" s="3"/>
      <c r="AX11" s="4"/>
      <c r="AY11" s="4"/>
      <c r="AZ11" s="4">
        <f t="shared" si="12"/>
        <v>0</v>
      </c>
      <c r="BA11" s="4"/>
      <c r="BB11" s="4"/>
      <c r="BC11" s="4"/>
    </row>
    <row r="12" spans="1:55" s="5" customFormat="1">
      <c r="A12" s="3">
        <f t="shared" si="3"/>
        <v>6</v>
      </c>
      <c r="B12" s="3">
        <v>1415</v>
      </c>
      <c r="C12" s="3" t="s">
        <v>73</v>
      </c>
      <c r="D12" s="4">
        <v>1150000</v>
      </c>
      <c r="E12" s="4">
        <v>1150000</v>
      </c>
      <c r="F12" s="4">
        <f t="shared" si="0"/>
        <v>0</v>
      </c>
      <c r="G12" s="4">
        <v>900000</v>
      </c>
      <c r="H12" s="4">
        <v>787794</v>
      </c>
      <c r="I12" s="4"/>
      <c r="J12" s="4">
        <v>41960</v>
      </c>
      <c r="K12" s="4">
        <f t="shared" si="4"/>
        <v>41960</v>
      </c>
      <c r="L12" s="4">
        <f t="shared" si="5"/>
        <v>829754</v>
      </c>
      <c r="M12" s="4">
        <f t="shared" si="14"/>
        <v>70246</v>
      </c>
      <c r="N12" s="4">
        <v>100000</v>
      </c>
      <c r="O12" s="4">
        <f t="shared" si="15"/>
        <v>150000</v>
      </c>
      <c r="P12" s="4">
        <f t="shared" si="16"/>
        <v>70246</v>
      </c>
      <c r="Q12" s="4"/>
      <c r="R12" s="4"/>
      <c r="S12" s="4">
        <f t="shared" si="1"/>
        <v>0</v>
      </c>
      <c r="T12" s="4">
        <f t="shared" si="6"/>
        <v>0</v>
      </c>
      <c r="U12" s="4">
        <f t="shared" si="2"/>
        <v>100000</v>
      </c>
      <c r="V12" s="4"/>
      <c r="W12" s="4">
        <f t="shared" si="13"/>
        <v>100000</v>
      </c>
      <c r="X12" s="4"/>
      <c r="Y12" s="4"/>
      <c r="Z12" s="3"/>
      <c r="AA12" s="123">
        <v>930000</v>
      </c>
      <c r="AB12" s="4"/>
      <c r="AC12" s="4"/>
      <c r="AD12" s="4">
        <v>50000</v>
      </c>
      <c r="AE12" s="4"/>
      <c r="AF12" s="4">
        <v>10000</v>
      </c>
      <c r="AG12" s="4">
        <v>40000</v>
      </c>
      <c r="AH12" s="4"/>
      <c r="AI12" s="4"/>
      <c r="AJ12" s="4"/>
      <c r="AK12" s="4">
        <f t="shared" si="7"/>
        <v>100000</v>
      </c>
      <c r="AL12" s="4"/>
      <c r="AM12" s="4">
        <f t="shared" si="8"/>
        <v>100000</v>
      </c>
      <c r="AN12" s="4">
        <f t="shared" si="9"/>
        <v>0</v>
      </c>
      <c r="AO12" s="4"/>
      <c r="AP12" s="4">
        <f t="shared" si="10"/>
        <v>100000</v>
      </c>
      <c r="AQ12" s="4"/>
      <c r="AR12" s="4"/>
      <c r="AS12" s="4"/>
      <c r="AT12" s="4"/>
      <c r="AU12" s="4">
        <f t="shared" si="11"/>
        <v>0</v>
      </c>
      <c r="AV12" s="4"/>
      <c r="AW12" s="3"/>
      <c r="AX12" s="4"/>
      <c r="AY12" s="4"/>
      <c r="AZ12" s="4">
        <f t="shared" si="12"/>
        <v>0</v>
      </c>
      <c r="BA12" s="4"/>
      <c r="BB12" s="4"/>
      <c r="BC12" s="4"/>
    </row>
    <row r="13" spans="1:55" s="5" customFormat="1">
      <c r="A13" s="3">
        <f t="shared" si="3"/>
        <v>7</v>
      </c>
      <c r="B13" s="3">
        <v>1416</v>
      </c>
      <c r="C13" s="3" t="s">
        <v>178</v>
      </c>
      <c r="D13" s="4">
        <v>1700000</v>
      </c>
      <c r="E13" s="4">
        <v>1700000</v>
      </c>
      <c r="F13" s="4">
        <f t="shared" si="0"/>
        <v>0</v>
      </c>
      <c r="G13" s="4">
        <v>1250000</v>
      </c>
      <c r="H13" s="4">
        <v>1116948.9099999999</v>
      </c>
      <c r="I13" s="4"/>
      <c r="J13" s="4">
        <v>20000</v>
      </c>
      <c r="K13" s="4">
        <f t="shared" si="4"/>
        <v>20000</v>
      </c>
      <c r="L13" s="4">
        <f t="shared" si="5"/>
        <v>1136948.9099999999</v>
      </c>
      <c r="M13" s="4">
        <f t="shared" si="14"/>
        <v>113051.09000000008</v>
      </c>
      <c r="N13" s="4">
        <v>100000</v>
      </c>
      <c r="O13" s="4">
        <f t="shared" si="15"/>
        <v>350000</v>
      </c>
      <c r="P13" s="4">
        <f t="shared" si="16"/>
        <v>113051.09000000008</v>
      </c>
      <c r="Q13" s="4"/>
      <c r="R13" s="4"/>
      <c r="S13" s="4">
        <f t="shared" si="1"/>
        <v>0</v>
      </c>
      <c r="T13" s="4">
        <f t="shared" si="6"/>
        <v>0</v>
      </c>
      <c r="U13" s="4">
        <f t="shared" si="2"/>
        <v>100000</v>
      </c>
      <c r="V13" s="4"/>
      <c r="W13" s="4">
        <f t="shared" si="13"/>
        <v>100000</v>
      </c>
      <c r="X13" s="4"/>
      <c r="Y13" s="4"/>
      <c r="Z13" s="3"/>
      <c r="AA13" s="123">
        <v>930000</v>
      </c>
      <c r="AB13" s="4"/>
      <c r="AC13" s="4">
        <f>25000+75000</f>
        <v>100000</v>
      </c>
      <c r="AD13" s="4"/>
      <c r="AE13" s="4"/>
      <c r="AF13" s="4"/>
      <c r="AG13" s="4"/>
      <c r="AH13" s="4"/>
      <c r="AI13" s="4"/>
      <c r="AJ13" s="4"/>
      <c r="AK13" s="4">
        <f t="shared" si="7"/>
        <v>100000</v>
      </c>
      <c r="AL13" s="4"/>
      <c r="AM13" s="4">
        <f t="shared" si="8"/>
        <v>100000</v>
      </c>
      <c r="AN13" s="4">
        <f t="shared" si="9"/>
        <v>0</v>
      </c>
      <c r="AO13" s="4"/>
      <c r="AP13" s="4">
        <f t="shared" si="10"/>
        <v>100000</v>
      </c>
      <c r="AQ13" s="4"/>
      <c r="AR13" s="4"/>
      <c r="AS13" s="4"/>
      <c r="AT13" s="4"/>
      <c r="AU13" s="4">
        <f t="shared" si="11"/>
        <v>0</v>
      </c>
      <c r="AV13" s="4"/>
      <c r="AW13" s="3"/>
      <c r="AX13" s="4"/>
      <c r="AY13" s="4"/>
      <c r="AZ13" s="4">
        <f t="shared" si="12"/>
        <v>0</v>
      </c>
      <c r="BA13" s="4"/>
      <c r="BB13" s="4"/>
      <c r="BC13" s="4"/>
    </row>
    <row r="14" spans="1:55" s="5" customFormat="1">
      <c r="A14" s="3">
        <f t="shared" si="3"/>
        <v>8</v>
      </c>
      <c r="B14" s="3">
        <v>1472</v>
      </c>
      <c r="C14" s="3" t="s">
        <v>74</v>
      </c>
      <c r="D14" s="4">
        <f>10850000+500000</f>
        <v>11350000</v>
      </c>
      <c r="E14" s="4">
        <v>10850000</v>
      </c>
      <c r="F14" s="4">
        <f t="shared" si="0"/>
        <v>500000</v>
      </c>
      <c r="G14" s="4">
        <v>10850000</v>
      </c>
      <c r="H14" s="4">
        <v>10188653</v>
      </c>
      <c r="I14" s="4"/>
      <c r="J14" s="4">
        <v>629383</v>
      </c>
      <c r="K14" s="4">
        <f t="shared" si="4"/>
        <v>629383</v>
      </c>
      <c r="L14" s="4">
        <f t="shared" si="5"/>
        <v>10818036</v>
      </c>
      <c r="M14" s="4">
        <f t="shared" si="14"/>
        <v>31964</v>
      </c>
      <c r="N14" s="4">
        <v>300000</v>
      </c>
      <c r="O14" s="4">
        <f t="shared" si="15"/>
        <v>200000</v>
      </c>
      <c r="P14" s="4">
        <f t="shared" si="16"/>
        <v>31964</v>
      </c>
      <c r="Q14" s="4"/>
      <c r="R14" s="4"/>
      <c r="S14" s="4">
        <f t="shared" si="1"/>
        <v>0</v>
      </c>
      <c r="T14" s="4">
        <f t="shared" si="6"/>
        <v>0</v>
      </c>
      <c r="U14" s="4">
        <f t="shared" si="2"/>
        <v>300000</v>
      </c>
      <c r="V14" s="4"/>
      <c r="W14" s="4">
        <f t="shared" si="13"/>
        <v>300000</v>
      </c>
      <c r="X14" s="4"/>
      <c r="Y14" s="4"/>
      <c r="Z14" s="3"/>
      <c r="AA14" s="123">
        <v>810000</v>
      </c>
      <c r="AB14" s="4"/>
      <c r="AC14" s="4">
        <v>100000</v>
      </c>
      <c r="AD14" s="4">
        <v>50000</v>
      </c>
      <c r="AE14" s="4"/>
      <c r="AF14" s="4">
        <v>50000</v>
      </c>
      <c r="AG14" s="4">
        <v>100000</v>
      </c>
      <c r="AH14" s="4"/>
      <c r="AI14" s="4"/>
      <c r="AJ14" s="4"/>
      <c r="AK14" s="4">
        <f t="shared" si="7"/>
        <v>300000</v>
      </c>
      <c r="AL14" s="4"/>
      <c r="AM14" s="4">
        <f t="shared" si="8"/>
        <v>300000</v>
      </c>
      <c r="AN14" s="4">
        <f t="shared" si="9"/>
        <v>0</v>
      </c>
      <c r="AO14" s="4"/>
      <c r="AP14" s="4">
        <f t="shared" si="10"/>
        <v>300000</v>
      </c>
      <c r="AQ14" s="4"/>
      <c r="AR14" s="4"/>
      <c r="AS14" s="4"/>
      <c r="AT14" s="4"/>
      <c r="AU14" s="4">
        <f t="shared" si="11"/>
        <v>0</v>
      </c>
      <c r="AV14" s="4"/>
      <c r="AW14" s="3"/>
      <c r="AX14" s="4"/>
      <c r="AY14" s="4"/>
      <c r="AZ14" s="4">
        <f t="shared" si="12"/>
        <v>0</v>
      </c>
      <c r="BA14" s="4"/>
      <c r="BB14" s="4"/>
      <c r="BC14" s="4"/>
    </row>
    <row r="15" spans="1:55" s="5" customFormat="1">
      <c r="A15" s="3">
        <f t="shared" si="3"/>
        <v>9</v>
      </c>
      <c r="B15" s="244">
        <v>1474</v>
      </c>
      <c r="C15" s="42" t="s">
        <v>944</v>
      </c>
      <c r="D15" s="4">
        <v>2105000</v>
      </c>
      <c r="E15" s="4">
        <v>2105000</v>
      </c>
      <c r="F15" s="4">
        <f t="shared" si="0"/>
        <v>0</v>
      </c>
      <c r="G15" s="4">
        <v>2105000</v>
      </c>
      <c r="H15" s="4">
        <v>1862888.8</v>
      </c>
      <c r="I15" s="4"/>
      <c r="J15" s="4">
        <v>242111.2</v>
      </c>
      <c r="K15" s="4">
        <f t="shared" si="4"/>
        <v>242111.2</v>
      </c>
      <c r="L15" s="4">
        <f t="shared" si="5"/>
        <v>2105000</v>
      </c>
      <c r="M15" s="4">
        <f t="shared" si="14"/>
        <v>0</v>
      </c>
      <c r="N15" s="4"/>
      <c r="O15" s="4">
        <f t="shared" si="15"/>
        <v>0</v>
      </c>
      <c r="P15" s="4">
        <f t="shared" si="16"/>
        <v>0</v>
      </c>
      <c r="Q15" s="4"/>
      <c r="R15" s="4"/>
      <c r="S15" s="4">
        <f t="shared" si="1"/>
        <v>0</v>
      </c>
      <c r="T15" s="4">
        <f t="shared" si="6"/>
        <v>0</v>
      </c>
      <c r="U15" s="4">
        <f t="shared" si="2"/>
        <v>0</v>
      </c>
      <c r="V15" s="4"/>
      <c r="W15" s="4">
        <f t="shared" si="13"/>
        <v>0</v>
      </c>
      <c r="X15" s="4"/>
      <c r="Y15" s="4"/>
      <c r="Z15" s="3"/>
      <c r="AA15" s="123">
        <v>812000</v>
      </c>
      <c r="AB15" s="4"/>
      <c r="AC15" s="4"/>
      <c r="AD15" s="4"/>
      <c r="AE15" s="4"/>
      <c r="AF15" s="4"/>
      <c r="AG15" s="4"/>
      <c r="AH15" s="4"/>
      <c r="AI15" s="4"/>
      <c r="AJ15" s="4"/>
      <c r="AK15" s="4">
        <f t="shared" si="7"/>
        <v>0</v>
      </c>
      <c r="AL15" s="4"/>
      <c r="AM15" s="4">
        <f t="shared" si="8"/>
        <v>0</v>
      </c>
      <c r="AN15" s="4">
        <f t="shared" si="9"/>
        <v>0</v>
      </c>
      <c r="AO15" s="4"/>
      <c r="AP15" s="4">
        <f t="shared" si="10"/>
        <v>0</v>
      </c>
      <c r="AQ15" s="4"/>
      <c r="AR15" s="4"/>
      <c r="AS15" s="4"/>
      <c r="AT15" s="4"/>
      <c r="AU15" s="4">
        <f t="shared" si="11"/>
        <v>0</v>
      </c>
      <c r="AV15" s="4"/>
      <c r="AW15" s="3"/>
      <c r="AX15" s="4"/>
      <c r="AY15" s="4"/>
      <c r="AZ15" s="4">
        <f t="shared" si="12"/>
        <v>0</v>
      </c>
      <c r="BA15" s="4"/>
      <c r="BB15" s="4"/>
      <c r="BC15" s="4"/>
    </row>
    <row r="16" spans="1:55" s="5" customFormat="1">
      <c r="A16" s="3">
        <f t="shared" si="3"/>
        <v>10</v>
      </c>
      <c r="B16" s="3">
        <v>1476</v>
      </c>
      <c r="C16" s="3" t="s">
        <v>290</v>
      </c>
      <c r="D16" s="4">
        <v>900000</v>
      </c>
      <c r="E16" s="4">
        <v>900000</v>
      </c>
      <c r="F16" s="4">
        <f t="shared" si="0"/>
        <v>0</v>
      </c>
      <c r="G16" s="4">
        <v>900000</v>
      </c>
      <c r="H16" s="4">
        <v>789809.93</v>
      </c>
      <c r="I16" s="4"/>
      <c r="J16" s="4">
        <v>100720.91</v>
      </c>
      <c r="K16" s="4">
        <f t="shared" si="4"/>
        <v>100720.91</v>
      </c>
      <c r="L16" s="4">
        <f t="shared" si="5"/>
        <v>890530.84000000008</v>
      </c>
      <c r="M16" s="4">
        <f t="shared" si="14"/>
        <v>9469.1599999999162</v>
      </c>
      <c r="N16" s="4"/>
      <c r="O16" s="4">
        <f t="shared" si="15"/>
        <v>0</v>
      </c>
      <c r="P16" s="4">
        <f t="shared" si="16"/>
        <v>9469.1599999999162</v>
      </c>
      <c r="Q16" s="4"/>
      <c r="R16" s="4"/>
      <c r="S16" s="4">
        <f t="shared" si="1"/>
        <v>0</v>
      </c>
      <c r="T16" s="4">
        <f t="shared" si="6"/>
        <v>0</v>
      </c>
      <c r="U16" s="4">
        <f t="shared" si="2"/>
        <v>0</v>
      </c>
      <c r="V16" s="4"/>
      <c r="W16" s="4">
        <f t="shared" si="13"/>
        <v>0</v>
      </c>
      <c r="X16" s="4"/>
      <c r="Y16" s="4"/>
      <c r="Z16" s="3"/>
      <c r="AA16" s="123">
        <v>810000</v>
      </c>
      <c r="AB16" s="4"/>
      <c r="AC16" s="4"/>
      <c r="AD16" s="4"/>
      <c r="AE16" s="4"/>
      <c r="AF16" s="4"/>
      <c r="AG16" s="4"/>
      <c r="AH16" s="4"/>
      <c r="AI16" s="4"/>
      <c r="AJ16" s="4"/>
      <c r="AK16" s="4">
        <f t="shared" si="7"/>
        <v>0</v>
      </c>
      <c r="AL16" s="4"/>
      <c r="AM16" s="4">
        <f t="shared" si="8"/>
        <v>0</v>
      </c>
      <c r="AN16" s="4">
        <f t="shared" si="9"/>
        <v>0</v>
      </c>
      <c r="AO16" s="4"/>
      <c r="AP16" s="4">
        <f t="shared" si="10"/>
        <v>0</v>
      </c>
      <c r="AQ16" s="4"/>
      <c r="AR16" s="4"/>
      <c r="AS16" s="4"/>
      <c r="AT16" s="4"/>
      <c r="AU16" s="4">
        <f t="shared" si="11"/>
        <v>0</v>
      </c>
      <c r="AV16" s="4"/>
      <c r="AW16" s="3"/>
      <c r="AX16" s="4"/>
      <c r="AY16" s="4"/>
      <c r="AZ16" s="4">
        <f t="shared" si="12"/>
        <v>0</v>
      </c>
      <c r="BA16" s="4"/>
      <c r="BB16" s="4"/>
      <c r="BC16" s="4"/>
    </row>
    <row r="17" spans="1:55" s="5" customFormat="1">
      <c r="A17" s="3">
        <f t="shared" si="3"/>
        <v>11</v>
      </c>
      <c r="B17" s="3">
        <v>1477</v>
      </c>
      <c r="C17" s="3" t="s">
        <v>75</v>
      </c>
      <c r="D17" s="4">
        <v>2200000</v>
      </c>
      <c r="E17" s="4">
        <v>2200000</v>
      </c>
      <c r="F17" s="4">
        <f t="shared" si="0"/>
        <v>0</v>
      </c>
      <c r="G17" s="4">
        <v>2200000</v>
      </c>
      <c r="H17" s="4">
        <v>1952434.39</v>
      </c>
      <c r="I17" s="4"/>
      <c r="J17" s="4">
        <v>247564.22</v>
      </c>
      <c r="K17" s="4">
        <f t="shared" si="4"/>
        <v>247564.22</v>
      </c>
      <c r="L17" s="4">
        <f t="shared" si="5"/>
        <v>2199998.61</v>
      </c>
      <c r="M17" s="4">
        <f t="shared" si="14"/>
        <v>1.3900000001303852</v>
      </c>
      <c r="N17" s="4"/>
      <c r="O17" s="4">
        <f t="shared" si="15"/>
        <v>0</v>
      </c>
      <c r="P17" s="4">
        <f t="shared" si="16"/>
        <v>1.3900000001303852</v>
      </c>
      <c r="Q17" s="4"/>
      <c r="R17" s="4"/>
      <c r="S17" s="4">
        <f t="shared" si="1"/>
        <v>0</v>
      </c>
      <c r="T17" s="4">
        <f t="shared" si="6"/>
        <v>0</v>
      </c>
      <c r="U17" s="4">
        <f t="shared" si="2"/>
        <v>0</v>
      </c>
      <c r="V17" s="4"/>
      <c r="W17" s="4">
        <f t="shared" si="13"/>
        <v>0</v>
      </c>
      <c r="X17" s="4"/>
      <c r="Y17" s="4"/>
      <c r="Z17" s="3"/>
      <c r="AA17" s="123">
        <v>810000</v>
      </c>
      <c r="AB17" s="4"/>
      <c r="AC17" s="4"/>
      <c r="AD17" s="4"/>
      <c r="AE17" s="4"/>
      <c r="AF17" s="4"/>
      <c r="AG17" s="4"/>
      <c r="AH17" s="4"/>
      <c r="AI17" s="4"/>
      <c r="AJ17" s="4"/>
      <c r="AK17" s="4">
        <f t="shared" si="7"/>
        <v>0</v>
      </c>
      <c r="AL17" s="4"/>
      <c r="AM17" s="4">
        <f t="shared" si="8"/>
        <v>0</v>
      </c>
      <c r="AN17" s="4">
        <f t="shared" si="9"/>
        <v>0</v>
      </c>
      <c r="AO17" s="4"/>
      <c r="AP17" s="4">
        <f t="shared" si="10"/>
        <v>0</v>
      </c>
      <c r="AQ17" s="4"/>
      <c r="AR17" s="4"/>
      <c r="AS17" s="4"/>
      <c r="AT17" s="4"/>
      <c r="AU17" s="4">
        <f t="shared" si="11"/>
        <v>0</v>
      </c>
      <c r="AV17" s="4"/>
      <c r="AW17" s="3"/>
      <c r="AX17" s="4"/>
      <c r="AY17" s="4"/>
      <c r="AZ17" s="4">
        <f t="shared" si="12"/>
        <v>0</v>
      </c>
      <c r="BA17" s="4"/>
      <c r="BB17" s="4"/>
      <c r="BC17" s="4"/>
    </row>
    <row r="18" spans="1:55" s="5" customFormat="1">
      <c r="A18" s="3">
        <f t="shared" si="3"/>
        <v>12</v>
      </c>
      <c r="B18" s="3">
        <v>1478</v>
      </c>
      <c r="C18" s="3" t="s">
        <v>287</v>
      </c>
      <c r="D18" s="4">
        <v>1800000</v>
      </c>
      <c r="E18" s="4">
        <v>1800000</v>
      </c>
      <c r="F18" s="4">
        <f t="shared" si="0"/>
        <v>0</v>
      </c>
      <c r="G18" s="4">
        <v>1800000</v>
      </c>
      <c r="H18" s="4">
        <v>1758057.55</v>
      </c>
      <c r="I18" s="4"/>
      <c r="J18" s="4">
        <v>15097.45</v>
      </c>
      <c r="K18" s="4">
        <f t="shared" si="4"/>
        <v>15097.45</v>
      </c>
      <c r="L18" s="4">
        <f t="shared" si="5"/>
        <v>1773155</v>
      </c>
      <c r="M18" s="4">
        <f t="shared" si="14"/>
        <v>26845</v>
      </c>
      <c r="N18" s="4"/>
      <c r="O18" s="4">
        <f t="shared" si="15"/>
        <v>0</v>
      </c>
      <c r="P18" s="4">
        <f t="shared" si="16"/>
        <v>26845</v>
      </c>
      <c r="Q18" s="4"/>
      <c r="R18" s="4"/>
      <c r="S18" s="4">
        <f t="shared" si="1"/>
        <v>0</v>
      </c>
      <c r="T18" s="4">
        <f t="shared" si="6"/>
        <v>0</v>
      </c>
      <c r="U18" s="4">
        <f t="shared" si="2"/>
        <v>0</v>
      </c>
      <c r="V18" s="4"/>
      <c r="W18" s="4">
        <f>U18-V18-Y18-Z18</f>
        <v>0</v>
      </c>
      <c r="X18" s="4"/>
      <c r="Y18" s="4"/>
      <c r="Z18" s="3"/>
      <c r="AA18" s="123">
        <v>930000</v>
      </c>
      <c r="AB18" s="4"/>
      <c r="AC18" s="4"/>
      <c r="AD18" s="4"/>
      <c r="AE18" s="4"/>
      <c r="AF18" s="4"/>
      <c r="AG18" s="4"/>
      <c r="AH18" s="4"/>
      <c r="AI18" s="4"/>
      <c r="AJ18" s="4"/>
      <c r="AK18" s="4">
        <f t="shared" si="7"/>
        <v>0</v>
      </c>
      <c r="AL18" s="4"/>
      <c r="AM18" s="4">
        <f t="shared" si="8"/>
        <v>0</v>
      </c>
      <c r="AN18" s="4">
        <f t="shared" si="9"/>
        <v>0</v>
      </c>
      <c r="AO18" s="4"/>
      <c r="AP18" s="4">
        <f t="shared" si="10"/>
        <v>0</v>
      </c>
      <c r="AQ18" s="4"/>
      <c r="AR18" s="4"/>
      <c r="AS18" s="4"/>
      <c r="AT18" s="4"/>
      <c r="AU18" s="4">
        <f t="shared" si="11"/>
        <v>0</v>
      </c>
      <c r="AV18" s="4"/>
      <c r="AW18" s="3"/>
      <c r="AX18" s="4"/>
      <c r="AY18" s="4"/>
      <c r="AZ18" s="4">
        <f t="shared" si="12"/>
        <v>0</v>
      </c>
      <c r="BA18" s="4"/>
      <c r="BB18" s="4"/>
      <c r="BC18" s="4"/>
    </row>
    <row r="19" spans="1:55" s="5" customFormat="1">
      <c r="A19" s="3">
        <f t="shared" si="3"/>
        <v>13</v>
      </c>
      <c r="B19" s="3">
        <v>1479</v>
      </c>
      <c r="C19" s="3" t="s">
        <v>76</v>
      </c>
      <c r="D19" s="4">
        <v>1400000</v>
      </c>
      <c r="E19" s="4">
        <v>1400000</v>
      </c>
      <c r="F19" s="4">
        <f t="shared" si="0"/>
        <v>0</v>
      </c>
      <c r="G19" s="4">
        <v>1400000</v>
      </c>
      <c r="H19" s="4">
        <v>1176317.28</v>
      </c>
      <c r="I19" s="4"/>
      <c r="J19" s="4">
        <v>218439.94</v>
      </c>
      <c r="K19" s="4">
        <f t="shared" si="4"/>
        <v>218439.94</v>
      </c>
      <c r="L19" s="4">
        <f t="shared" si="5"/>
        <v>1394757.22</v>
      </c>
      <c r="M19" s="4">
        <f t="shared" si="14"/>
        <v>5242.7800000000279</v>
      </c>
      <c r="N19" s="4"/>
      <c r="O19" s="4">
        <f t="shared" si="15"/>
        <v>0</v>
      </c>
      <c r="P19" s="4">
        <f t="shared" si="16"/>
        <v>5242.7800000000279</v>
      </c>
      <c r="Q19" s="4"/>
      <c r="R19" s="4"/>
      <c r="S19" s="4">
        <f t="shared" si="1"/>
        <v>0</v>
      </c>
      <c r="T19" s="4">
        <f t="shared" si="6"/>
        <v>0</v>
      </c>
      <c r="U19" s="4">
        <f t="shared" si="2"/>
        <v>0</v>
      </c>
      <c r="V19" s="4"/>
      <c r="W19" s="4">
        <f t="shared" si="13"/>
        <v>0</v>
      </c>
      <c r="X19" s="4"/>
      <c r="Y19" s="4"/>
      <c r="Z19" s="3"/>
      <c r="AA19" s="123">
        <v>810000</v>
      </c>
      <c r="AB19" s="4"/>
      <c r="AC19" s="4"/>
      <c r="AD19" s="4"/>
      <c r="AE19" s="4"/>
      <c r="AF19" s="4"/>
      <c r="AG19" s="4"/>
      <c r="AH19" s="4"/>
      <c r="AI19" s="4"/>
      <c r="AJ19" s="4"/>
      <c r="AK19" s="4">
        <f t="shared" si="7"/>
        <v>0</v>
      </c>
      <c r="AL19" s="4"/>
      <c r="AM19" s="4">
        <f t="shared" si="8"/>
        <v>0</v>
      </c>
      <c r="AN19" s="4">
        <f t="shared" si="9"/>
        <v>0</v>
      </c>
      <c r="AO19" s="4"/>
      <c r="AP19" s="4">
        <f t="shared" si="10"/>
        <v>0</v>
      </c>
      <c r="AQ19" s="4"/>
      <c r="AR19" s="4"/>
      <c r="AS19" s="4"/>
      <c r="AT19" s="4"/>
      <c r="AU19" s="4">
        <f t="shared" si="11"/>
        <v>0</v>
      </c>
      <c r="AV19" s="4"/>
      <c r="AW19" s="3"/>
      <c r="AX19" s="4"/>
      <c r="AY19" s="4"/>
      <c r="AZ19" s="4">
        <f t="shared" si="12"/>
        <v>0</v>
      </c>
      <c r="BA19" s="4"/>
      <c r="BB19" s="4"/>
      <c r="BC19" s="4"/>
    </row>
    <row r="20" spans="1:55" s="5" customFormat="1">
      <c r="A20" s="3">
        <f t="shared" si="3"/>
        <v>14</v>
      </c>
      <c r="B20" s="3">
        <v>1480</v>
      </c>
      <c r="C20" s="3" t="s">
        <v>77</v>
      </c>
      <c r="D20" s="4">
        <v>4500000</v>
      </c>
      <c r="E20" s="4">
        <v>4500000</v>
      </c>
      <c r="F20" s="4">
        <f t="shared" si="0"/>
        <v>0</v>
      </c>
      <c r="G20" s="4">
        <f>2900000+100000</f>
        <v>3000000</v>
      </c>
      <c r="H20" s="4">
        <v>2246459.44</v>
      </c>
      <c r="I20" s="4"/>
      <c r="J20" s="4">
        <v>727346.23</v>
      </c>
      <c r="K20" s="4">
        <f t="shared" si="4"/>
        <v>727346.23</v>
      </c>
      <c r="L20" s="4">
        <f t="shared" si="5"/>
        <v>2973805.67</v>
      </c>
      <c r="M20" s="4">
        <f t="shared" si="14"/>
        <v>26194.330000000075</v>
      </c>
      <c r="N20" s="4">
        <f>1000000-500000</f>
        <v>500000</v>
      </c>
      <c r="O20" s="4">
        <f t="shared" si="15"/>
        <v>1000000</v>
      </c>
      <c r="P20" s="4">
        <f t="shared" si="16"/>
        <v>26194.330000000075</v>
      </c>
      <c r="Q20" s="4">
        <f>100000-100000</f>
        <v>0</v>
      </c>
      <c r="R20" s="4"/>
      <c r="S20" s="4">
        <f t="shared" si="1"/>
        <v>0</v>
      </c>
      <c r="T20" s="4">
        <f t="shared" si="6"/>
        <v>0</v>
      </c>
      <c r="U20" s="4">
        <f t="shared" si="2"/>
        <v>500000</v>
      </c>
      <c r="V20" s="4"/>
      <c r="W20" s="4">
        <f t="shared" si="13"/>
        <v>500000</v>
      </c>
      <c r="X20" s="4"/>
      <c r="Y20" s="4"/>
      <c r="Z20" s="3"/>
      <c r="AA20" s="123">
        <v>810000</v>
      </c>
      <c r="AB20" s="4"/>
      <c r="AC20" s="4"/>
      <c r="AD20" s="4">
        <v>200000</v>
      </c>
      <c r="AE20" s="4"/>
      <c r="AF20" s="4"/>
      <c r="AG20" s="4">
        <v>300000</v>
      </c>
      <c r="AH20" s="4"/>
      <c r="AI20" s="4"/>
      <c r="AJ20" s="4"/>
      <c r="AK20" s="4">
        <f t="shared" si="7"/>
        <v>500000</v>
      </c>
      <c r="AL20" s="4"/>
      <c r="AM20" s="4">
        <f t="shared" si="8"/>
        <v>500000</v>
      </c>
      <c r="AN20" s="4">
        <f t="shared" si="9"/>
        <v>0</v>
      </c>
      <c r="AO20" s="4"/>
      <c r="AP20" s="4">
        <f t="shared" si="10"/>
        <v>500000</v>
      </c>
      <c r="AQ20" s="4"/>
      <c r="AR20" s="4"/>
      <c r="AS20" s="4"/>
      <c r="AT20" s="4"/>
      <c r="AU20" s="4">
        <f t="shared" si="11"/>
        <v>0</v>
      </c>
      <c r="AV20" s="4"/>
      <c r="AW20" s="3"/>
      <c r="AX20" s="4"/>
      <c r="AY20" s="4"/>
      <c r="AZ20" s="4">
        <f t="shared" si="12"/>
        <v>0</v>
      </c>
      <c r="BA20" s="4"/>
      <c r="BB20" s="4"/>
      <c r="BC20" s="4"/>
    </row>
    <row r="21" spans="1:55" s="5" customFormat="1">
      <c r="A21" s="3">
        <f t="shared" si="3"/>
        <v>15</v>
      </c>
      <c r="B21" s="3">
        <v>1481</v>
      </c>
      <c r="C21" s="3" t="s">
        <v>291</v>
      </c>
      <c r="D21" s="4">
        <v>6980000</v>
      </c>
      <c r="E21" s="4">
        <v>6980000</v>
      </c>
      <c r="F21" s="4">
        <f t="shared" si="0"/>
        <v>0</v>
      </c>
      <c r="G21" s="4">
        <v>6980000</v>
      </c>
      <c r="H21" s="4">
        <v>5734254</v>
      </c>
      <c r="I21" s="4"/>
      <c r="J21" s="4">
        <v>1073663</v>
      </c>
      <c r="K21" s="4">
        <f t="shared" si="4"/>
        <v>1073663</v>
      </c>
      <c r="L21" s="4">
        <f t="shared" si="5"/>
        <v>6807917</v>
      </c>
      <c r="M21" s="4">
        <f t="shared" si="14"/>
        <v>172083</v>
      </c>
      <c r="N21" s="4"/>
      <c r="O21" s="4">
        <f t="shared" si="15"/>
        <v>0</v>
      </c>
      <c r="P21" s="4">
        <f t="shared" si="16"/>
        <v>172083</v>
      </c>
      <c r="Q21" s="4"/>
      <c r="R21" s="4"/>
      <c r="S21" s="4">
        <f t="shared" si="1"/>
        <v>0</v>
      </c>
      <c r="T21" s="4">
        <f t="shared" si="6"/>
        <v>0</v>
      </c>
      <c r="U21" s="4">
        <f t="shared" si="2"/>
        <v>0</v>
      </c>
      <c r="V21" s="4"/>
      <c r="W21" s="4">
        <f t="shared" si="13"/>
        <v>0</v>
      </c>
      <c r="X21" s="4"/>
      <c r="Y21" s="4"/>
      <c r="Z21" s="3"/>
      <c r="AA21" s="123">
        <v>743000</v>
      </c>
      <c r="AB21" s="4"/>
      <c r="AC21" s="4"/>
      <c r="AD21" s="4"/>
      <c r="AE21" s="4"/>
      <c r="AF21" s="4"/>
      <c r="AG21" s="4"/>
      <c r="AH21" s="4"/>
      <c r="AI21" s="4"/>
      <c r="AJ21" s="4"/>
      <c r="AK21" s="4">
        <f t="shared" si="7"/>
        <v>0</v>
      </c>
      <c r="AL21" s="4"/>
      <c r="AM21" s="4">
        <f t="shared" si="8"/>
        <v>0</v>
      </c>
      <c r="AN21" s="4">
        <f t="shared" si="9"/>
        <v>0</v>
      </c>
      <c r="AO21" s="4"/>
      <c r="AP21" s="4">
        <f t="shared" si="10"/>
        <v>0</v>
      </c>
      <c r="AQ21" s="4"/>
      <c r="AR21" s="4"/>
      <c r="AS21" s="4"/>
      <c r="AT21" s="4"/>
      <c r="AU21" s="4">
        <f t="shared" si="11"/>
        <v>0</v>
      </c>
      <c r="AV21" s="4"/>
      <c r="AW21" s="3"/>
      <c r="AX21" s="4"/>
      <c r="AY21" s="4"/>
      <c r="AZ21" s="4">
        <f t="shared" si="12"/>
        <v>0</v>
      </c>
      <c r="BA21" s="4"/>
      <c r="BB21" s="4"/>
      <c r="BC21" s="4"/>
    </row>
    <row r="22" spans="1:55" s="5" customFormat="1">
      <c r="A22" s="3">
        <f t="shared" si="3"/>
        <v>16</v>
      </c>
      <c r="B22" s="3">
        <v>1482</v>
      </c>
      <c r="C22" s="3" t="s">
        <v>78</v>
      </c>
      <c r="D22" s="4">
        <v>1450000</v>
      </c>
      <c r="E22" s="4">
        <v>1450000</v>
      </c>
      <c r="F22" s="4">
        <f t="shared" si="0"/>
        <v>0</v>
      </c>
      <c r="G22" s="4">
        <v>1450000</v>
      </c>
      <c r="H22" s="4">
        <v>1360550.43</v>
      </c>
      <c r="I22" s="4"/>
      <c r="J22" s="4">
        <v>88263.37</v>
      </c>
      <c r="K22" s="4">
        <f t="shared" si="4"/>
        <v>88263.37</v>
      </c>
      <c r="L22" s="4">
        <f t="shared" si="5"/>
        <v>1448813.7999999998</v>
      </c>
      <c r="M22" s="4">
        <f t="shared" si="14"/>
        <v>1186.2000000001863</v>
      </c>
      <c r="N22" s="4"/>
      <c r="O22" s="4">
        <f t="shared" si="15"/>
        <v>0</v>
      </c>
      <c r="P22" s="4">
        <f t="shared" si="16"/>
        <v>1186.2000000001863</v>
      </c>
      <c r="Q22" s="4"/>
      <c r="R22" s="4"/>
      <c r="S22" s="4">
        <f t="shared" si="1"/>
        <v>0</v>
      </c>
      <c r="T22" s="4">
        <f t="shared" si="6"/>
        <v>0</v>
      </c>
      <c r="U22" s="4">
        <f t="shared" si="2"/>
        <v>0</v>
      </c>
      <c r="V22" s="4"/>
      <c r="W22" s="4">
        <f t="shared" si="13"/>
        <v>0</v>
      </c>
      <c r="X22" s="4"/>
      <c r="Y22" s="4"/>
      <c r="Z22" s="3"/>
      <c r="AA22" s="123">
        <v>810000</v>
      </c>
      <c r="AB22" s="4"/>
      <c r="AC22" s="4"/>
      <c r="AD22" s="4"/>
      <c r="AE22" s="4"/>
      <c r="AF22" s="4"/>
      <c r="AG22" s="4"/>
      <c r="AH22" s="4"/>
      <c r="AI22" s="4"/>
      <c r="AJ22" s="4"/>
      <c r="AK22" s="4">
        <f t="shared" si="7"/>
        <v>0</v>
      </c>
      <c r="AL22" s="4"/>
      <c r="AM22" s="4">
        <f t="shared" si="8"/>
        <v>0</v>
      </c>
      <c r="AN22" s="4">
        <f t="shared" si="9"/>
        <v>0</v>
      </c>
      <c r="AO22" s="4"/>
      <c r="AP22" s="4">
        <f t="shared" si="10"/>
        <v>0</v>
      </c>
      <c r="AQ22" s="4"/>
      <c r="AR22" s="4"/>
      <c r="AS22" s="4"/>
      <c r="AT22" s="4"/>
      <c r="AU22" s="4">
        <f t="shared" si="11"/>
        <v>0</v>
      </c>
      <c r="AV22" s="4"/>
      <c r="AW22" s="3"/>
      <c r="AX22" s="4"/>
      <c r="AY22" s="4"/>
      <c r="AZ22" s="4">
        <f t="shared" si="12"/>
        <v>0</v>
      </c>
      <c r="BA22" s="4"/>
      <c r="BB22" s="4"/>
      <c r="BC22" s="4"/>
    </row>
    <row r="23" spans="1:55" s="5" customFormat="1">
      <c r="A23" s="3">
        <f t="shared" si="3"/>
        <v>17</v>
      </c>
      <c r="B23" s="3">
        <v>1483</v>
      </c>
      <c r="C23" s="3" t="s">
        <v>79</v>
      </c>
      <c r="D23" s="4">
        <f>2700000</f>
        <v>2700000</v>
      </c>
      <c r="E23" s="4">
        <v>2700000</v>
      </c>
      <c r="F23" s="4">
        <f t="shared" si="0"/>
        <v>0</v>
      </c>
      <c r="G23" s="4">
        <v>1500000</v>
      </c>
      <c r="H23" s="4">
        <v>1436402</v>
      </c>
      <c r="I23" s="4"/>
      <c r="J23" s="4">
        <v>57683.9</v>
      </c>
      <c r="K23" s="4">
        <f t="shared" si="4"/>
        <v>57683.9</v>
      </c>
      <c r="L23" s="4">
        <f t="shared" si="5"/>
        <v>1494085.9</v>
      </c>
      <c r="M23" s="4">
        <f t="shared" si="14"/>
        <v>5914.1000000000931</v>
      </c>
      <c r="N23" s="4">
        <v>300000</v>
      </c>
      <c r="O23" s="4">
        <f t="shared" si="15"/>
        <v>900000</v>
      </c>
      <c r="P23" s="4">
        <f t="shared" si="16"/>
        <v>5914.1000000000931</v>
      </c>
      <c r="Q23" s="4"/>
      <c r="R23" s="4"/>
      <c r="S23" s="4">
        <f t="shared" si="1"/>
        <v>0</v>
      </c>
      <c r="T23" s="4">
        <f t="shared" si="6"/>
        <v>0</v>
      </c>
      <c r="U23" s="4">
        <f t="shared" si="2"/>
        <v>300000</v>
      </c>
      <c r="V23" s="4"/>
      <c r="W23" s="4">
        <f t="shared" si="13"/>
        <v>300000</v>
      </c>
      <c r="X23" s="4"/>
      <c r="Y23" s="4"/>
      <c r="Z23" s="3"/>
      <c r="AA23" s="123">
        <v>812000</v>
      </c>
      <c r="AB23" s="4"/>
      <c r="AC23" s="4"/>
      <c r="AD23" s="4">
        <v>150000</v>
      </c>
      <c r="AE23" s="4"/>
      <c r="AF23" s="4">
        <v>150000</v>
      </c>
      <c r="AG23" s="4"/>
      <c r="AH23" s="4"/>
      <c r="AI23" s="4"/>
      <c r="AJ23" s="4"/>
      <c r="AK23" s="4">
        <f t="shared" si="7"/>
        <v>300000</v>
      </c>
      <c r="AL23" s="4"/>
      <c r="AM23" s="4">
        <f t="shared" si="8"/>
        <v>300000</v>
      </c>
      <c r="AN23" s="4">
        <f t="shared" si="9"/>
        <v>0</v>
      </c>
      <c r="AO23" s="4"/>
      <c r="AP23" s="4">
        <f t="shared" si="10"/>
        <v>300000</v>
      </c>
      <c r="AQ23" s="4"/>
      <c r="AR23" s="4"/>
      <c r="AS23" s="4"/>
      <c r="AT23" s="4"/>
      <c r="AU23" s="4">
        <f t="shared" si="11"/>
        <v>0</v>
      </c>
      <c r="AV23" s="4"/>
      <c r="AW23" s="3"/>
      <c r="AX23" s="4"/>
      <c r="AY23" s="4"/>
      <c r="AZ23" s="4">
        <f t="shared" si="12"/>
        <v>0</v>
      </c>
      <c r="BA23" s="4"/>
      <c r="BB23" s="4"/>
      <c r="BC23" s="4"/>
    </row>
    <row r="24" spans="1:55" s="5" customFormat="1">
      <c r="A24" s="3">
        <f t="shared" si="3"/>
        <v>18</v>
      </c>
      <c r="B24" s="244">
        <v>1485</v>
      </c>
      <c r="C24" s="244" t="s">
        <v>1006</v>
      </c>
      <c r="D24" s="4">
        <v>1400000</v>
      </c>
      <c r="E24" s="4">
        <v>1400000</v>
      </c>
      <c r="F24" s="4">
        <f t="shared" si="0"/>
        <v>0</v>
      </c>
      <c r="G24" s="4">
        <v>1400000</v>
      </c>
      <c r="H24" s="4">
        <v>1275862.6599999999</v>
      </c>
      <c r="I24" s="4"/>
      <c r="J24" s="4"/>
      <c r="K24" s="4">
        <f t="shared" si="4"/>
        <v>0</v>
      </c>
      <c r="L24" s="4">
        <f t="shared" si="5"/>
        <v>1275862.6599999999</v>
      </c>
      <c r="M24" s="4">
        <f>P24+S24</f>
        <v>124137.34000000008</v>
      </c>
      <c r="N24" s="4"/>
      <c r="O24" s="4">
        <f>D24-L24-M24-N24</f>
        <v>0</v>
      </c>
      <c r="P24" s="4">
        <f>G24-L24</f>
        <v>124137.34000000008</v>
      </c>
      <c r="Q24" s="4"/>
      <c r="R24" s="4"/>
      <c r="S24" s="4">
        <f t="shared" si="1"/>
        <v>0</v>
      </c>
      <c r="T24" s="4">
        <f t="shared" si="6"/>
        <v>0</v>
      </c>
      <c r="U24" s="4">
        <f t="shared" si="2"/>
        <v>0</v>
      </c>
      <c r="V24" s="4"/>
      <c r="W24" s="4">
        <f t="shared" si="13"/>
        <v>0</v>
      </c>
      <c r="X24" s="4"/>
      <c r="Y24" s="4"/>
      <c r="Z24" s="3"/>
      <c r="AA24" s="123">
        <v>742000</v>
      </c>
      <c r="AB24" s="4"/>
      <c r="AC24" s="4"/>
      <c r="AD24" s="4"/>
      <c r="AE24" s="4"/>
      <c r="AF24" s="4"/>
      <c r="AG24" s="4"/>
      <c r="AH24" s="4"/>
      <c r="AI24" s="4"/>
      <c r="AJ24" s="4"/>
      <c r="AK24" s="4">
        <f t="shared" si="7"/>
        <v>0</v>
      </c>
      <c r="AL24" s="4"/>
      <c r="AM24" s="4">
        <f t="shared" si="8"/>
        <v>0</v>
      </c>
      <c r="AN24" s="4">
        <f t="shared" si="9"/>
        <v>0</v>
      </c>
      <c r="AO24" s="4"/>
      <c r="AP24" s="4">
        <f t="shared" si="10"/>
        <v>0</v>
      </c>
      <c r="AQ24" s="4"/>
      <c r="AR24" s="4"/>
      <c r="AS24" s="4"/>
      <c r="AT24" s="4"/>
      <c r="AU24" s="4">
        <f t="shared" si="11"/>
        <v>0</v>
      </c>
      <c r="AV24" s="4"/>
      <c r="AW24" s="3"/>
      <c r="AX24" s="4"/>
      <c r="AY24" s="4"/>
      <c r="AZ24" s="4">
        <f t="shared" si="12"/>
        <v>0</v>
      </c>
      <c r="BA24" s="4"/>
      <c r="BB24" s="4"/>
      <c r="BC24" s="4"/>
    </row>
    <row r="25" spans="1:55" s="5" customFormat="1">
      <c r="A25" s="3">
        <f t="shared" si="3"/>
        <v>19</v>
      </c>
      <c r="B25" s="3">
        <v>1489</v>
      </c>
      <c r="C25" s="3" t="s">
        <v>844</v>
      </c>
      <c r="D25" s="4">
        <v>46200000</v>
      </c>
      <c r="E25" s="4">
        <v>46200000</v>
      </c>
      <c r="F25" s="4">
        <f t="shared" si="0"/>
        <v>0</v>
      </c>
      <c r="G25" s="4">
        <f>27550000+1950000</f>
        <v>29500000</v>
      </c>
      <c r="H25" s="4">
        <v>26174322.010000002</v>
      </c>
      <c r="I25" s="4"/>
      <c r="J25" s="4">
        <v>3099914.6</v>
      </c>
      <c r="K25" s="4">
        <f t="shared" si="4"/>
        <v>3099914.6</v>
      </c>
      <c r="L25" s="4">
        <f t="shared" si="5"/>
        <v>29274236.610000003</v>
      </c>
      <c r="M25" s="4">
        <f t="shared" si="14"/>
        <v>225763.38999999687</v>
      </c>
      <c r="N25" s="4">
        <v>4000000</v>
      </c>
      <c r="O25" s="4">
        <f t="shared" si="15"/>
        <v>12700000</v>
      </c>
      <c r="P25" s="4">
        <f t="shared" si="16"/>
        <v>225763.38999999687</v>
      </c>
      <c r="Q25" s="4"/>
      <c r="R25" s="4"/>
      <c r="S25" s="4">
        <f t="shared" si="1"/>
        <v>0</v>
      </c>
      <c r="T25" s="4">
        <f t="shared" si="6"/>
        <v>0</v>
      </c>
      <c r="U25" s="4">
        <f t="shared" si="2"/>
        <v>4000000</v>
      </c>
      <c r="V25" s="4">
        <v>2000000</v>
      </c>
      <c r="W25" s="4">
        <f t="shared" si="13"/>
        <v>2000000</v>
      </c>
      <c r="X25" s="4"/>
      <c r="Y25" s="4"/>
      <c r="Z25" s="3"/>
      <c r="AA25" s="123">
        <v>742000</v>
      </c>
      <c r="AB25" s="4"/>
      <c r="AC25" s="4">
        <v>2500000</v>
      </c>
      <c r="AD25" s="4">
        <v>1500000</v>
      </c>
      <c r="AE25" s="4"/>
      <c r="AF25" s="4"/>
      <c r="AG25" s="4"/>
      <c r="AH25" s="4"/>
      <c r="AI25" s="4"/>
      <c r="AJ25" s="4"/>
      <c r="AK25" s="4">
        <f t="shared" si="7"/>
        <v>4000000</v>
      </c>
      <c r="AL25" s="4"/>
      <c r="AM25" s="4">
        <f t="shared" si="8"/>
        <v>4000000</v>
      </c>
      <c r="AN25" s="4">
        <f t="shared" si="9"/>
        <v>0</v>
      </c>
      <c r="AO25" s="4">
        <v>2000000</v>
      </c>
      <c r="AP25" s="4">
        <f t="shared" si="10"/>
        <v>2000000</v>
      </c>
      <c r="AQ25" s="4"/>
      <c r="AR25" s="4"/>
      <c r="AS25" s="4"/>
      <c r="AT25" s="4"/>
      <c r="AU25" s="4">
        <f t="shared" si="11"/>
        <v>0</v>
      </c>
      <c r="AV25" s="4"/>
      <c r="AW25" s="3"/>
      <c r="AX25" s="4"/>
      <c r="AY25" s="4"/>
      <c r="AZ25" s="4">
        <f t="shared" si="12"/>
        <v>0</v>
      </c>
      <c r="BA25" s="4"/>
      <c r="BB25" s="4"/>
      <c r="BC25" s="4"/>
    </row>
    <row r="26" spans="1:55" s="5" customFormat="1">
      <c r="A26" s="3">
        <f t="shared" si="3"/>
        <v>20</v>
      </c>
      <c r="B26" s="3">
        <v>1560</v>
      </c>
      <c r="C26" s="3" t="s">
        <v>81</v>
      </c>
      <c r="D26" s="4">
        <v>3660000</v>
      </c>
      <c r="E26" s="4">
        <v>3660000</v>
      </c>
      <c r="F26" s="4">
        <f t="shared" si="0"/>
        <v>0</v>
      </c>
      <c r="G26" s="4">
        <v>2860000</v>
      </c>
      <c r="H26" s="4">
        <v>1941360.76</v>
      </c>
      <c r="I26" s="4">
        <v>495495</v>
      </c>
      <c r="J26" s="4">
        <v>323251</v>
      </c>
      <c r="K26" s="4">
        <f t="shared" si="4"/>
        <v>818746</v>
      </c>
      <c r="L26" s="4">
        <f t="shared" si="5"/>
        <v>2760106.76</v>
      </c>
      <c r="M26" s="4">
        <f t="shared" si="14"/>
        <v>99893.240000000224</v>
      </c>
      <c r="N26" s="4">
        <v>400000</v>
      </c>
      <c r="O26" s="4">
        <f t="shared" si="15"/>
        <v>400000</v>
      </c>
      <c r="P26" s="4">
        <f t="shared" si="16"/>
        <v>99893.240000000224</v>
      </c>
      <c r="Q26" s="4"/>
      <c r="R26" s="4"/>
      <c r="S26" s="4">
        <f t="shared" si="1"/>
        <v>0</v>
      </c>
      <c r="T26" s="4">
        <f t="shared" si="6"/>
        <v>0</v>
      </c>
      <c r="U26" s="4">
        <f t="shared" si="2"/>
        <v>400000</v>
      </c>
      <c r="V26" s="4"/>
      <c r="W26" s="4">
        <f t="shared" si="13"/>
        <v>400000</v>
      </c>
      <c r="X26" s="4"/>
      <c r="Y26" s="4"/>
      <c r="Z26" s="3"/>
      <c r="AA26" s="123">
        <v>746000</v>
      </c>
      <c r="AB26" s="4"/>
      <c r="AC26" s="4">
        <v>200000</v>
      </c>
      <c r="AD26" s="4">
        <v>50000</v>
      </c>
      <c r="AE26" s="4"/>
      <c r="AF26" s="4"/>
      <c r="AG26" s="4">
        <v>150000</v>
      </c>
      <c r="AH26" s="4"/>
      <c r="AI26" s="4"/>
      <c r="AJ26" s="4"/>
      <c r="AK26" s="4">
        <f t="shared" si="7"/>
        <v>400000</v>
      </c>
      <c r="AL26" s="4"/>
      <c r="AM26" s="4">
        <f t="shared" si="8"/>
        <v>400000</v>
      </c>
      <c r="AN26" s="4">
        <f t="shared" si="9"/>
        <v>0</v>
      </c>
      <c r="AO26" s="4"/>
      <c r="AP26" s="4">
        <f t="shared" si="10"/>
        <v>400000</v>
      </c>
      <c r="AQ26" s="4"/>
      <c r="AR26" s="4"/>
      <c r="AS26" s="4"/>
      <c r="AT26" s="4"/>
      <c r="AU26" s="4">
        <f t="shared" si="11"/>
        <v>0</v>
      </c>
      <c r="AV26" s="4"/>
      <c r="AW26" s="3"/>
      <c r="AX26" s="4"/>
      <c r="AY26" s="4"/>
      <c r="AZ26" s="4">
        <f t="shared" si="12"/>
        <v>0</v>
      </c>
      <c r="BA26" s="4"/>
      <c r="BB26" s="4"/>
      <c r="BC26" s="4"/>
    </row>
    <row r="27" spans="1:55" s="5" customFormat="1" ht="28">
      <c r="A27" s="3">
        <f t="shared" si="3"/>
        <v>21</v>
      </c>
      <c r="B27" s="244">
        <v>1636</v>
      </c>
      <c r="C27" s="244" t="s">
        <v>945</v>
      </c>
      <c r="D27" s="4">
        <f>12450000-12200000</f>
        <v>250000</v>
      </c>
      <c r="E27" s="4">
        <v>12450000</v>
      </c>
      <c r="F27" s="4">
        <f t="shared" si="0"/>
        <v>-12200000</v>
      </c>
      <c r="G27" s="4">
        <v>250000</v>
      </c>
      <c r="H27" s="4">
        <v>203882</v>
      </c>
      <c r="I27" s="4"/>
      <c r="J27" s="4">
        <v>29662</v>
      </c>
      <c r="K27" s="4">
        <f t="shared" si="4"/>
        <v>29662</v>
      </c>
      <c r="L27" s="4">
        <f t="shared" si="5"/>
        <v>233544</v>
      </c>
      <c r="M27" s="4">
        <f t="shared" si="14"/>
        <v>16456</v>
      </c>
      <c r="N27" s="4"/>
      <c r="O27" s="4">
        <f t="shared" si="15"/>
        <v>0</v>
      </c>
      <c r="P27" s="4">
        <f t="shared" si="16"/>
        <v>16456</v>
      </c>
      <c r="Q27" s="4"/>
      <c r="R27" s="4"/>
      <c r="S27" s="4">
        <f t="shared" si="1"/>
        <v>0</v>
      </c>
      <c r="T27" s="4">
        <f t="shared" si="6"/>
        <v>0</v>
      </c>
      <c r="U27" s="4">
        <f t="shared" si="2"/>
        <v>0</v>
      </c>
      <c r="V27" s="4"/>
      <c r="W27" s="4">
        <f>U27-V27-Y27-Z27</f>
        <v>0</v>
      </c>
      <c r="X27" s="4"/>
      <c r="Y27" s="4"/>
      <c r="Z27" s="3"/>
      <c r="AA27" s="123">
        <v>870000</v>
      </c>
      <c r="AB27" s="4"/>
      <c r="AC27" s="4"/>
      <c r="AD27" s="4"/>
      <c r="AE27" s="4"/>
      <c r="AF27" s="4"/>
      <c r="AG27" s="4"/>
      <c r="AH27" s="4"/>
      <c r="AI27" s="4"/>
      <c r="AJ27" s="4"/>
      <c r="AK27" s="4">
        <f t="shared" si="7"/>
        <v>0</v>
      </c>
      <c r="AL27" s="4"/>
      <c r="AM27" s="4">
        <f t="shared" si="8"/>
        <v>0</v>
      </c>
      <c r="AN27" s="4">
        <f t="shared" si="9"/>
        <v>0</v>
      </c>
      <c r="AO27" s="4"/>
      <c r="AP27" s="4">
        <f t="shared" si="10"/>
        <v>0</v>
      </c>
      <c r="AQ27" s="4"/>
      <c r="AR27" s="4"/>
      <c r="AS27" s="4"/>
      <c r="AT27" s="4"/>
      <c r="AU27" s="4">
        <f t="shared" si="11"/>
        <v>0</v>
      </c>
      <c r="AV27" s="4"/>
      <c r="AW27" s="3"/>
      <c r="AX27" s="4"/>
      <c r="AY27" s="4"/>
      <c r="AZ27" s="4">
        <f t="shared" si="12"/>
        <v>0</v>
      </c>
      <c r="BA27" s="4"/>
      <c r="BB27" s="4"/>
      <c r="BC27" s="4"/>
    </row>
    <row r="28" spans="1:55" s="5" customFormat="1">
      <c r="A28" s="3">
        <f t="shared" si="3"/>
        <v>22</v>
      </c>
      <c r="B28" s="3">
        <v>1662</v>
      </c>
      <c r="C28" s="3" t="s">
        <v>230</v>
      </c>
      <c r="D28" s="4">
        <v>815000</v>
      </c>
      <c r="E28" s="4">
        <v>525000</v>
      </c>
      <c r="F28" s="4">
        <f t="shared" si="0"/>
        <v>290000</v>
      </c>
      <c r="G28" s="4">
        <v>425000</v>
      </c>
      <c r="H28" s="4">
        <v>17032.57</v>
      </c>
      <c r="I28" s="4"/>
      <c r="J28" s="4">
        <v>179315</v>
      </c>
      <c r="K28" s="4">
        <f t="shared" si="4"/>
        <v>179315</v>
      </c>
      <c r="L28" s="4">
        <f t="shared" si="5"/>
        <v>196347.57</v>
      </c>
      <c r="M28" s="4">
        <f t="shared" si="14"/>
        <v>228652.43</v>
      </c>
      <c r="N28" s="4">
        <v>390000</v>
      </c>
      <c r="O28" s="4">
        <f t="shared" si="15"/>
        <v>0</v>
      </c>
      <c r="P28" s="4">
        <f t="shared" si="16"/>
        <v>228652.43</v>
      </c>
      <c r="Q28" s="4"/>
      <c r="R28" s="4"/>
      <c r="S28" s="4">
        <f t="shared" si="1"/>
        <v>0</v>
      </c>
      <c r="T28" s="4">
        <f t="shared" si="6"/>
        <v>0</v>
      </c>
      <c r="U28" s="4">
        <f t="shared" si="2"/>
        <v>390000</v>
      </c>
      <c r="V28" s="4"/>
      <c r="W28" s="4">
        <f t="shared" si="13"/>
        <v>390000</v>
      </c>
      <c r="X28" s="4"/>
      <c r="Y28" s="4"/>
      <c r="Z28" s="3"/>
      <c r="AA28" s="123">
        <v>870000</v>
      </c>
      <c r="AB28" s="4"/>
      <c r="AC28" s="4"/>
      <c r="AD28" s="4"/>
      <c r="AE28" s="4"/>
      <c r="AF28" s="4"/>
      <c r="AG28" s="4"/>
      <c r="AH28" s="4"/>
      <c r="AI28" s="4"/>
      <c r="AJ28" s="4">
        <v>390000</v>
      </c>
      <c r="AK28" s="4">
        <f t="shared" si="7"/>
        <v>390000</v>
      </c>
      <c r="AL28" s="4"/>
      <c r="AM28" s="4">
        <f t="shared" si="8"/>
        <v>390000</v>
      </c>
      <c r="AN28" s="4">
        <f t="shared" si="9"/>
        <v>0</v>
      </c>
      <c r="AO28" s="4"/>
      <c r="AP28" s="4">
        <f t="shared" si="10"/>
        <v>390000</v>
      </c>
      <c r="AQ28" s="4"/>
      <c r="AR28" s="4"/>
      <c r="AS28" s="4"/>
      <c r="AT28" s="4"/>
      <c r="AU28" s="4">
        <f t="shared" si="11"/>
        <v>0</v>
      </c>
      <c r="AV28" s="4"/>
      <c r="AW28" s="3"/>
      <c r="AX28" s="4"/>
      <c r="AY28" s="4"/>
      <c r="AZ28" s="4">
        <f t="shared" si="12"/>
        <v>0</v>
      </c>
      <c r="BA28" s="4"/>
      <c r="BB28" s="4"/>
      <c r="BC28" s="4"/>
    </row>
    <row r="29" spans="1:55" s="5" customFormat="1">
      <c r="A29" s="3">
        <f t="shared" si="3"/>
        <v>23</v>
      </c>
      <c r="B29" s="3">
        <v>1676</v>
      </c>
      <c r="C29" s="3" t="s">
        <v>292</v>
      </c>
      <c r="D29" s="4">
        <v>43215000</v>
      </c>
      <c r="E29" s="4">
        <v>43215000</v>
      </c>
      <c r="F29" s="4">
        <f t="shared" si="0"/>
        <v>0</v>
      </c>
      <c r="G29" s="4">
        <v>43215000</v>
      </c>
      <c r="H29" s="4">
        <v>42364741</v>
      </c>
      <c r="I29" s="4">
        <v>209870.43</v>
      </c>
      <c r="J29" s="4"/>
      <c r="K29" s="4">
        <f t="shared" si="4"/>
        <v>209870.43</v>
      </c>
      <c r="L29" s="4">
        <f t="shared" si="5"/>
        <v>42574611.43</v>
      </c>
      <c r="M29" s="4">
        <f t="shared" si="14"/>
        <v>640388.5700000003</v>
      </c>
      <c r="N29" s="4"/>
      <c r="O29" s="4">
        <f t="shared" si="15"/>
        <v>0</v>
      </c>
      <c r="P29" s="4">
        <f t="shared" si="16"/>
        <v>640388.5700000003</v>
      </c>
      <c r="Q29" s="4"/>
      <c r="R29" s="4"/>
      <c r="S29" s="4">
        <f t="shared" si="1"/>
        <v>0</v>
      </c>
      <c r="T29" s="4">
        <f t="shared" si="6"/>
        <v>0</v>
      </c>
      <c r="U29" s="4">
        <f t="shared" si="2"/>
        <v>0</v>
      </c>
      <c r="V29" s="4"/>
      <c r="W29" s="4">
        <f t="shared" si="13"/>
        <v>0</v>
      </c>
      <c r="X29" s="4"/>
      <c r="Y29" s="4"/>
      <c r="Z29" s="3"/>
      <c r="AA29" s="123">
        <v>810000</v>
      </c>
      <c r="AB29" s="4"/>
      <c r="AC29" s="4"/>
      <c r="AD29" s="4"/>
      <c r="AE29" s="4"/>
      <c r="AF29" s="4"/>
      <c r="AG29" s="4"/>
      <c r="AH29" s="4"/>
      <c r="AI29" s="4"/>
      <c r="AJ29" s="4"/>
      <c r="AK29" s="4">
        <f t="shared" si="7"/>
        <v>0</v>
      </c>
      <c r="AL29" s="4"/>
      <c r="AM29" s="4">
        <f t="shared" si="8"/>
        <v>0</v>
      </c>
      <c r="AN29" s="4">
        <f t="shared" si="9"/>
        <v>0</v>
      </c>
      <c r="AO29" s="4"/>
      <c r="AP29" s="4">
        <f t="shared" si="10"/>
        <v>0</v>
      </c>
      <c r="AQ29" s="4"/>
      <c r="AR29" s="4"/>
      <c r="AS29" s="4"/>
      <c r="AT29" s="4"/>
      <c r="AU29" s="4">
        <f t="shared" si="11"/>
        <v>0</v>
      </c>
      <c r="AV29" s="4"/>
      <c r="AW29" s="3"/>
      <c r="AX29" s="4"/>
      <c r="AY29" s="4"/>
      <c r="AZ29" s="4">
        <f t="shared" si="12"/>
        <v>0</v>
      </c>
      <c r="BA29" s="4"/>
      <c r="BB29" s="4"/>
      <c r="BC29" s="4"/>
    </row>
    <row r="30" spans="1:55" s="5" customFormat="1">
      <c r="A30" s="3">
        <f t="shared" si="3"/>
        <v>24</v>
      </c>
      <c r="B30" s="3">
        <v>1677</v>
      </c>
      <c r="C30" s="3" t="s">
        <v>83</v>
      </c>
      <c r="D30" s="4">
        <v>19000000</v>
      </c>
      <c r="E30" s="4">
        <v>19000000</v>
      </c>
      <c r="F30" s="4">
        <f t="shared" si="0"/>
        <v>0</v>
      </c>
      <c r="G30" s="4">
        <v>19000000</v>
      </c>
      <c r="H30" s="4">
        <v>17457009.460000001</v>
      </c>
      <c r="I30" s="4">
        <v>397067.78</v>
      </c>
      <c r="J30" s="4">
        <v>1025254.45</v>
      </c>
      <c r="K30" s="4">
        <f t="shared" si="4"/>
        <v>1422322.23</v>
      </c>
      <c r="L30" s="4">
        <f t="shared" si="5"/>
        <v>18879331.690000001</v>
      </c>
      <c r="M30" s="4">
        <f t="shared" si="14"/>
        <v>120668.30999999866</v>
      </c>
      <c r="N30" s="4"/>
      <c r="O30" s="4">
        <f t="shared" si="15"/>
        <v>0</v>
      </c>
      <c r="P30" s="4">
        <f t="shared" si="16"/>
        <v>120668.30999999866</v>
      </c>
      <c r="Q30" s="4"/>
      <c r="R30" s="4"/>
      <c r="S30" s="4">
        <f t="shared" si="1"/>
        <v>0</v>
      </c>
      <c r="T30" s="4">
        <f t="shared" si="6"/>
        <v>0</v>
      </c>
      <c r="U30" s="4">
        <f t="shared" si="2"/>
        <v>0</v>
      </c>
      <c r="V30" s="4"/>
      <c r="W30" s="4">
        <f t="shared" si="13"/>
        <v>0</v>
      </c>
      <c r="X30" s="4"/>
      <c r="Y30" s="4"/>
      <c r="Z30" s="3"/>
      <c r="AA30" s="123">
        <v>810000</v>
      </c>
      <c r="AB30" s="4"/>
      <c r="AC30" s="4"/>
      <c r="AD30" s="4"/>
      <c r="AE30" s="4"/>
      <c r="AF30" s="4"/>
      <c r="AG30" s="4"/>
      <c r="AH30" s="4"/>
      <c r="AI30" s="4"/>
      <c r="AJ30" s="4"/>
      <c r="AK30" s="4">
        <f t="shared" si="7"/>
        <v>0</v>
      </c>
      <c r="AL30" s="4"/>
      <c r="AM30" s="4">
        <f t="shared" si="8"/>
        <v>0</v>
      </c>
      <c r="AN30" s="4">
        <f t="shared" si="9"/>
        <v>0</v>
      </c>
      <c r="AO30" s="4"/>
      <c r="AP30" s="4">
        <f t="shared" si="10"/>
        <v>0</v>
      </c>
      <c r="AQ30" s="4"/>
      <c r="AR30" s="4"/>
      <c r="AS30" s="4"/>
      <c r="AT30" s="4"/>
      <c r="AU30" s="4">
        <f t="shared" si="11"/>
        <v>0</v>
      </c>
      <c r="AV30" s="4"/>
      <c r="AW30" s="3"/>
      <c r="AX30" s="4"/>
      <c r="AY30" s="4"/>
      <c r="AZ30" s="4">
        <f t="shared" si="12"/>
        <v>0</v>
      </c>
      <c r="BA30" s="4"/>
      <c r="BB30" s="4"/>
      <c r="BC30" s="4"/>
    </row>
    <row r="31" spans="1:55" s="5" customFormat="1">
      <c r="A31" s="3">
        <f t="shared" si="3"/>
        <v>25</v>
      </c>
      <c r="B31" s="3">
        <v>1691</v>
      </c>
      <c r="C31" s="3" t="s">
        <v>293</v>
      </c>
      <c r="D31" s="4">
        <v>210000</v>
      </c>
      <c r="E31" s="4">
        <v>210000</v>
      </c>
      <c r="F31" s="4">
        <f t="shared" si="0"/>
        <v>0</v>
      </c>
      <c r="G31" s="4">
        <v>210000</v>
      </c>
      <c r="H31" s="4">
        <v>184253.53</v>
      </c>
      <c r="I31" s="4"/>
      <c r="J31" s="4"/>
      <c r="K31" s="4">
        <f t="shared" si="4"/>
        <v>0</v>
      </c>
      <c r="L31" s="4">
        <f t="shared" si="5"/>
        <v>184253.53</v>
      </c>
      <c r="M31" s="4">
        <f t="shared" si="14"/>
        <v>25746.47</v>
      </c>
      <c r="N31" s="4"/>
      <c r="O31" s="4">
        <f t="shared" si="15"/>
        <v>0</v>
      </c>
      <c r="P31" s="4">
        <f t="shared" si="16"/>
        <v>25746.47</v>
      </c>
      <c r="Q31" s="4"/>
      <c r="R31" s="4"/>
      <c r="S31" s="4">
        <f t="shared" si="1"/>
        <v>0</v>
      </c>
      <c r="T31" s="4">
        <f t="shared" si="6"/>
        <v>0</v>
      </c>
      <c r="U31" s="4">
        <f t="shared" si="2"/>
        <v>0</v>
      </c>
      <c r="V31" s="4"/>
      <c r="W31" s="4">
        <f>U31-V31-Y31-Z31</f>
        <v>0</v>
      </c>
      <c r="X31" s="4"/>
      <c r="Y31" s="4"/>
      <c r="Z31" s="3"/>
      <c r="AA31" s="123">
        <v>810000</v>
      </c>
      <c r="AB31" s="4"/>
      <c r="AC31" s="4"/>
      <c r="AD31" s="4"/>
      <c r="AE31" s="4"/>
      <c r="AF31" s="4"/>
      <c r="AG31" s="4"/>
      <c r="AH31" s="4"/>
      <c r="AI31" s="4"/>
      <c r="AJ31" s="4"/>
      <c r="AK31" s="4">
        <f t="shared" si="7"/>
        <v>0</v>
      </c>
      <c r="AL31" s="4"/>
      <c r="AM31" s="4">
        <f t="shared" si="8"/>
        <v>0</v>
      </c>
      <c r="AN31" s="4">
        <f t="shared" si="9"/>
        <v>0</v>
      </c>
      <c r="AO31" s="4"/>
      <c r="AP31" s="4">
        <f t="shared" si="10"/>
        <v>0</v>
      </c>
      <c r="AQ31" s="4"/>
      <c r="AR31" s="4"/>
      <c r="AS31" s="4"/>
      <c r="AT31" s="4"/>
      <c r="AU31" s="4">
        <f t="shared" si="11"/>
        <v>0</v>
      </c>
      <c r="AV31" s="4"/>
      <c r="AW31" s="3"/>
      <c r="AX31" s="4"/>
      <c r="AY31" s="4"/>
      <c r="AZ31" s="4">
        <f t="shared" si="12"/>
        <v>0</v>
      </c>
      <c r="BA31" s="4"/>
      <c r="BB31" s="4"/>
      <c r="BC31" s="4"/>
    </row>
    <row r="32" spans="1:55" s="5" customFormat="1">
      <c r="A32" s="3">
        <f t="shared" si="3"/>
        <v>26</v>
      </c>
      <c r="B32" s="3">
        <v>1711</v>
      </c>
      <c r="C32" s="3" t="s">
        <v>85</v>
      </c>
      <c r="D32" s="4">
        <f>425000+100000</f>
        <v>525000</v>
      </c>
      <c r="E32" s="4">
        <v>425000</v>
      </c>
      <c r="F32" s="4">
        <f t="shared" si="0"/>
        <v>100000</v>
      </c>
      <c r="G32" s="4">
        <v>425000</v>
      </c>
      <c r="H32" s="4">
        <v>244847</v>
      </c>
      <c r="I32" s="4"/>
      <c r="J32" s="4">
        <v>94191</v>
      </c>
      <c r="K32" s="4">
        <f t="shared" si="4"/>
        <v>94191</v>
      </c>
      <c r="L32" s="4">
        <f t="shared" si="5"/>
        <v>339038</v>
      </c>
      <c r="M32" s="4">
        <f t="shared" si="14"/>
        <v>85962</v>
      </c>
      <c r="N32" s="4">
        <v>100000</v>
      </c>
      <c r="O32" s="4">
        <f t="shared" si="15"/>
        <v>0</v>
      </c>
      <c r="P32" s="4">
        <f t="shared" si="16"/>
        <v>85962</v>
      </c>
      <c r="Q32" s="4"/>
      <c r="R32" s="4"/>
      <c r="S32" s="4">
        <f t="shared" si="1"/>
        <v>0</v>
      </c>
      <c r="T32" s="4">
        <f t="shared" si="6"/>
        <v>0</v>
      </c>
      <c r="U32" s="4">
        <f t="shared" si="2"/>
        <v>100000</v>
      </c>
      <c r="V32" s="4">
        <v>50000</v>
      </c>
      <c r="W32" s="4">
        <f t="shared" si="13"/>
        <v>50000</v>
      </c>
      <c r="X32" s="4"/>
      <c r="Y32" s="4"/>
      <c r="Z32" s="3"/>
      <c r="AA32" s="123">
        <v>810000</v>
      </c>
      <c r="AB32" s="4"/>
      <c r="AC32" s="4"/>
      <c r="AD32" s="4"/>
      <c r="AE32" s="4"/>
      <c r="AF32" s="4"/>
      <c r="AG32" s="4"/>
      <c r="AH32" s="4"/>
      <c r="AI32" s="4"/>
      <c r="AJ32" s="4"/>
      <c r="AK32" s="4">
        <f t="shared" si="7"/>
        <v>0</v>
      </c>
      <c r="AL32" s="4"/>
      <c r="AM32" s="4">
        <f t="shared" si="8"/>
        <v>0</v>
      </c>
      <c r="AN32" s="4">
        <f t="shared" si="9"/>
        <v>100000</v>
      </c>
      <c r="AO32" s="4"/>
      <c r="AP32" s="4">
        <f t="shared" si="10"/>
        <v>0</v>
      </c>
      <c r="AQ32" s="4"/>
      <c r="AR32" s="4"/>
      <c r="AS32" s="4"/>
      <c r="AT32" s="4"/>
      <c r="AU32" s="4">
        <f t="shared" si="11"/>
        <v>0</v>
      </c>
      <c r="AV32" s="4"/>
      <c r="AW32" s="3"/>
      <c r="AX32" s="4"/>
      <c r="AY32" s="4">
        <v>50000</v>
      </c>
      <c r="AZ32" s="4">
        <f t="shared" si="12"/>
        <v>50000</v>
      </c>
      <c r="BA32" s="4"/>
      <c r="BB32" s="4"/>
      <c r="BC32" s="4"/>
    </row>
    <row r="33" spans="1:55" s="5" customFormat="1">
      <c r="A33" s="3">
        <f t="shared" si="3"/>
        <v>27</v>
      </c>
      <c r="B33" s="244">
        <v>1767</v>
      </c>
      <c r="C33" s="244" t="s">
        <v>946</v>
      </c>
      <c r="D33" s="4">
        <v>1300000</v>
      </c>
      <c r="E33" s="4">
        <v>1300000</v>
      </c>
      <c r="F33" s="4">
        <f t="shared" si="0"/>
        <v>0</v>
      </c>
      <c r="G33" s="4">
        <v>1300000</v>
      </c>
      <c r="H33" s="4">
        <v>1075110.06</v>
      </c>
      <c r="I33" s="4"/>
      <c r="J33" s="4">
        <v>224000</v>
      </c>
      <c r="K33" s="4">
        <f t="shared" si="4"/>
        <v>224000</v>
      </c>
      <c r="L33" s="4">
        <f t="shared" si="5"/>
        <v>1299110.06</v>
      </c>
      <c r="M33" s="4">
        <f t="shared" si="14"/>
        <v>889.93999999994412</v>
      </c>
      <c r="N33" s="4"/>
      <c r="O33" s="4">
        <f t="shared" si="15"/>
        <v>0</v>
      </c>
      <c r="P33" s="4">
        <f t="shared" si="16"/>
        <v>889.93999999994412</v>
      </c>
      <c r="Q33" s="4"/>
      <c r="R33" s="4"/>
      <c r="S33" s="4">
        <f t="shared" si="1"/>
        <v>0</v>
      </c>
      <c r="T33" s="4">
        <f t="shared" si="6"/>
        <v>0</v>
      </c>
      <c r="U33" s="4">
        <f t="shared" si="2"/>
        <v>0</v>
      </c>
      <c r="V33" s="4"/>
      <c r="W33" s="4">
        <f t="shared" si="13"/>
        <v>0</v>
      </c>
      <c r="X33" s="4"/>
      <c r="Y33" s="4"/>
      <c r="Z33" s="3"/>
      <c r="AA33" s="123">
        <v>810000</v>
      </c>
      <c r="AB33" s="4"/>
      <c r="AC33" s="4"/>
      <c r="AD33" s="4"/>
      <c r="AE33" s="4"/>
      <c r="AF33" s="4"/>
      <c r="AG33" s="4"/>
      <c r="AH33" s="4"/>
      <c r="AI33" s="4"/>
      <c r="AJ33" s="4"/>
      <c r="AK33" s="4">
        <f t="shared" si="7"/>
        <v>0</v>
      </c>
      <c r="AL33" s="4"/>
      <c r="AM33" s="4">
        <f t="shared" si="8"/>
        <v>0</v>
      </c>
      <c r="AN33" s="4">
        <f t="shared" si="9"/>
        <v>0</v>
      </c>
      <c r="AO33" s="4"/>
      <c r="AP33" s="4">
        <f t="shared" si="10"/>
        <v>0</v>
      </c>
      <c r="AQ33" s="4"/>
      <c r="AR33" s="4"/>
      <c r="AS33" s="4"/>
      <c r="AT33" s="4"/>
      <c r="AU33" s="4">
        <f t="shared" si="11"/>
        <v>0</v>
      </c>
      <c r="AV33" s="4"/>
      <c r="AW33" s="3"/>
      <c r="AX33" s="4"/>
      <c r="AY33" s="4"/>
      <c r="AZ33" s="4">
        <f t="shared" si="12"/>
        <v>0</v>
      </c>
      <c r="BA33" s="4"/>
      <c r="BB33" s="4"/>
      <c r="BC33" s="4"/>
    </row>
    <row r="34" spans="1:55" s="5" customFormat="1">
      <c r="A34" s="3">
        <f t="shared" si="3"/>
        <v>28</v>
      </c>
      <c r="B34" s="3">
        <v>1769</v>
      </c>
      <c r="C34" s="3" t="s">
        <v>86</v>
      </c>
      <c r="D34" s="4">
        <v>4870000</v>
      </c>
      <c r="E34" s="4">
        <v>4870000</v>
      </c>
      <c r="F34" s="4">
        <f t="shared" si="0"/>
        <v>0</v>
      </c>
      <c r="G34" s="4">
        <v>4870000</v>
      </c>
      <c r="H34" s="4">
        <v>4649992.74</v>
      </c>
      <c r="I34" s="4">
        <v>183763.5</v>
      </c>
      <c r="J34" s="4"/>
      <c r="K34" s="4">
        <f t="shared" si="4"/>
        <v>183763.5</v>
      </c>
      <c r="L34" s="4">
        <f t="shared" si="5"/>
        <v>4833756.24</v>
      </c>
      <c r="M34" s="4">
        <f t="shared" si="14"/>
        <v>36243.759999999776</v>
      </c>
      <c r="N34" s="4"/>
      <c r="O34" s="4">
        <f t="shared" si="15"/>
        <v>0</v>
      </c>
      <c r="P34" s="4">
        <f t="shared" si="16"/>
        <v>36243.759999999776</v>
      </c>
      <c r="Q34" s="4"/>
      <c r="R34" s="4"/>
      <c r="S34" s="4">
        <f t="shared" si="1"/>
        <v>0</v>
      </c>
      <c r="T34" s="4">
        <f t="shared" si="6"/>
        <v>0</v>
      </c>
      <c r="U34" s="4">
        <f t="shared" si="2"/>
        <v>0</v>
      </c>
      <c r="V34" s="4"/>
      <c r="W34" s="4">
        <f t="shared" si="13"/>
        <v>0</v>
      </c>
      <c r="X34" s="4"/>
      <c r="Y34" s="4"/>
      <c r="Z34" s="3"/>
      <c r="AA34" s="123">
        <v>810000</v>
      </c>
      <c r="AB34" s="4"/>
      <c r="AC34" s="4"/>
      <c r="AD34" s="4"/>
      <c r="AE34" s="4"/>
      <c r="AF34" s="4"/>
      <c r="AG34" s="4"/>
      <c r="AH34" s="4"/>
      <c r="AI34" s="4"/>
      <c r="AJ34" s="4"/>
      <c r="AK34" s="4">
        <f t="shared" si="7"/>
        <v>0</v>
      </c>
      <c r="AL34" s="4"/>
      <c r="AM34" s="4">
        <f t="shared" si="8"/>
        <v>0</v>
      </c>
      <c r="AN34" s="4">
        <f t="shared" si="9"/>
        <v>0</v>
      </c>
      <c r="AO34" s="4"/>
      <c r="AP34" s="4">
        <f t="shared" si="10"/>
        <v>0</v>
      </c>
      <c r="AQ34" s="4"/>
      <c r="AR34" s="4"/>
      <c r="AS34" s="4"/>
      <c r="AT34" s="4"/>
      <c r="AU34" s="4">
        <f t="shared" si="11"/>
        <v>0</v>
      </c>
      <c r="AV34" s="4"/>
      <c r="AW34" s="3"/>
      <c r="AX34" s="4"/>
      <c r="AY34" s="4"/>
      <c r="AZ34" s="4">
        <f t="shared" si="12"/>
        <v>0</v>
      </c>
      <c r="BA34" s="4"/>
      <c r="BB34" s="4"/>
      <c r="BC34" s="4"/>
    </row>
    <row r="35" spans="1:55" s="5" customFormat="1">
      <c r="A35" s="3">
        <f t="shared" si="3"/>
        <v>29</v>
      </c>
      <c r="B35" s="3">
        <v>1770</v>
      </c>
      <c r="C35" s="3" t="s">
        <v>265</v>
      </c>
      <c r="D35" s="4">
        <v>29752105</v>
      </c>
      <c r="E35" s="4">
        <v>29752105</v>
      </c>
      <c r="F35" s="4">
        <f t="shared" si="0"/>
        <v>0</v>
      </c>
      <c r="G35" s="4">
        <f>29520000+232105</f>
        <v>29752105</v>
      </c>
      <c r="H35" s="4">
        <v>23120463.469999999</v>
      </c>
      <c r="I35" s="4">
        <v>3163571.7</v>
      </c>
      <c r="J35" s="4">
        <v>2473363.66</v>
      </c>
      <c r="K35" s="4">
        <f t="shared" si="4"/>
        <v>5636935.3600000003</v>
      </c>
      <c r="L35" s="4">
        <f t="shared" si="5"/>
        <v>28757398.829999998</v>
      </c>
      <c r="M35" s="4">
        <f t="shared" si="14"/>
        <v>994706.17000000179</v>
      </c>
      <c r="N35" s="4"/>
      <c r="O35" s="4">
        <f t="shared" si="15"/>
        <v>0</v>
      </c>
      <c r="P35" s="4">
        <f t="shared" si="16"/>
        <v>994706.17000000179</v>
      </c>
      <c r="Q35" s="4"/>
      <c r="R35" s="4"/>
      <c r="S35" s="4">
        <f t="shared" si="1"/>
        <v>0</v>
      </c>
      <c r="T35" s="4">
        <f t="shared" si="6"/>
        <v>0</v>
      </c>
      <c r="U35" s="4">
        <f t="shared" si="2"/>
        <v>0</v>
      </c>
      <c r="V35" s="4"/>
      <c r="W35" s="4">
        <f t="shared" si="13"/>
        <v>0</v>
      </c>
      <c r="X35" s="4"/>
      <c r="Y35" s="4"/>
      <c r="Z35" s="3"/>
      <c r="AA35" s="123">
        <v>810000</v>
      </c>
      <c r="AB35" s="4"/>
      <c r="AC35" s="4"/>
      <c r="AD35" s="4"/>
      <c r="AE35" s="4"/>
      <c r="AF35" s="4"/>
      <c r="AG35" s="4"/>
      <c r="AH35" s="4"/>
      <c r="AI35" s="4"/>
      <c r="AJ35" s="4"/>
      <c r="AK35" s="4">
        <f t="shared" si="7"/>
        <v>0</v>
      </c>
      <c r="AL35" s="4"/>
      <c r="AM35" s="4">
        <f t="shared" si="8"/>
        <v>0</v>
      </c>
      <c r="AN35" s="4">
        <f t="shared" si="9"/>
        <v>0</v>
      </c>
      <c r="AO35" s="4"/>
      <c r="AP35" s="4">
        <f t="shared" si="10"/>
        <v>0</v>
      </c>
      <c r="AQ35" s="4"/>
      <c r="AR35" s="4"/>
      <c r="AS35" s="4"/>
      <c r="AT35" s="4"/>
      <c r="AU35" s="4">
        <f t="shared" si="11"/>
        <v>0</v>
      </c>
      <c r="AV35" s="4"/>
      <c r="AW35" s="3"/>
      <c r="AX35" s="4"/>
      <c r="AY35" s="4"/>
      <c r="AZ35" s="4">
        <f t="shared" si="12"/>
        <v>0</v>
      </c>
      <c r="BA35" s="4"/>
      <c r="BB35" s="4"/>
      <c r="BC35" s="4"/>
    </row>
    <row r="36" spans="1:55" s="5" customFormat="1">
      <c r="A36" s="3">
        <f t="shared" si="3"/>
        <v>30</v>
      </c>
      <c r="B36" s="3">
        <v>1773</v>
      </c>
      <c r="C36" s="3" t="s">
        <v>173</v>
      </c>
      <c r="D36" s="4">
        <v>1500000</v>
      </c>
      <c r="E36" s="4">
        <v>1000000</v>
      </c>
      <c r="F36" s="4">
        <f t="shared" si="0"/>
        <v>500000</v>
      </c>
      <c r="G36" s="4">
        <v>500000</v>
      </c>
      <c r="H36" s="4">
        <v>119925</v>
      </c>
      <c r="I36" s="4"/>
      <c r="J36" s="4"/>
      <c r="K36" s="4">
        <f t="shared" si="4"/>
        <v>0</v>
      </c>
      <c r="L36" s="4">
        <f t="shared" si="5"/>
        <v>119925</v>
      </c>
      <c r="M36" s="4">
        <f t="shared" si="14"/>
        <v>380075</v>
      </c>
      <c r="N36" s="4">
        <v>500000</v>
      </c>
      <c r="O36" s="4">
        <f t="shared" si="15"/>
        <v>500000</v>
      </c>
      <c r="P36" s="4">
        <f t="shared" si="16"/>
        <v>380075</v>
      </c>
      <c r="Q36" s="4"/>
      <c r="R36" s="4"/>
      <c r="S36" s="4">
        <f t="shared" si="1"/>
        <v>0</v>
      </c>
      <c r="T36" s="4">
        <f t="shared" si="6"/>
        <v>0</v>
      </c>
      <c r="U36" s="4">
        <f t="shared" si="2"/>
        <v>500000</v>
      </c>
      <c r="V36" s="4">
        <v>500000</v>
      </c>
      <c r="W36" s="4">
        <f t="shared" si="13"/>
        <v>0</v>
      </c>
      <c r="X36" s="4"/>
      <c r="Y36" s="4"/>
      <c r="Z36" s="3"/>
      <c r="AA36" s="123">
        <v>746000</v>
      </c>
      <c r="AB36" s="4"/>
      <c r="AC36" s="4"/>
      <c r="AD36" s="4"/>
      <c r="AE36" s="4"/>
      <c r="AF36" s="4"/>
      <c r="AG36" s="4"/>
      <c r="AH36" s="4"/>
      <c r="AI36" s="4"/>
      <c r="AJ36" s="4">
        <v>500000</v>
      </c>
      <c r="AK36" s="4">
        <f t="shared" si="7"/>
        <v>500000</v>
      </c>
      <c r="AL36" s="4"/>
      <c r="AM36" s="4">
        <f t="shared" si="8"/>
        <v>500000</v>
      </c>
      <c r="AN36" s="4">
        <f t="shared" si="9"/>
        <v>0</v>
      </c>
      <c r="AO36" s="4">
        <v>500000</v>
      </c>
      <c r="AP36" s="4">
        <f t="shared" si="10"/>
        <v>0</v>
      </c>
      <c r="AQ36" s="4"/>
      <c r="AR36" s="4"/>
      <c r="AS36" s="4"/>
      <c r="AT36" s="4"/>
      <c r="AU36" s="4">
        <f t="shared" si="11"/>
        <v>0</v>
      </c>
      <c r="AV36" s="4"/>
      <c r="AW36" s="3"/>
      <c r="AX36" s="4"/>
      <c r="AY36" s="4"/>
      <c r="AZ36" s="4">
        <f t="shared" si="12"/>
        <v>0</v>
      </c>
      <c r="BA36" s="4"/>
      <c r="BB36" s="4"/>
      <c r="BC36" s="4"/>
    </row>
    <row r="37" spans="1:55" s="5" customFormat="1">
      <c r="A37" s="3">
        <f t="shared" si="3"/>
        <v>31</v>
      </c>
      <c r="B37" s="3">
        <v>1794</v>
      </c>
      <c r="C37" s="3" t="s">
        <v>188</v>
      </c>
      <c r="D37" s="4">
        <v>850000</v>
      </c>
      <c r="E37" s="4">
        <v>850000</v>
      </c>
      <c r="F37" s="4">
        <f t="shared" si="0"/>
        <v>0</v>
      </c>
      <c r="G37" s="4">
        <v>850000</v>
      </c>
      <c r="H37" s="4">
        <v>0</v>
      </c>
      <c r="I37" s="4">
        <v>93600</v>
      </c>
      <c r="J37" s="4"/>
      <c r="K37" s="4">
        <f t="shared" si="4"/>
        <v>93600</v>
      </c>
      <c r="L37" s="4">
        <f t="shared" si="5"/>
        <v>93600</v>
      </c>
      <c r="M37" s="4">
        <f t="shared" si="14"/>
        <v>756400</v>
      </c>
      <c r="N37" s="4"/>
      <c r="O37" s="4">
        <f t="shared" si="15"/>
        <v>0</v>
      </c>
      <c r="P37" s="4">
        <f t="shared" si="16"/>
        <v>756400</v>
      </c>
      <c r="Q37" s="4"/>
      <c r="R37" s="4"/>
      <c r="S37" s="4">
        <f t="shared" si="1"/>
        <v>0</v>
      </c>
      <c r="T37" s="4">
        <f t="shared" si="6"/>
        <v>0</v>
      </c>
      <c r="U37" s="4">
        <f t="shared" si="2"/>
        <v>0</v>
      </c>
      <c r="V37" s="4"/>
      <c r="W37" s="4">
        <f t="shared" si="13"/>
        <v>0</v>
      </c>
      <c r="X37" s="4"/>
      <c r="Y37" s="4"/>
      <c r="Z37" s="3"/>
      <c r="AA37" s="123">
        <v>850000</v>
      </c>
      <c r="AB37" s="4"/>
      <c r="AC37" s="4"/>
      <c r="AD37" s="4"/>
      <c r="AE37" s="4"/>
      <c r="AF37" s="4"/>
      <c r="AG37" s="4"/>
      <c r="AH37" s="4"/>
      <c r="AI37" s="4"/>
      <c r="AJ37" s="4"/>
      <c r="AK37" s="4">
        <f t="shared" si="7"/>
        <v>0</v>
      </c>
      <c r="AL37" s="4"/>
      <c r="AM37" s="4">
        <f t="shared" si="8"/>
        <v>0</v>
      </c>
      <c r="AN37" s="4">
        <f t="shared" si="9"/>
        <v>0</v>
      </c>
      <c r="AO37" s="4"/>
      <c r="AP37" s="4">
        <f t="shared" si="10"/>
        <v>0</v>
      </c>
      <c r="AQ37" s="4"/>
      <c r="AR37" s="4"/>
      <c r="AS37" s="4"/>
      <c r="AT37" s="4"/>
      <c r="AU37" s="4">
        <f t="shared" si="11"/>
        <v>0</v>
      </c>
      <c r="AV37" s="4"/>
      <c r="AW37" s="3"/>
      <c r="AX37" s="4"/>
      <c r="AY37" s="4"/>
      <c r="AZ37" s="4">
        <f t="shared" si="12"/>
        <v>0</v>
      </c>
      <c r="BA37" s="4"/>
      <c r="BB37" s="4"/>
      <c r="BC37" s="4"/>
    </row>
    <row r="38" spans="1:55" s="5" customFormat="1">
      <c r="A38" s="3">
        <f t="shared" si="3"/>
        <v>32</v>
      </c>
      <c r="B38" s="244">
        <v>1795</v>
      </c>
      <c r="C38" s="42" t="s">
        <v>947</v>
      </c>
      <c r="D38" s="4">
        <v>1268000</v>
      </c>
      <c r="E38" s="4">
        <v>1268000</v>
      </c>
      <c r="F38" s="4">
        <f t="shared" si="0"/>
        <v>0</v>
      </c>
      <c r="G38" s="4">
        <v>1268000</v>
      </c>
      <c r="H38" s="4">
        <v>1250148</v>
      </c>
      <c r="I38" s="4"/>
      <c r="J38" s="4"/>
      <c r="K38" s="4">
        <f t="shared" si="4"/>
        <v>0</v>
      </c>
      <c r="L38" s="4">
        <f t="shared" si="5"/>
        <v>1250148</v>
      </c>
      <c r="M38" s="4">
        <f t="shared" si="14"/>
        <v>17852</v>
      </c>
      <c r="N38" s="4"/>
      <c r="O38" s="4">
        <f t="shared" si="15"/>
        <v>0</v>
      </c>
      <c r="P38" s="4">
        <f t="shared" si="16"/>
        <v>17852</v>
      </c>
      <c r="Q38" s="4"/>
      <c r="R38" s="4"/>
      <c r="S38" s="4">
        <f t="shared" si="1"/>
        <v>0</v>
      </c>
      <c r="T38" s="4">
        <f t="shared" si="6"/>
        <v>0</v>
      </c>
      <c r="U38" s="4">
        <f t="shared" si="2"/>
        <v>0</v>
      </c>
      <c r="V38" s="4"/>
      <c r="W38" s="4">
        <f>U38-V38-Y38-Z38</f>
        <v>0</v>
      </c>
      <c r="X38" s="4"/>
      <c r="Y38" s="4"/>
      <c r="Z38" s="3"/>
      <c r="AA38" s="123">
        <v>870000</v>
      </c>
      <c r="AB38" s="4"/>
      <c r="AC38" s="4"/>
      <c r="AD38" s="4"/>
      <c r="AE38" s="4"/>
      <c r="AF38" s="4"/>
      <c r="AG38" s="4"/>
      <c r="AH38" s="4"/>
      <c r="AI38" s="4"/>
      <c r="AJ38" s="4"/>
      <c r="AK38" s="4">
        <f t="shared" si="7"/>
        <v>0</v>
      </c>
      <c r="AL38" s="4"/>
      <c r="AM38" s="4">
        <f t="shared" si="8"/>
        <v>0</v>
      </c>
      <c r="AN38" s="4">
        <f t="shared" si="9"/>
        <v>0</v>
      </c>
      <c r="AO38" s="4"/>
      <c r="AP38" s="4">
        <f t="shared" si="10"/>
        <v>0</v>
      </c>
      <c r="AQ38" s="4"/>
      <c r="AR38" s="4"/>
      <c r="AS38" s="4"/>
      <c r="AT38" s="4"/>
      <c r="AU38" s="4">
        <f t="shared" si="11"/>
        <v>0</v>
      </c>
      <c r="AV38" s="4"/>
      <c r="AW38" s="3"/>
      <c r="AX38" s="4"/>
      <c r="AY38" s="4"/>
      <c r="AZ38" s="4">
        <f t="shared" si="12"/>
        <v>0</v>
      </c>
      <c r="BA38" s="4"/>
      <c r="BB38" s="4"/>
      <c r="BC38" s="4"/>
    </row>
    <row r="39" spans="1:55" s="5" customFormat="1">
      <c r="A39" s="3">
        <f t="shared" si="3"/>
        <v>33</v>
      </c>
      <c r="B39" s="244">
        <v>1821</v>
      </c>
      <c r="C39" s="244" t="s">
        <v>948</v>
      </c>
      <c r="D39" s="4">
        <v>170000</v>
      </c>
      <c r="E39" s="4">
        <v>170000</v>
      </c>
      <c r="F39" s="4">
        <f t="shared" si="0"/>
        <v>0</v>
      </c>
      <c r="G39" s="4">
        <v>170000</v>
      </c>
      <c r="H39" s="4">
        <v>128701</v>
      </c>
      <c r="I39" s="4"/>
      <c r="J39" s="4"/>
      <c r="K39" s="4">
        <f t="shared" si="4"/>
        <v>0</v>
      </c>
      <c r="L39" s="4">
        <f t="shared" si="5"/>
        <v>128701</v>
      </c>
      <c r="M39" s="4">
        <f t="shared" si="14"/>
        <v>41299</v>
      </c>
      <c r="N39" s="4"/>
      <c r="O39" s="4">
        <f t="shared" si="15"/>
        <v>0</v>
      </c>
      <c r="P39" s="4">
        <f t="shared" si="16"/>
        <v>41299</v>
      </c>
      <c r="Q39" s="4"/>
      <c r="R39" s="4"/>
      <c r="S39" s="4">
        <f t="shared" si="1"/>
        <v>0</v>
      </c>
      <c r="T39" s="4">
        <f t="shared" si="6"/>
        <v>0</v>
      </c>
      <c r="U39" s="4">
        <f t="shared" si="2"/>
        <v>0</v>
      </c>
      <c r="V39" s="4"/>
      <c r="W39" s="4">
        <f t="shared" si="13"/>
        <v>0</v>
      </c>
      <c r="X39" s="4"/>
      <c r="Y39" s="4"/>
      <c r="Z39" s="3"/>
      <c r="AA39" s="527">
        <v>810000</v>
      </c>
      <c r="AB39" s="4"/>
      <c r="AC39" s="4"/>
      <c r="AD39" s="4"/>
      <c r="AE39" s="4"/>
      <c r="AF39" s="4"/>
      <c r="AG39" s="4"/>
      <c r="AH39" s="4"/>
      <c r="AI39" s="4"/>
      <c r="AJ39" s="4"/>
      <c r="AK39" s="4">
        <f t="shared" si="7"/>
        <v>0</v>
      </c>
      <c r="AL39" s="4"/>
      <c r="AM39" s="4">
        <f t="shared" si="8"/>
        <v>0</v>
      </c>
      <c r="AN39" s="4">
        <f t="shared" si="9"/>
        <v>0</v>
      </c>
      <c r="AO39" s="4"/>
      <c r="AP39" s="4">
        <f t="shared" si="10"/>
        <v>0</v>
      </c>
      <c r="AQ39" s="4"/>
      <c r="AR39" s="4"/>
      <c r="AS39" s="4"/>
      <c r="AT39" s="4"/>
      <c r="AU39" s="4">
        <f t="shared" si="11"/>
        <v>0</v>
      </c>
      <c r="AV39" s="4"/>
      <c r="AW39" s="3"/>
      <c r="AX39" s="4"/>
      <c r="AY39" s="4"/>
      <c r="AZ39" s="4">
        <f t="shared" si="12"/>
        <v>0</v>
      </c>
      <c r="BA39" s="4"/>
      <c r="BB39" s="4"/>
      <c r="BC39" s="4"/>
    </row>
    <row r="40" spans="1:55" s="5" customFormat="1">
      <c r="A40" s="3">
        <f t="shared" si="3"/>
        <v>34</v>
      </c>
      <c r="B40" s="3">
        <v>1848</v>
      </c>
      <c r="C40" s="3" t="s">
        <v>217</v>
      </c>
      <c r="D40" s="4">
        <f>500000+100000</f>
        <v>600000</v>
      </c>
      <c r="E40" s="4">
        <v>500000</v>
      </c>
      <c r="F40" s="4">
        <f t="shared" si="0"/>
        <v>100000</v>
      </c>
      <c r="G40" s="4">
        <f>250000+50000</f>
        <v>300000</v>
      </c>
      <c r="H40" s="4">
        <v>68444.479999999996</v>
      </c>
      <c r="I40" s="4"/>
      <c r="J40" s="4">
        <v>174758</v>
      </c>
      <c r="K40" s="4">
        <f t="shared" si="4"/>
        <v>174758</v>
      </c>
      <c r="L40" s="4">
        <f t="shared" si="5"/>
        <v>243202.47999999998</v>
      </c>
      <c r="M40" s="4">
        <f t="shared" si="14"/>
        <v>56797.520000000019</v>
      </c>
      <c r="N40" s="4">
        <v>200000</v>
      </c>
      <c r="O40" s="4">
        <f t="shared" si="15"/>
        <v>100000</v>
      </c>
      <c r="P40" s="4">
        <f t="shared" si="16"/>
        <v>56797.520000000019</v>
      </c>
      <c r="Q40" s="4">
        <f>50000-50000</f>
        <v>0</v>
      </c>
      <c r="R40" s="4"/>
      <c r="S40" s="4"/>
      <c r="T40" s="4">
        <f t="shared" si="6"/>
        <v>0</v>
      </c>
      <c r="U40" s="4">
        <f t="shared" si="2"/>
        <v>200000</v>
      </c>
      <c r="V40" s="4"/>
      <c r="W40" s="4">
        <f t="shared" si="13"/>
        <v>200000</v>
      </c>
      <c r="X40" s="4"/>
      <c r="Y40" s="4"/>
      <c r="Z40" s="3"/>
      <c r="AA40" s="123">
        <v>742000</v>
      </c>
      <c r="AB40" s="4"/>
      <c r="AC40" s="4">
        <v>200000</v>
      </c>
      <c r="AD40" s="4"/>
      <c r="AE40" s="4"/>
      <c r="AF40" s="4"/>
      <c r="AG40" s="4"/>
      <c r="AH40" s="4"/>
      <c r="AI40" s="4"/>
      <c r="AJ40" s="4"/>
      <c r="AK40" s="4">
        <f t="shared" si="7"/>
        <v>200000</v>
      </c>
      <c r="AL40" s="4"/>
      <c r="AM40" s="4">
        <f t="shared" si="8"/>
        <v>200000</v>
      </c>
      <c r="AN40" s="4">
        <f t="shared" si="9"/>
        <v>0</v>
      </c>
      <c r="AO40" s="4"/>
      <c r="AP40" s="4">
        <f t="shared" si="10"/>
        <v>200000</v>
      </c>
      <c r="AQ40" s="4"/>
      <c r="AR40" s="4"/>
      <c r="AS40" s="4"/>
      <c r="AT40" s="4"/>
      <c r="AU40" s="4">
        <f t="shared" si="11"/>
        <v>0</v>
      </c>
      <c r="AV40" s="4"/>
      <c r="AW40" s="3"/>
      <c r="AX40" s="4"/>
      <c r="AY40" s="4"/>
      <c r="AZ40" s="4">
        <f t="shared" si="12"/>
        <v>0</v>
      </c>
      <c r="BA40" s="4"/>
      <c r="BB40" s="4"/>
      <c r="BC40" s="4"/>
    </row>
    <row r="41" spans="1:55" s="5" customFormat="1">
      <c r="A41" s="3">
        <f t="shared" si="3"/>
        <v>35</v>
      </c>
      <c r="B41" s="3">
        <v>1849</v>
      </c>
      <c r="C41" s="42" t="s">
        <v>325</v>
      </c>
      <c r="D41" s="4">
        <v>1400000</v>
      </c>
      <c r="E41" s="4">
        <v>1400000</v>
      </c>
      <c r="F41" s="4">
        <f t="shared" si="0"/>
        <v>0</v>
      </c>
      <c r="G41" s="4">
        <v>900000</v>
      </c>
      <c r="H41" s="4">
        <v>263880.67</v>
      </c>
      <c r="I41" s="4"/>
      <c r="J41" s="4"/>
      <c r="K41" s="4">
        <f t="shared" si="4"/>
        <v>0</v>
      </c>
      <c r="L41" s="4">
        <f t="shared" si="5"/>
        <v>263880.67</v>
      </c>
      <c r="M41" s="4">
        <f t="shared" si="14"/>
        <v>636119.33000000007</v>
      </c>
      <c r="N41" s="4">
        <v>400000</v>
      </c>
      <c r="O41" s="4">
        <f t="shared" si="15"/>
        <v>100000</v>
      </c>
      <c r="P41" s="4">
        <f t="shared" si="16"/>
        <v>636119.33000000007</v>
      </c>
      <c r="Q41" s="4"/>
      <c r="R41" s="4"/>
      <c r="S41" s="4">
        <f t="shared" si="1"/>
        <v>0</v>
      </c>
      <c r="T41" s="4">
        <f t="shared" si="6"/>
        <v>0</v>
      </c>
      <c r="U41" s="4">
        <f t="shared" si="2"/>
        <v>400000</v>
      </c>
      <c r="V41" s="4">
        <v>400000</v>
      </c>
      <c r="W41" s="4">
        <f t="shared" si="13"/>
        <v>0</v>
      </c>
      <c r="X41" s="4"/>
      <c r="Y41" s="4"/>
      <c r="Z41" s="3"/>
      <c r="AA41" s="123">
        <v>743000</v>
      </c>
      <c r="AB41" s="4"/>
      <c r="AC41" s="4">
        <v>300000</v>
      </c>
      <c r="AD41" s="4"/>
      <c r="AE41" s="4"/>
      <c r="AF41" s="4">
        <v>100000</v>
      </c>
      <c r="AG41" s="4"/>
      <c r="AH41" s="4"/>
      <c r="AI41" s="4"/>
      <c r="AJ41" s="4"/>
      <c r="AK41" s="4">
        <f t="shared" si="7"/>
        <v>400000</v>
      </c>
      <c r="AL41" s="4"/>
      <c r="AM41" s="4">
        <f t="shared" si="8"/>
        <v>400000</v>
      </c>
      <c r="AN41" s="4">
        <f t="shared" si="9"/>
        <v>0</v>
      </c>
      <c r="AO41" s="4">
        <v>400000</v>
      </c>
      <c r="AP41" s="4">
        <f t="shared" si="10"/>
        <v>0</v>
      </c>
      <c r="AQ41" s="4"/>
      <c r="AR41" s="4"/>
      <c r="AS41" s="4"/>
      <c r="AT41" s="4"/>
      <c r="AU41" s="4">
        <f t="shared" si="11"/>
        <v>0</v>
      </c>
      <c r="AV41" s="4"/>
      <c r="AW41" s="3"/>
      <c r="AX41" s="4"/>
      <c r="AY41" s="4"/>
      <c r="AZ41" s="4">
        <f t="shared" si="12"/>
        <v>0</v>
      </c>
      <c r="BA41" s="4"/>
      <c r="BB41" s="4"/>
      <c r="BC41" s="4"/>
    </row>
    <row r="42" spans="1:55" s="5" customFormat="1">
      <c r="A42" s="3">
        <f t="shared" si="3"/>
        <v>36</v>
      </c>
      <c r="B42" s="3">
        <v>1850</v>
      </c>
      <c r="C42" s="3" t="s">
        <v>218</v>
      </c>
      <c r="D42" s="4">
        <v>14600000</v>
      </c>
      <c r="E42" s="4">
        <v>14600000</v>
      </c>
      <c r="F42" s="4">
        <f t="shared" si="0"/>
        <v>0</v>
      </c>
      <c r="G42" s="4">
        <f>850000+1500000</f>
        <v>2350000</v>
      </c>
      <c r="H42" s="4">
        <v>175101.91</v>
      </c>
      <c r="I42" s="4"/>
      <c r="J42" s="4">
        <v>627020.53</v>
      </c>
      <c r="K42" s="4">
        <f t="shared" si="4"/>
        <v>627020.53</v>
      </c>
      <c r="L42" s="4">
        <f t="shared" si="5"/>
        <v>802122.44000000006</v>
      </c>
      <c r="M42" s="4">
        <f t="shared" si="14"/>
        <v>2477877.56</v>
      </c>
      <c r="N42" s="4">
        <f>2500000-1000000</f>
        <v>1500000</v>
      </c>
      <c r="O42" s="4">
        <f t="shared" si="15"/>
        <v>9820000</v>
      </c>
      <c r="P42" s="4">
        <f t="shared" si="16"/>
        <v>1547877.56</v>
      </c>
      <c r="Q42" s="4">
        <f>1500000+930000-1500000</f>
        <v>930000</v>
      </c>
      <c r="R42" s="4"/>
      <c r="S42" s="4">
        <f t="shared" si="1"/>
        <v>930000</v>
      </c>
      <c r="T42" s="4">
        <f t="shared" si="6"/>
        <v>0</v>
      </c>
      <c r="U42" s="4">
        <f t="shared" si="2"/>
        <v>1500000</v>
      </c>
      <c r="V42" s="4">
        <v>1000000</v>
      </c>
      <c r="W42" s="4">
        <f t="shared" si="13"/>
        <v>500000</v>
      </c>
      <c r="X42" s="4"/>
      <c r="Y42" s="4"/>
      <c r="Z42" s="3"/>
      <c r="AA42" s="123">
        <v>810000</v>
      </c>
      <c r="AB42" s="4"/>
      <c r="AC42" s="4"/>
      <c r="AD42" s="4"/>
      <c r="AE42" s="4"/>
      <c r="AF42" s="4"/>
      <c r="AG42" s="4"/>
      <c r="AH42" s="4"/>
      <c r="AI42" s="4"/>
      <c r="AJ42" s="4"/>
      <c r="AK42" s="4">
        <f t="shared" si="7"/>
        <v>0</v>
      </c>
      <c r="AL42" s="4"/>
      <c r="AM42" s="4">
        <f t="shared" si="8"/>
        <v>0</v>
      </c>
      <c r="AN42" s="4">
        <f t="shared" si="9"/>
        <v>1500000</v>
      </c>
      <c r="AO42" s="4"/>
      <c r="AP42" s="4">
        <f t="shared" si="10"/>
        <v>0</v>
      </c>
      <c r="AQ42" s="4"/>
      <c r="AR42" s="4"/>
      <c r="AS42" s="4"/>
      <c r="AT42" s="4"/>
      <c r="AU42" s="4">
        <f t="shared" si="11"/>
        <v>0</v>
      </c>
      <c r="AV42" s="4"/>
      <c r="AW42" s="3"/>
      <c r="AX42" s="4"/>
      <c r="AY42" s="4">
        <v>1000000</v>
      </c>
      <c r="AZ42" s="4">
        <f t="shared" si="12"/>
        <v>500000</v>
      </c>
      <c r="BA42" s="4"/>
      <c r="BB42" s="4"/>
      <c r="BC42" s="4"/>
    </row>
    <row r="43" spans="1:55" s="5" customFormat="1">
      <c r="A43" s="3">
        <f t="shared" si="3"/>
        <v>37</v>
      </c>
      <c r="B43" s="3">
        <v>1851</v>
      </c>
      <c r="C43" s="3" t="s">
        <v>219</v>
      </c>
      <c r="D43" s="4">
        <f>3300000-250000</f>
        <v>3050000</v>
      </c>
      <c r="E43" s="4">
        <v>3300000</v>
      </c>
      <c r="F43" s="4">
        <f t="shared" si="0"/>
        <v>-250000</v>
      </c>
      <c r="G43" s="4">
        <v>3300000</v>
      </c>
      <c r="H43" s="4">
        <v>2985585.59</v>
      </c>
      <c r="I43" s="4">
        <v>47649</v>
      </c>
      <c r="J43" s="4"/>
      <c r="K43" s="4">
        <f t="shared" si="4"/>
        <v>47649</v>
      </c>
      <c r="L43" s="4">
        <f t="shared" si="5"/>
        <v>3033234.59</v>
      </c>
      <c r="M43" s="4">
        <f>P43+S43-250000</f>
        <v>16765.410000000149</v>
      </c>
      <c r="N43" s="4"/>
      <c r="O43" s="4">
        <f t="shared" si="15"/>
        <v>0</v>
      </c>
      <c r="P43" s="4">
        <f t="shared" si="16"/>
        <v>266765.41000000015</v>
      </c>
      <c r="Q43" s="4"/>
      <c r="R43" s="4"/>
      <c r="S43" s="4">
        <f t="shared" si="1"/>
        <v>0</v>
      </c>
      <c r="T43" s="4">
        <f t="shared" si="6"/>
        <v>250000</v>
      </c>
      <c r="U43" s="4">
        <f t="shared" si="2"/>
        <v>-250000</v>
      </c>
      <c r="V43" s="4"/>
      <c r="W43" s="4">
        <f t="shared" si="13"/>
        <v>-250000</v>
      </c>
      <c r="X43" s="4"/>
      <c r="Y43" s="4"/>
      <c r="Z43" s="3"/>
      <c r="AA43" s="123">
        <v>810000</v>
      </c>
      <c r="AB43" s="4"/>
      <c r="AC43" s="4"/>
      <c r="AD43" s="4">
        <v>-250000</v>
      </c>
      <c r="AE43" s="4"/>
      <c r="AF43" s="4"/>
      <c r="AG43" s="4"/>
      <c r="AH43" s="4"/>
      <c r="AI43" s="4"/>
      <c r="AJ43" s="4"/>
      <c r="AK43" s="4">
        <f t="shared" si="7"/>
        <v>-250000</v>
      </c>
      <c r="AL43" s="4"/>
      <c r="AM43" s="4">
        <f t="shared" si="8"/>
        <v>-250000</v>
      </c>
      <c r="AN43" s="4">
        <f t="shared" si="9"/>
        <v>0</v>
      </c>
      <c r="AO43" s="4"/>
      <c r="AP43" s="4">
        <f t="shared" si="10"/>
        <v>-250000</v>
      </c>
      <c r="AQ43" s="4"/>
      <c r="AR43" s="4"/>
      <c r="AS43" s="4"/>
      <c r="AT43" s="4"/>
      <c r="AU43" s="4">
        <f t="shared" si="11"/>
        <v>0</v>
      </c>
      <c r="AV43" s="4"/>
      <c r="AW43" s="3"/>
      <c r="AX43" s="4"/>
      <c r="AY43" s="4"/>
      <c r="AZ43" s="4">
        <f t="shared" si="12"/>
        <v>0</v>
      </c>
      <c r="BA43" s="4"/>
      <c r="BB43" s="4"/>
      <c r="BC43" s="4"/>
    </row>
    <row r="44" spans="1:55" s="5" customFormat="1">
      <c r="A44" s="3">
        <f t="shared" si="3"/>
        <v>38</v>
      </c>
      <c r="B44" s="3">
        <v>1853</v>
      </c>
      <c r="C44" s="3" t="s">
        <v>220</v>
      </c>
      <c r="D44" s="4">
        <f>380000-70000</f>
        <v>310000</v>
      </c>
      <c r="E44" s="4">
        <v>310000</v>
      </c>
      <c r="F44" s="4">
        <f t="shared" si="0"/>
        <v>0</v>
      </c>
      <c r="G44" s="4">
        <v>310000</v>
      </c>
      <c r="H44" s="4">
        <v>45951</v>
      </c>
      <c r="I44" s="4">
        <v>5148</v>
      </c>
      <c r="J44" s="4">
        <v>73044.66</v>
      </c>
      <c r="K44" s="4">
        <f t="shared" si="4"/>
        <v>78192.66</v>
      </c>
      <c r="L44" s="4">
        <f t="shared" si="5"/>
        <v>124143.66</v>
      </c>
      <c r="M44" s="4">
        <f t="shared" si="14"/>
        <v>185856.34</v>
      </c>
      <c r="N44" s="4"/>
      <c r="O44" s="4">
        <f t="shared" si="15"/>
        <v>0</v>
      </c>
      <c r="P44" s="4">
        <f t="shared" si="16"/>
        <v>185856.34</v>
      </c>
      <c r="Q44" s="4"/>
      <c r="R44" s="4"/>
      <c r="S44" s="4">
        <f t="shared" si="1"/>
        <v>0</v>
      </c>
      <c r="T44" s="4">
        <f t="shared" si="6"/>
        <v>0</v>
      </c>
      <c r="U44" s="4">
        <f t="shared" si="2"/>
        <v>0</v>
      </c>
      <c r="V44" s="4"/>
      <c r="W44" s="4">
        <f t="shared" si="13"/>
        <v>0</v>
      </c>
      <c r="X44" s="4"/>
      <c r="Y44" s="4"/>
      <c r="Z44" s="3"/>
      <c r="AA44" s="527">
        <v>824000</v>
      </c>
      <c r="AB44" s="4"/>
      <c r="AC44" s="4"/>
      <c r="AD44" s="4"/>
      <c r="AE44" s="4"/>
      <c r="AF44" s="4"/>
      <c r="AG44" s="4"/>
      <c r="AH44" s="4"/>
      <c r="AI44" s="4"/>
      <c r="AJ44" s="4"/>
      <c r="AK44" s="4">
        <f t="shared" si="7"/>
        <v>0</v>
      </c>
      <c r="AL44" s="4"/>
      <c r="AM44" s="4">
        <f t="shared" si="8"/>
        <v>0</v>
      </c>
      <c r="AN44" s="4">
        <f t="shared" si="9"/>
        <v>0</v>
      </c>
      <c r="AO44" s="4"/>
      <c r="AP44" s="4">
        <f t="shared" si="10"/>
        <v>0</v>
      </c>
      <c r="AQ44" s="4"/>
      <c r="AR44" s="4"/>
      <c r="AS44" s="4"/>
      <c r="AT44" s="4"/>
      <c r="AU44" s="4">
        <f t="shared" si="11"/>
        <v>0</v>
      </c>
      <c r="AV44" s="4"/>
      <c r="AW44" s="3"/>
      <c r="AX44" s="4"/>
      <c r="AY44" s="4"/>
      <c r="AZ44" s="4">
        <f t="shared" si="12"/>
        <v>0</v>
      </c>
      <c r="BA44" s="4"/>
      <c r="BB44" s="4"/>
      <c r="BC44" s="4"/>
    </row>
    <row r="45" spans="1:55" s="5" customFormat="1">
      <c r="A45" s="3">
        <f t="shared" si="3"/>
        <v>39</v>
      </c>
      <c r="B45" s="244">
        <v>1855</v>
      </c>
      <c r="C45" s="244" t="s">
        <v>949</v>
      </c>
      <c r="D45" s="4">
        <v>400000</v>
      </c>
      <c r="E45" s="4">
        <v>400000</v>
      </c>
      <c r="F45" s="4">
        <f t="shared" si="0"/>
        <v>0</v>
      </c>
      <c r="G45" s="4">
        <v>400000</v>
      </c>
      <c r="H45" s="4">
        <v>298160.06</v>
      </c>
      <c r="I45" s="4"/>
      <c r="J45" s="4"/>
      <c r="K45" s="4">
        <f t="shared" si="4"/>
        <v>0</v>
      </c>
      <c r="L45" s="4">
        <f t="shared" si="5"/>
        <v>298160.06</v>
      </c>
      <c r="M45" s="4">
        <f t="shared" si="14"/>
        <v>101839.94</v>
      </c>
      <c r="N45" s="4"/>
      <c r="O45" s="4">
        <f t="shared" si="15"/>
        <v>0</v>
      </c>
      <c r="P45" s="4">
        <f t="shared" si="16"/>
        <v>101839.94</v>
      </c>
      <c r="Q45" s="4"/>
      <c r="R45" s="4"/>
      <c r="S45" s="4">
        <f t="shared" si="1"/>
        <v>0</v>
      </c>
      <c r="T45" s="4">
        <f t="shared" si="6"/>
        <v>0</v>
      </c>
      <c r="U45" s="4">
        <f t="shared" si="2"/>
        <v>0</v>
      </c>
      <c r="V45" s="4"/>
      <c r="W45" s="4">
        <f t="shared" si="13"/>
        <v>0</v>
      </c>
      <c r="X45" s="4"/>
      <c r="Y45" s="4"/>
      <c r="Z45" s="3"/>
      <c r="AA45" s="123">
        <v>810000</v>
      </c>
      <c r="AB45" s="4"/>
      <c r="AC45" s="4"/>
      <c r="AD45" s="4"/>
      <c r="AE45" s="4"/>
      <c r="AF45" s="4"/>
      <c r="AG45" s="4"/>
      <c r="AH45" s="4"/>
      <c r="AI45" s="4"/>
      <c r="AJ45" s="4"/>
      <c r="AK45" s="4">
        <f t="shared" si="7"/>
        <v>0</v>
      </c>
      <c r="AL45" s="4"/>
      <c r="AM45" s="4">
        <f t="shared" si="8"/>
        <v>0</v>
      </c>
      <c r="AN45" s="4">
        <f t="shared" si="9"/>
        <v>0</v>
      </c>
      <c r="AO45" s="4"/>
      <c r="AP45" s="4">
        <f t="shared" si="10"/>
        <v>0</v>
      </c>
      <c r="AQ45" s="4"/>
      <c r="AR45" s="4"/>
      <c r="AS45" s="4"/>
      <c r="AT45" s="4"/>
      <c r="AU45" s="4">
        <f t="shared" si="11"/>
        <v>0</v>
      </c>
      <c r="AV45" s="4"/>
      <c r="AW45" s="3"/>
      <c r="AX45" s="4"/>
      <c r="AY45" s="4"/>
      <c r="AZ45" s="4">
        <f t="shared" si="12"/>
        <v>0</v>
      </c>
      <c r="BA45" s="4"/>
      <c r="BB45" s="4"/>
      <c r="BC45" s="4"/>
    </row>
    <row r="46" spans="1:55" s="5" customFormat="1">
      <c r="A46" s="3">
        <f t="shared" si="3"/>
        <v>40</v>
      </c>
      <c r="B46" s="244">
        <v>1856</v>
      </c>
      <c r="C46" s="244" t="s">
        <v>950</v>
      </c>
      <c r="D46" s="4">
        <f>400000-200000</f>
        <v>200000</v>
      </c>
      <c r="E46" s="4">
        <v>200000</v>
      </c>
      <c r="F46" s="4">
        <f t="shared" si="0"/>
        <v>0</v>
      </c>
      <c r="G46" s="4">
        <v>200000</v>
      </c>
      <c r="H46" s="4">
        <v>169286.11</v>
      </c>
      <c r="I46" s="4"/>
      <c r="J46" s="4">
        <v>30691.52</v>
      </c>
      <c r="K46" s="4">
        <f t="shared" si="4"/>
        <v>30691.52</v>
      </c>
      <c r="L46" s="4">
        <f t="shared" si="5"/>
        <v>199977.62999999998</v>
      </c>
      <c r="M46" s="4">
        <f t="shared" si="14"/>
        <v>22.370000000024447</v>
      </c>
      <c r="N46" s="4"/>
      <c r="O46" s="4">
        <f t="shared" si="15"/>
        <v>0</v>
      </c>
      <c r="P46" s="4">
        <f t="shared" si="16"/>
        <v>22.370000000024447</v>
      </c>
      <c r="Q46" s="4"/>
      <c r="R46" s="4"/>
      <c r="S46" s="4">
        <f t="shared" si="1"/>
        <v>0</v>
      </c>
      <c r="T46" s="4">
        <f t="shared" si="6"/>
        <v>0</v>
      </c>
      <c r="U46" s="4">
        <f t="shared" si="2"/>
        <v>0</v>
      </c>
      <c r="V46" s="4"/>
      <c r="W46" s="4">
        <f t="shared" si="13"/>
        <v>0</v>
      </c>
      <c r="X46" s="4"/>
      <c r="Y46" s="4"/>
      <c r="Z46" s="3"/>
      <c r="AA46" s="123">
        <v>810000</v>
      </c>
      <c r="AB46" s="4"/>
      <c r="AC46" s="4"/>
      <c r="AD46" s="4"/>
      <c r="AE46" s="4"/>
      <c r="AF46" s="4"/>
      <c r="AG46" s="4"/>
      <c r="AH46" s="4"/>
      <c r="AI46" s="4"/>
      <c r="AJ46" s="4"/>
      <c r="AK46" s="4">
        <f t="shared" si="7"/>
        <v>0</v>
      </c>
      <c r="AL46" s="4"/>
      <c r="AM46" s="4">
        <f t="shared" si="8"/>
        <v>0</v>
      </c>
      <c r="AN46" s="4">
        <f t="shared" si="9"/>
        <v>0</v>
      </c>
      <c r="AO46" s="4"/>
      <c r="AP46" s="4">
        <f t="shared" si="10"/>
        <v>0</v>
      </c>
      <c r="AQ46" s="4"/>
      <c r="AR46" s="4"/>
      <c r="AS46" s="4"/>
      <c r="AT46" s="4"/>
      <c r="AU46" s="4">
        <f t="shared" si="11"/>
        <v>0</v>
      </c>
      <c r="AV46" s="4"/>
      <c r="AW46" s="3"/>
      <c r="AX46" s="4"/>
      <c r="AY46" s="4"/>
      <c r="AZ46" s="4">
        <f t="shared" si="12"/>
        <v>0</v>
      </c>
      <c r="BA46" s="4"/>
      <c r="BB46" s="4"/>
      <c r="BC46" s="4"/>
    </row>
    <row r="47" spans="1:55" s="5" customFormat="1">
      <c r="A47" s="3">
        <f t="shared" si="3"/>
        <v>41</v>
      </c>
      <c r="B47" s="3">
        <v>1883</v>
      </c>
      <c r="C47" s="3" t="s">
        <v>221</v>
      </c>
      <c r="D47" s="4">
        <v>23500000</v>
      </c>
      <c r="E47" s="4">
        <v>23500000</v>
      </c>
      <c r="F47" s="4">
        <f t="shared" si="0"/>
        <v>0</v>
      </c>
      <c r="G47" s="4">
        <v>16500000</v>
      </c>
      <c r="H47" s="4">
        <v>389885</v>
      </c>
      <c r="I47" s="4">
        <v>15304730.26</v>
      </c>
      <c r="J47" s="4">
        <v>788509</v>
      </c>
      <c r="K47" s="4">
        <f t="shared" si="4"/>
        <v>16093239.26</v>
      </c>
      <c r="L47" s="4">
        <f t="shared" si="5"/>
        <v>16483124.26</v>
      </c>
      <c r="M47" s="4">
        <f t="shared" si="14"/>
        <v>16875.740000000224</v>
      </c>
      <c r="N47" s="4">
        <f>7000000-500000+500000</f>
        <v>7000000</v>
      </c>
      <c r="O47" s="4">
        <f t="shared" si="15"/>
        <v>0</v>
      </c>
      <c r="P47" s="4">
        <f t="shared" si="16"/>
        <v>16875.740000000224</v>
      </c>
      <c r="Q47" s="4"/>
      <c r="R47" s="4"/>
      <c r="S47" s="4">
        <f t="shared" si="1"/>
        <v>0</v>
      </c>
      <c r="T47" s="4">
        <f t="shared" si="6"/>
        <v>0</v>
      </c>
      <c r="U47" s="4">
        <f t="shared" si="2"/>
        <v>7000000</v>
      </c>
      <c r="V47" s="4">
        <f>2500000+2500000</f>
        <v>5000000</v>
      </c>
      <c r="W47" s="4">
        <f>U47-V47-Y47-Z47</f>
        <v>1000000</v>
      </c>
      <c r="X47" s="4"/>
      <c r="Y47" s="4"/>
      <c r="Z47" s="4">
        <v>1000000</v>
      </c>
      <c r="AA47" s="123">
        <v>810000</v>
      </c>
      <c r="AB47" s="4"/>
      <c r="AC47" s="4">
        <v>6000000</v>
      </c>
      <c r="AD47" s="4"/>
      <c r="AE47" s="4"/>
      <c r="AF47" s="4"/>
      <c r="AG47" s="4"/>
      <c r="AH47" s="520"/>
      <c r="AI47" s="520"/>
      <c r="AJ47" s="4"/>
      <c r="AK47" s="4">
        <f>SUM(AB47:AJ47)</f>
        <v>6000000</v>
      </c>
      <c r="AL47" s="4"/>
      <c r="AM47" s="4">
        <f t="shared" si="8"/>
        <v>6000000</v>
      </c>
      <c r="AN47" s="4">
        <f t="shared" si="9"/>
        <v>1000000</v>
      </c>
      <c r="AO47" s="4">
        <v>5000000</v>
      </c>
      <c r="AP47" s="4">
        <f t="shared" si="10"/>
        <v>1000000</v>
      </c>
      <c r="AQ47" s="4"/>
      <c r="AR47" s="4"/>
      <c r="AS47" s="4"/>
      <c r="AT47" s="4"/>
      <c r="AU47" s="4">
        <f t="shared" si="11"/>
        <v>0</v>
      </c>
      <c r="AV47" s="4"/>
      <c r="AW47" s="3"/>
      <c r="AX47" s="4"/>
      <c r="AY47" s="4"/>
      <c r="AZ47" s="4">
        <f t="shared" si="12"/>
        <v>0</v>
      </c>
      <c r="BA47" s="4"/>
      <c r="BB47" s="4"/>
      <c r="BC47" s="4">
        <v>1000000</v>
      </c>
    </row>
    <row r="48" spans="1:55" s="5" customFormat="1">
      <c r="A48" s="3">
        <f t="shared" si="3"/>
        <v>42</v>
      </c>
      <c r="B48" s="3">
        <v>1884</v>
      </c>
      <c r="C48" s="3" t="s">
        <v>222</v>
      </c>
      <c r="D48" s="4">
        <v>2100000</v>
      </c>
      <c r="E48" s="4">
        <v>2100000</v>
      </c>
      <c r="F48" s="4">
        <f t="shared" si="0"/>
        <v>0</v>
      </c>
      <c r="G48" s="4">
        <v>2100000</v>
      </c>
      <c r="H48" s="4">
        <v>1278537.27</v>
      </c>
      <c r="I48" s="4">
        <v>604396.26</v>
      </c>
      <c r="J48" s="4">
        <v>216430.65</v>
      </c>
      <c r="K48" s="4">
        <f t="shared" si="4"/>
        <v>820826.91</v>
      </c>
      <c r="L48" s="4">
        <f t="shared" si="5"/>
        <v>2099364.1800000002</v>
      </c>
      <c r="M48" s="4">
        <f t="shared" si="14"/>
        <v>635.81999999983236</v>
      </c>
      <c r="N48" s="4"/>
      <c r="O48" s="4">
        <f t="shared" si="15"/>
        <v>0</v>
      </c>
      <c r="P48" s="4">
        <f t="shared" si="16"/>
        <v>635.81999999983236</v>
      </c>
      <c r="Q48" s="4"/>
      <c r="R48" s="4"/>
      <c r="S48" s="4">
        <f t="shared" si="1"/>
        <v>0</v>
      </c>
      <c r="T48" s="4">
        <f t="shared" si="6"/>
        <v>0</v>
      </c>
      <c r="U48" s="4">
        <f t="shared" si="2"/>
        <v>0</v>
      </c>
      <c r="V48" s="4"/>
      <c r="W48" s="4">
        <f t="shared" si="13"/>
        <v>0</v>
      </c>
      <c r="X48" s="4"/>
      <c r="Y48" s="4"/>
      <c r="Z48" s="3"/>
      <c r="AA48" s="123">
        <v>810000</v>
      </c>
      <c r="AB48" s="4"/>
      <c r="AC48" s="4"/>
      <c r="AD48" s="4"/>
      <c r="AE48" s="4"/>
      <c r="AF48" s="4"/>
      <c r="AG48" s="4"/>
      <c r="AH48" s="4"/>
      <c r="AI48" s="4"/>
      <c r="AJ48" s="4"/>
      <c r="AK48" s="4">
        <f t="shared" si="7"/>
        <v>0</v>
      </c>
      <c r="AL48" s="4"/>
      <c r="AM48" s="4">
        <f t="shared" si="8"/>
        <v>0</v>
      </c>
      <c r="AN48" s="4">
        <f t="shared" si="9"/>
        <v>0</v>
      </c>
      <c r="AO48" s="4"/>
      <c r="AP48" s="4">
        <f t="shared" si="10"/>
        <v>0</v>
      </c>
      <c r="AQ48" s="4"/>
      <c r="AR48" s="4"/>
      <c r="AS48" s="4"/>
      <c r="AT48" s="4"/>
      <c r="AU48" s="4">
        <f t="shared" si="11"/>
        <v>0</v>
      </c>
      <c r="AV48" s="4"/>
      <c r="AW48" s="3"/>
      <c r="AX48" s="4"/>
      <c r="AY48" s="4"/>
      <c r="AZ48" s="4">
        <f t="shared" si="12"/>
        <v>0</v>
      </c>
      <c r="BA48" s="4"/>
      <c r="BB48" s="4"/>
      <c r="BC48" s="4"/>
    </row>
    <row r="49" spans="1:55" s="5" customFormat="1">
      <c r="A49" s="3">
        <f t="shared" si="3"/>
        <v>43</v>
      </c>
      <c r="B49" s="3">
        <v>1885</v>
      </c>
      <c r="C49" s="3" t="s">
        <v>258</v>
      </c>
      <c r="D49" s="4">
        <v>300000</v>
      </c>
      <c r="E49" s="4">
        <v>300000</v>
      </c>
      <c r="F49" s="4">
        <f t="shared" si="0"/>
        <v>0</v>
      </c>
      <c r="G49" s="4">
        <v>300000</v>
      </c>
      <c r="H49" s="4">
        <v>232115.8</v>
      </c>
      <c r="I49" s="4">
        <v>2080.2600000000002</v>
      </c>
      <c r="J49" s="4">
        <v>59317.77</v>
      </c>
      <c r="K49" s="4">
        <f t="shared" si="4"/>
        <v>61398.03</v>
      </c>
      <c r="L49" s="4">
        <f t="shared" si="5"/>
        <v>293513.82999999996</v>
      </c>
      <c r="M49" s="4">
        <f t="shared" si="14"/>
        <v>6486.1700000000419</v>
      </c>
      <c r="N49" s="4"/>
      <c r="O49" s="4">
        <f t="shared" si="15"/>
        <v>0</v>
      </c>
      <c r="P49" s="4">
        <f t="shared" si="16"/>
        <v>6486.1700000000419</v>
      </c>
      <c r="Q49" s="4"/>
      <c r="R49" s="4"/>
      <c r="S49" s="4">
        <f t="shared" si="1"/>
        <v>0</v>
      </c>
      <c r="T49" s="4">
        <f t="shared" si="6"/>
        <v>0</v>
      </c>
      <c r="U49" s="4">
        <f t="shared" si="2"/>
        <v>0</v>
      </c>
      <c r="V49" s="4"/>
      <c r="W49" s="4">
        <f t="shared" si="13"/>
        <v>0</v>
      </c>
      <c r="X49" s="4"/>
      <c r="Y49" s="4"/>
      <c r="Z49" s="3"/>
      <c r="AA49" s="123">
        <v>810000</v>
      </c>
      <c r="AB49" s="4"/>
      <c r="AC49" s="4"/>
      <c r="AD49" s="4"/>
      <c r="AE49" s="4"/>
      <c r="AF49" s="4"/>
      <c r="AG49" s="4"/>
      <c r="AH49" s="4"/>
      <c r="AI49" s="4"/>
      <c r="AJ49" s="4"/>
      <c r="AK49" s="4">
        <f t="shared" si="7"/>
        <v>0</v>
      </c>
      <c r="AL49" s="4"/>
      <c r="AM49" s="4">
        <f t="shared" si="8"/>
        <v>0</v>
      </c>
      <c r="AN49" s="4">
        <f t="shared" si="9"/>
        <v>0</v>
      </c>
      <c r="AO49" s="4"/>
      <c r="AP49" s="4">
        <f t="shared" si="10"/>
        <v>0</v>
      </c>
      <c r="AQ49" s="4"/>
      <c r="AR49" s="4"/>
      <c r="AS49" s="4"/>
      <c r="AT49" s="4"/>
      <c r="AU49" s="4">
        <f t="shared" si="11"/>
        <v>0</v>
      </c>
      <c r="AV49" s="4"/>
      <c r="AW49" s="3"/>
      <c r="AX49" s="4"/>
      <c r="AY49" s="4"/>
      <c r="AZ49" s="4">
        <f t="shared" si="12"/>
        <v>0</v>
      </c>
      <c r="BA49" s="4"/>
      <c r="BB49" s="4"/>
      <c r="BC49" s="4"/>
    </row>
    <row r="50" spans="1:55" s="5" customFormat="1">
      <c r="A50" s="3">
        <f t="shared" si="3"/>
        <v>44</v>
      </c>
      <c r="B50" s="3">
        <v>1886</v>
      </c>
      <c r="C50" s="3" t="s">
        <v>305</v>
      </c>
      <c r="D50" s="4">
        <v>4830000</v>
      </c>
      <c r="E50" s="4">
        <v>4830000</v>
      </c>
      <c r="F50" s="4">
        <f t="shared" si="0"/>
        <v>0</v>
      </c>
      <c r="G50" s="4">
        <v>4830000</v>
      </c>
      <c r="H50" s="4">
        <v>1945158</v>
      </c>
      <c r="I50" s="4">
        <v>2022424</v>
      </c>
      <c r="J50" s="4">
        <v>401418</v>
      </c>
      <c r="K50" s="4">
        <f t="shared" si="4"/>
        <v>2423842</v>
      </c>
      <c r="L50" s="4">
        <f t="shared" si="5"/>
        <v>4369000</v>
      </c>
      <c r="M50" s="4">
        <f t="shared" si="14"/>
        <v>461000</v>
      </c>
      <c r="N50" s="4"/>
      <c r="O50" s="4">
        <f t="shared" si="15"/>
        <v>0</v>
      </c>
      <c r="P50" s="4">
        <f t="shared" si="16"/>
        <v>461000</v>
      </c>
      <c r="Q50" s="4"/>
      <c r="R50" s="4"/>
      <c r="S50" s="4">
        <f t="shared" si="1"/>
        <v>0</v>
      </c>
      <c r="T50" s="4">
        <f t="shared" si="6"/>
        <v>0</v>
      </c>
      <c r="U50" s="4">
        <f t="shared" si="2"/>
        <v>0</v>
      </c>
      <c r="V50" s="4"/>
      <c r="W50" s="4">
        <f t="shared" si="13"/>
        <v>0</v>
      </c>
      <c r="X50" s="4"/>
      <c r="Y50" s="4"/>
      <c r="Z50" s="4"/>
      <c r="AA50" s="123">
        <v>810000</v>
      </c>
      <c r="AB50" s="4"/>
      <c r="AC50" s="4"/>
      <c r="AD50" s="4"/>
      <c r="AE50" s="4"/>
      <c r="AF50" s="4"/>
      <c r="AG50" s="4"/>
      <c r="AH50" s="4"/>
      <c r="AI50" s="4"/>
      <c r="AJ50" s="4"/>
      <c r="AK50" s="4">
        <f t="shared" si="7"/>
        <v>0</v>
      </c>
      <c r="AL50" s="4"/>
      <c r="AM50" s="4">
        <f t="shared" si="8"/>
        <v>0</v>
      </c>
      <c r="AN50" s="4">
        <f t="shared" si="9"/>
        <v>0</v>
      </c>
      <c r="AO50" s="4"/>
      <c r="AP50" s="4">
        <f t="shared" si="10"/>
        <v>0</v>
      </c>
      <c r="AQ50" s="4"/>
      <c r="AR50" s="4"/>
      <c r="AS50" s="4"/>
      <c r="AT50" s="4"/>
      <c r="AU50" s="4">
        <f t="shared" si="11"/>
        <v>0</v>
      </c>
      <c r="AV50" s="4"/>
      <c r="AW50" s="3"/>
      <c r="AX50" s="4"/>
      <c r="AY50" s="4"/>
      <c r="AZ50" s="4">
        <f t="shared" si="12"/>
        <v>0</v>
      </c>
      <c r="BA50" s="4"/>
      <c r="BB50" s="4"/>
      <c r="BC50" s="4"/>
    </row>
    <row r="51" spans="1:55" s="5" customFormat="1">
      <c r="A51" s="3">
        <f t="shared" si="3"/>
        <v>45</v>
      </c>
      <c r="B51" s="3">
        <v>1887</v>
      </c>
      <c r="C51" s="3" t="s">
        <v>223</v>
      </c>
      <c r="D51" s="4">
        <f>2000000+200000</f>
        <v>2200000</v>
      </c>
      <c r="E51" s="4">
        <v>2000000</v>
      </c>
      <c r="F51" s="4">
        <f t="shared" si="0"/>
        <v>200000</v>
      </c>
      <c r="G51" s="4">
        <v>2000000</v>
      </c>
      <c r="H51" s="4">
        <v>747281.5</v>
      </c>
      <c r="I51" s="4">
        <v>56575.35</v>
      </c>
      <c r="J51" s="4">
        <v>119131</v>
      </c>
      <c r="K51" s="4">
        <f t="shared" si="4"/>
        <v>175706.35</v>
      </c>
      <c r="L51" s="4">
        <f t="shared" si="5"/>
        <v>922987.85</v>
      </c>
      <c r="M51" s="4">
        <f t="shared" si="14"/>
        <v>1077012.1499999999</v>
      </c>
      <c r="N51" s="4">
        <v>200000</v>
      </c>
      <c r="O51" s="4">
        <f t="shared" si="15"/>
        <v>0</v>
      </c>
      <c r="P51" s="4">
        <f t="shared" si="16"/>
        <v>1077012.1499999999</v>
      </c>
      <c r="Q51" s="4"/>
      <c r="R51" s="4"/>
      <c r="S51" s="4">
        <f t="shared" si="1"/>
        <v>0</v>
      </c>
      <c r="T51" s="4">
        <f t="shared" si="6"/>
        <v>0</v>
      </c>
      <c r="U51" s="4">
        <f t="shared" si="2"/>
        <v>200000</v>
      </c>
      <c r="V51" s="4"/>
      <c r="W51" s="4">
        <f t="shared" si="13"/>
        <v>200000</v>
      </c>
      <c r="X51" s="4"/>
      <c r="Y51" s="4"/>
      <c r="Z51" s="3"/>
      <c r="AA51" s="123">
        <v>810000</v>
      </c>
      <c r="AB51" s="4"/>
      <c r="AC51" s="4"/>
      <c r="AD51" s="4"/>
      <c r="AE51" s="4"/>
      <c r="AF51" s="4">
        <v>200000</v>
      </c>
      <c r="AG51" s="4"/>
      <c r="AH51" s="4"/>
      <c r="AI51" s="4"/>
      <c r="AJ51" s="4"/>
      <c r="AK51" s="4">
        <f t="shared" si="7"/>
        <v>200000</v>
      </c>
      <c r="AL51" s="4"/>
      <c r="AM51" s="4">
        <f t="shared" si="8"/>
        <v>200000</v>
      </c>
      <c r="AN51" s="4">
        <f t="shared" si="9"/>
        <v>0</v>
      </c>
      <c r="AO51" s="4"/>
      <c r="AP51" s="4">
        <f t="shared" si="10"/>
        <v>200000</v>
      </c>
      <c r="AQ51" s="4"/>
      <c r="AR51" s="4"/>
      <c r="AS51" s="4"/>
      <c r="AT51" s="4"/>
      <c r="AU51" s="4">
        <f t="shared" si="11"/>
        <v>0</v>
      </c>
      <c r="AV51" s="4"/>
      <c r="AW51" s="3"/>
      <c r="AX51" s="4"/>
      <c r="AY51" s="4"/>
      <c r="AZ51" s="4">
        <f t="shared" si="12"/>
        <v>0</v>
      </c>
      <c r="BA51" s="4"/>
      <c r="BB51" s="4"/>
      <c r="BC51" s="4"/>
    </row>
    <row r="52" spans="1:55" s="5" customFormat="1">
      <c r="A52" s="3">
        <f t="shared" si="3"/>
        <v>46</v>
      </c>
      <c r="B52" s="3">
        <v>1889</v>
      </c>
      <c r="C52" s="3" t="s">
        <v>232</v>
      </c>
      <c r="D52" s="4">
        <v>1450000</v>
      </c>
      <c r="E52" s="4">
        <v>1450000</v>
      </c>
      <c r="F52" s="4">
        <f t="shared" si="0"/>
        <v>0</v>
      </c>
      <c r="G52" s="4">
        <v>1450000</v>
      </c>
      <c r="H52" s="4">
        <v>1162892.1100000001</v>
      </c>
      <c r="I52" s="4">
        <v>18944.64</v>
      </c>
      <c r="J52" s="4">
        <v>268143.96000000002</v>
      </c>
      <c r="K52" s="4">
        <f t="shared" si="4"/>
        <v>287088.60000000003</v>
      </c>
      <c r="L52" s="4">
        <f t="shared" si="5"/>
        <v>1449980.7100000002</v>
      </c>
      <c r="M52" s="4">
        <f t="shared" si="14"/>
        <v>19.289999999804422</v>
      </c>
      <c r="N52" s="4"/>
      <c r="O52" s="4">
        <f t="shared" si="15"/>
        <v>0</v>
      </c>
      <c r="P52" s="4">
        <f t="shared" si="16"/>
        <v>19.289999999804422</v>
      </c>
      <c r="Q52" s="4"/>
      <c r="R52" s="4"/>
      <c r="S52" s="4">
        <f t="shared" si="1"/>
        <v>0</v>
      </c>
      <c r="T52" s="4">
        <f t="shared" si="6"/>
        <v>0</v>
      </c>
      <c r="U52" s="4">
        <f t="shared" si="2"/>
        <v>0</v>
      </c>
      <c r="V52" s="4"/>
      <c r="W52" s="4">
        <f t="shared" si="13"/>
        <v>0</v>
      </c>
      <c r="X52" s="4"/>
      <c r="Y52" s="4"/>
      <c r="Z52" s="3"/>
      <c r="AA52" s="123">
        <v>810000</v>
      </c>
      <c r="AB52" s="4"/>
      <c r="AC52" s="4"/>
      <c r="AD52" s="4"/>
      <c r="AE52" s="4"/>
      <c r="AF52" s="4"/>
      <c r="AG52" s="4"/>
      <c r="AH52" s="4"/>
      <c r="AI52" s="4"/>
      <c r="AJ52" s="4"/>
      <c r="AK52" s="4">
        <f t="shared" si="7"/>
        <v>0</v>
      </c>
      <c r="AL52" s="4"/>
      <c r="AM52" s="4">
        <f t="shared" si="8"/>
        <v>0</v>
      </c>
      <c r="AN52" s="4">
        <f t="shared" si="9"/>
        <v>0</v>
      </c>
      <c r="AO52" s="4"/>
      <c r="AP52" s="4">
        <f t="shared" si="10"/>
        <v>0</v>
      </c>
      <c r="AQ52" s="4"/>
      <c r="AR52" s="4"/>
      <c r="AS52" s="4"/>
      <c r="AT52" s="4"/>
      <c r="AU52" s="4">
        <f t="shared" si="11"/>
        <v>0</v>
      </c>
      <c r="AV52" s="4"/>
      <c r="AW52" s="3"/>
      <c r="AX52" s="4"/>
      <c r="AY52" s="4"/>
      <c r="AZ52" s="4">
        <f t="shared" si="12"/>
        <v>0</v>
      </c>
      <c r="BA52" s="4"/>
      <c r="BB52" s="4"/>
      <c r="BC52" s="4"/>
    </row>
    <row r="53" spans="1:55" s="5" customFormat="1">
      <c r="A53" s="3">
        <f t="shared" si="3"/>
        <v>47</v>
      </c>
      <c r="B53" s="244">
        <v>1891</v>
      </c>
      <c r="C53" s="244" t="s">
        <v>951</v>
      </c>
      <c r="D53" s="4">
        <v>110000</v>
      </c>
      <c r="E53" s="4">
        <v>110000</v>
      </c>
      <c r="F53" s="4">
        <f t="shared" si="0"/>
        <v>0</v>
      </c>
      <c r="G53" s="4">
        <v>110000</v>
      </c>
      <c r="H53" s="4">
        <v>66814.2</v>
      </c>
      <c r="I53" s="4"/>
      <c r="J53" s="4">
        <v>6107.4</v>
      </c>
      <c r="K53" s="4">
        <f>SUM(I53:J53)</f>
        <v>6107.4</v>
      </c>
      <c r="L53" s="4">
        <f t="shared" si="5"/>
        <v>72921.599999999991</v>
      </c>
      <c r="M53" s="4">
        <f t="shared" si="14"/>
        <v>37078.400000000009</v>
      </c>
      <c r="N53" s="4"/>
      <c r="O53" s="4">
        <f t="shared" si="15"/>
        <v>0</v>
      </c>
      <c r="P53" s="4">
        <f t="shared" si="16"/>
        <v>37078.400000000009</v>
      </c>
      <c r="Q53" s="4"/>
      <c r="R53" s="4"/>
      <c r="S53" s="4">
        <f>SUM(Q53:R53)</f>
        <v>0</v>
      </c>
      <c r="T53" s="4">
        <f t="shared" si="6"/>
        <v>0</v>
      </c>
      <c r="U53" s="4">
        <f t="shared" si="2"/>
        <v>0</v>
      </c>
      <c r="V53" s="4"/>
      <c r="W53" s="4">
        <f t="shared" si="13"/>
        <v>0</v>
      </c>
      <c r="X53" s="4"/>
      <c r="Y53" s="4"/>
      <c r="Z53" s="3"/>
      <c r="AA53" s="31">
        <v>742000</v>
      </c>
      <c r="AB53" s="4">
        <f>W53</f>
        <v>0</v>
      </c>
      <c r="AC53" s="4"/>
      <c r="AD53" s="4"/>
      <c r="AE53" s="4"/>
      <c r="AF53" s="4"/>
      <c r="AG53" s="4"/>
      <c r="AH53" s="4"/>
      <c r="AI53" s="4"/>
      <c r="AJ53" s="4"/>
      <c r="AK53" s="4">
        <f t="shared" si="7"/>
        <v>0</v>
      </c>
      <c r="AL53" s="4"/>
      <c r="AM53" s="4">
        <f t="shared" si="8"/>
        <v>0</v>
      </c>
      <c r="AN53" s="4">
        <f t="shared" si="9"/>
        <v>0</v>
      </c>
      <c r="AO53" s="4"/>
      <c r="AP53" s="4">
        <f t="shared" si="10"/>
        <v>0</v>
      </c>
      <c r="AQ53" s="4"/>
      <c r="AR53" s="4"/>
      <c r="AS53" s="4"/>
      <c r="AT53" s="4"/>
      <c r="AU53" s="4">
        <f t="shared" si="11"/>
        <v>0</v>
      </c>
      <c r="AV53" s="4"/>
      <c r="AW53" s="3"/>
      <c r="AX53" s="4"/>
      <c r="AY53" s="4"/>
      <c r="AZ53" s="4">
        <f t="shared" si="12"/>
        <v>0</v>
      </c>
      <c r="BA53" s="4"/>
      <c r="BB53" s="4"/>
      <c r="BC53" s="4"/>
    </row>
    <row r="54" spans="1:55" s="5" customFormat="1">
      <c r="A54" s="3">
        <f t="shared" si="3"/>
        <v>48</v>
      </c>
      <c r="B54" s="244">
        <v>1897</v>
      </c>
      <c r="C54" s="244" t="s">
        <v>952</v>
      </c>
      <c r="D54" s="4">
        <v>200000</v>
      </c>
      <c r="E54" s="4">
        <v>200000</v>
      </c>
      <c r="F54" s="4">
        <f t="shared" si="0"/>
        <v>0</v>
      </c>
      <c r="G54" s="4">
        <v>200000</v>
      </c>
      <c r="H54" s="4">
        <v>160440.88</v>
      </c>
      <c r="I54" s="4"/>
      <c r="J54" s="4"/>
      <c r="K54" s="4">
        <f t="shared" si="4"/>
        <v>0</v>
      </c>
      <c r="L54" s="4">
        <f t="shared" si="5"/>
        <v>160440.88</v>
      </c>
      <c r="M54" s="4">
        <f t="shared" si="14"/>
        <v>39559.119999999995</v>
      </c>
      <c r="N54" s="4"/>
      <c r="O54" s="4">
        <f t="shared" si="15"/>
        <v>0</v>
      </c>
      <c r="P54" s="4">
        <f t="shared" si="16"/>
        <v>39559.119999999995</v>
      </c>
      <c r="Q54" s="4"/>
      <c r="R54" s="4"/>
      <c r="S54" s="4">
        <f t="shared" si="1"/>
        <v>0</v>
      </c>
      <c r="T54" s="4">
        <f t="shared" si="6"/>
        <v>0</v>
      </c>
      <c r="U54" s="4">
        <f t="shared" si="2"/>
        <v>0</v>
      </c>
      <c r="V54" s="4"/>
      <c r="W54" s="4">
        <f t="shared" si="13"/>
        <v>0</v>
      </c>
      <c r="X54" s="4"/>
      <c r="Y54" s="4"/>
      <c r="Z54" s="3"/>
      <c r="AA54" s="123">
        <v>850000</v>
      </c>
      <c r="AB54" s="4"/>
      <c r="AC54" s="4"/>
      <c r="AD54" s="4"/>
      <c r="AE54" s="4"/>
      <c r="AF54" s="4"/>
      <c r="AG54" s="4"/>
      <c r="AH54" s="4"/>
      <c r="AI54" s="4"/>
      <c r="AJ54" s="4"/>
      <c r="AK54" s="4">
        <f t="shared" si="7"/>
        <v>0</v>
      </c>
      <c r="AL54" s="4"/>
      <c r="AM54" s="4">
        <f t="shared" si="8"/>
        <v>0</v>
      </c>
      <c r="AN54" s="4">
        <f t="shared" si="9"/>
        <v>0</v>
      </c>
      <c r="AO54" s="4"/>
      <c r="AP54" s="4">
        <f t="shared" si="10"/>
        <v>0</v>
      </c>
      <c r="AQ54" s="4"/>
      <c r="AR54" s="4"/>
      <c r="AS54" s="4"/>
      <c r="AT54" s="4"/>
      <c r="AU54" s="4">
        <f t="shared" si="11"/>
        <v>0</v>
      </c>
      <c r="AV54" s="4"/>
      <c r="AW54" s="3"/>
      <c r="AX54" s="4"/>
      <c r="AY54" s="4"/>
      <c r="AZ54" s="4">
        <f t="shared" si="12"/>
        <v>0</v>
      </c>
      <c r="BA54" s="4"/>
      <c r="BB54" s="4"/>
      <c r="BC54" s="4"/>
    </row>
    <row r="55" spans="1:55" s="5" customFormat="1">
      <c r="A55" s="3">
        <f t="shared" si="3"/>
        <v>49</v>
      </c>
      <c r="B55" s="3">
        <v>1900</v>
      </c>
      <c r="C55" s="3" t="s">
        <v>224</v>
      </c>
      <c r="D55" s="4">
        <v>700000</v>
      </c>
      <c r="E55" s="4">
        <v>700000</v>
      </c>
      <c r="F55" s="4">
        <f t="shared" si="0"/>
        <v>0</v>
      </c>
      <c r="G55" s="4">
        <v>700000</v>
      </c>
      <c r="H55" s="4">
        <v>0</v>
      </c>
      <c r="I55" s="4">
        <v>23400</v>
      </c>
      <c r="J55" s="4"/>
      <c r="K55" s="4">
        <f t="shared" si="4"/>
        <v>23400</v>
      </c>
      <c r="L55" s="4">
        <f t="shared" si="5"/>
        <v>23400</v>
      </c>
      <c r="M55" s="4">
        <f t="shared" si="14"/>
        <v>676600</v>
      </c>
      <c r="N55" s="4"/>
      <c r="O55" s="4">
        <f t="shared" si="15"/>
        <v>0</v>
      </c>
      <c r="P55" s="4">
        <f t="shared" si="16"/>
        <v>676600</v>
      </c>
      <c r="Q55" s="4"/>
      <c r="R55" s="4"/>
      <c r="S55" s="4">
        <f t="shared" si="1"/>
        <v>0</v>
      </c>
      <c r="T55" s="4">
        <f t="shared" si="6"/>
        <v>0</v>
      </c>
      <c r="U55" s="4">
        <f t="shared" si="2"/>
        <v>0</v>
      </c>
      <c r="V55" s="4"/>
      <c r="W55" s="4">
        <f t="shared" si="13"/>
        <v>0</v>
      </c>
      <c r="X55" s="4"/>
      <c r="Y55" s="4"/>
      <c r="Z55" s="3"/>
      <c r="AA55" s="123">
        <v>810000</v>
      </c>
      <c r="AB55" s="4"/>
      <c r="AC55" s="4"/>
      <c r="AD55" s="4"/>
      <c r="AE55" s="4"/>
      <c r="AF55" s="4"/>
      <c r="AG55" s="4"/>
      <c r="AH55" s="4"/>
      <c r="AI55" s="4"/>
      <c r="AJ55" s="4"/>
      <c r="AK55" s="4">
        <f t="shared" si="7"/>
        <v>0</v>
      </c>
      <c r="AL55" s="4"/>
      <c r="AM55" s="4">
        <f t="shared" si="8"/>
        <v>0</v>
      </c>
      <c r="AN55" s="4">
        <f t="shared" si="9"/>
        <v>0</v>
      </c>
      <c r="AO55" s="4"/>
      <c r="AP55" s="4">
        <f t="shared" si="10"/>
        <v>0</v>
      </c>
      <c r="AQ55" s="4"/>
      <c r="AR55" s="4"/>
      <c r="AS55" s="4"/>
      <c r="AT55" s="4"/>
      <c r="AU55" s="4">
        <f t="shared" si="11"/>
        <v>0</v>
      </c>
      <c r="AV55" s="4"/>
      <c r="AW55" s="3"/>
      <c r="AX55" s="4"/>
      <c r="AY55" s="4"/>
      <c r="AZ55" s="4">
        <f t="shared" si="12"/>
        <v>0</v>
      </c>
      <c r="BA55" s="4"/>
      <c r="BB55" s="4"/>
      <c r="BC55" s="4"/>
    </row>
    <row r="56" spans="1:55" s="5" customFormat="1">
      <c r="A56" s="3">
        <f t="shared" si="3"/>
        <v>50</v>
      </c>
      <c r="B56" s="3">
        <v>1916</v>
      </c>
      <c r="C56" s="3" t="s">
        <v>225</v>
      </c>
      <c r="D56" s="4">
        <v>300000</v>
      </c>
      <c r="E56" s="4">
        <v>300000</v>
      </c>
      <c r="F56" s="4">
        <f t="shared" si="0"/>
        <v>0</v>
      </c>
      <c r="G56" s="4">
        <v>300000</v>
      </c>
      <c r="H56" s="4">
        <v>0</v>
      </c>
      <c r="I56" s="4"/>
      <c r="J56" s="4">
        <v>300000</v>
      </c>
      <c r="K56" s="4">
        <f t="shared" si="4"/>
        <v>300000</v>
      </c>
      <c r="L56" s="4">
        <f t="shared" si="5"/>
        <v>300000</v>
      </c>
      <c r="M56" s="4">
        <f t="shared" si="14"/>
        <v>0</v>
      </c>
      <c r="N56" s="4"/>
      <c r="O56" s="4">
        <f t="shared" si="15"/>
        <v>0</v>
      </c>
      <c r="P56" s="4">
        <f t="shared" si="16"/>
        <v>0</v>
      </c>
      <c r="Q56" s="4"/>
      <c r="R56" s="4"/>
      <c r="S56" s="4">
        <f t="shared" si="1"/>
        <v>0</v>
      </c>
      <c r="T56" s="4">
        <f t="shared" si="6"/>
        <v>0</v>
      </c>
      <c r="U56" s="4">
        <f t="shared" si="2"/>
        <v>0</v>
      </c>
      <c r="V56" s="4"/>
      <c r="W56" s="4">
        <f t="shared" si="13"/>
        <v>0</v>
      </c>
      <c r="X56" s="4"/>
      <c r="Y56" s="4"/>
      <c r="Z56" s="3"/>
      <c r="AA56" s="123">
        <v>824000</v>
      </c>
      <c r="AB56" s="4"/>
      <c r="AC56" s="4"/>
      <c r="AD56" s="4"/>
      <c r="AE56" s="4"/>
      <c r="AF56" s="4"/>
      <c r="AG56" s="4"/>
      <c r="AH56" s="4"/>
      <c r="AI56" s="4"/>
      <c r="AJ56" s="4"/>
      <c r="AK56" s="4">
        <f t="shared" si="7"/>
        <v>0</v>
      </c>
      <c r="AL56" s="4"/>
      <c r="AM56" s="4">
        <f t="shared" si="8"/>
        <v>0</v>
      </c>
      <c r="AN56" s="4">
        <f t="shared" si="9"/>
        <v>0</v>
      </c>
      <c r="AO56" s="4"/>
      <c r="AP56" s="4">
        <f t="shared" si="10"/>
        <v>0</v>
      </c>
      <c r="AQ56" s="4"/>
      <c r="AR56" s="4"/>
      <c r="AS56" s="4"/>
      <c r="AT56" s="4"/>
      <c r="AU56" s="4">
        <f t="shared" si="11"/>
        <v>0</v>
      </c>
      <c r="AV56" s="4"/>
      <c r="AW56" s="3"/>
      <c r="AX56" s="4"/>
      <c r="AY56" s="4"/>
      <c r="AZ56" s="4">
        <f t="shared" si="12"/>
        <v>0</v>
      </c>
      <c r="BA56" s="4"/>
      <c r="BB56" s="4"/>
      <c r="BC56" s="4"/>
    </row>
    <row r="57" spans="1:55" s="5" customFormat="1">
      <c r="A57" s="3">
        <f t="shared" si="3"/>
        <v>51</v>
      </c>
      <c r="B57" s="3">
        <v>1917</v>
      </c>
      <c r="C57" s="3" t="s">
        <v>226</v>
      </c>
      <c r="D57" s="4">
        <v>76800000</v>
      </c>
      <c r="E57" s="4">
        <v>76800000</v>
      </c>
      <c r="F57" s="4">
        <f t="shared" si="0"/>
        <v>0</v>
      </c>
      <c r="G57" s="4">
        <v>7500000</v>
      </c>
      <c r="H57" s="4">
        <v>1715057.51</v>
      </c>
      <c r="I57" s="4"/>
      <c r="J57" s="4">
        <v>5082556</v>
      </c>
      <c r="K57" s="4">
        <f t="shared" si="4"/>
        <v>5082556</v>
      </c>
      <c r="L57" s="4">
        <f t="shared" si="5"/>
        <v>6797613.5099999998</v>
      </c>
      <c r="M57" s="4">
        <f t="shared" si="14"/>
        <v>702386.49000000022</v>
      </c>
      <c r="N57" s="4">
        <v>17000000</v>
      </c>
      <c r="O57" s="4">
        <f t="shared" si="15"/>
        <v>52300000</v>
      </c>
      <c r="P57" s="4">
        <f t="shared" si="16"/>
        <v>702386.49000000022</v>
      </c>
      <c r="Q57" s="4"/>
      <c r="R57" s="24"/>
      <c r="S57" s="4">
        <f t="shared" si="1"/>
        <v>0</v>
      </c>
      <c r="T57" s="4">
        <f t="shared" si="6"/>
        <v>0</v>
      </c>
      <c r="U57" s="4">
        <f t="shared" si="2"/>
        <v>17000000</v>
      </c>
      <c r="V57" s="4">
        <f>N57-W57-Y57-Z57</f>
        <v>15260000</v>
      </c>
      <c r="W57" s="4"/>
      <c r="X57" s="4"/>
      <c r="Y57" s="4"/>
      <c r="Z57" s="4">
        <f>4600000*0.08+U57*0.08+12000</f>
        <v>1740000</v>
      </c>
      <c r="AA57" s="123">
        <v>743000</v>
      </c>
      <c r="AB57" s="4">
        <v>2000000</v>
      </c>
      <c r="AC57" s="4">
        <v>2000000</v>
      </c>
      <c r="AD57" s="4">
        <v>2000000</v>
      </c>
      <c r="AE57" s="4"/>
      <c r="AF57" s="4">
        <v>3000000</v>
      </c>
      <c r="AG57" s="4">
        <v>4000000</v>
      </c>
      <c r="AH57" s="4"/>
      <c r="AI57" s="4">
        <v>4000000</v>
      </c>
      <c r="AJ57" s="4"/>
      <c r="AK57" s="4">
        <f t="shared" si="7"/>
        <v>17000000</v>
      </c>
      <c r="AL57" s="4"/>
      <c r="AM57" s="4">
        <f t="shared" si="8"/>
        <v>17000000</v>
      </c>
      <c r="AN57" s="4">
        <f t="shared" si="9"/>
        <v>0</v>
      </c>
      <c r="AO57" s="4">
        <v>15260000</v>
      </c>
      <c r="AP57" s="4">
        <f t="shared" si="10"/>
        <v>0</v>
      </c>
      <c r="AQ57" s="4"/>
      <c r="AR57" s="4"/>
      <c r="AS57" s="4">
        <v>1740000</v>
      </c>
      <c r="AT57" s="4"/>
      <c r="AU57" s="4">
        <f t="shared" si="11"/>
        <v>0</v>
      </c>
      <c r="AV57" s="4"/>
      <c r="AW57" s="3"/>
      <c r="AX57" s="4"/>
      <c r="AY57" s="4"/>
      <c r="AZ57" s="4">
        <f t="shared" si="12"/>
        <v>0</v>
      </c>
      <c r="BA57" s="4"/>
      <c r="BB57" s="4"/>
      <c r="BC57" s="4"/>
    </row>
    <row r="58" spans="1:55" s="5" customFormat="1">
      <c r="A58" s="3">
        <f t="shared" si="3"/>
        <v>52</v>
      </c>
      <c r="B58" s="3">
        <v>1918</v>
      </c>
      <c r="C58" s="3" t="s">
        <v>227</v>
      </c>
      <c r="D58" s="4">
        <v>2017000</v>
      </c>
      <c r="E58" s="4">
        <v>2017000</v>
      </c>
      <c r="F58" s="4">
        <f t="shared" si="0"/>
        <v>0</v>
      </c>
      <c r="G58" s="4">
        <v>2017000</v>
      </c>
      <c r="H58" s="4">
        <v>0</v>
      </c>
      <c r="I58" s="4">
        <v>1536167.88</v>
      </c>
      <c r="J58" s="4">
        <v>63754</v>
      </c>
      <c r="K58" s="4">
        <f t="shared" si="4"/>
        <v>1599921.88</v>
      </c>
      <c r="L58" s="4">
        <f t="shared" si="5"/>
        <v>1599921.88</v>
      </c>
      <c r="M58" s="4">
        <f t="shared" si="14"/>
        <v>417078.12000000011</v>
      </c>
      <c r="N58" s="4"/>
      <c r="O58" s="4">
        <f t="shared" si="15"/>
        <v>0</v>
      </c>
      <c r="P58" s="4">
        <f t="shared" si="16"/>
        <v>417078.12000000011</v>
      </c>
      <c r="Q58" s="4"/>
      <c r="R58" s="4"/>
      <c r="S58" s="4">
        <f t="shared" si="1"/>
        <v>0</v>
      </c>
      <c r="T58" s="4">
        <f t="shared" si="6"/>
        <v>0</v>
      </c>
      <c r="U58" s="4">
        <f t="shared" si="2"/>
        <v>0</v>
      </c>
      <c r="V58" s="4"/>
      <c r="W58" s="4">
        <f t="shared" si="13"/>
        <v>0</v>
      </c>
      <c r="X58" s="4"/>
      <c r="Y58" s="4"/>
      <c r="Z58" s="3"/>
      <c r="AA58" s="123">
        <v>870000</v>
      </c>
      <c r="AB58" s="4"/>
      <c r="AC58" s="4"/>
      <c r="AD58" s="4"/>
      <c r="AE58" s="4"/>
      <c r="AF58" s="4"/>
      <c r="AG58" s="4"/>
      <c r="AH58" s="4"/>
      <c r="AI58" s="4"/>
      <c r="AJ58" s="4"/>
      <c r="AK58" s="4">
        <f t="shared" si="7"/>
        <v>0</v>
      </c>
      <c r="AL58" s="4"/>
      <c r="AM58" s="4">
        <f t="shared" si="8"/>
        <v>0</v>
      </c>
      <c r="AN58" s="4">
        <f t="shared" si="9"/>
        <v>0</v>
      </c>
      <c r="AO58" s="4"/>
      <c r="AP58" s="4">
        <f t="shared" si="10"/>
        <v>0</v>
      </c>
      <c r="AQ58" s="4"/>
      <c r="AR58" s="4"/>
      <c r="AS58" s="4"/>
      <c r="AT58" s="4"/>
      <c r="AU58" s="4">
        <f t="shared" si="11"/>
        <v>0</v>
      </c>
      <c r="AV58" s="4"/>
      <c r="AW58" s="3"/>
      <c r="AX58" s="4"/>
      <c r="AY58" s="4"/>
      <c r="AZ58" s="4">
        <f t="shared" si="12"/>
        <v>0</v>
      </c>
      <c r="BA58" s="4"/>
      <c r="BB58" s="4"/>
      <c r="BC58" s="4"/>
    </row>
    <row r="59" spans="1:55" s="5" customFormat="1">
      <c r="A59" s="3">
        <f t="shared" si="3"/>
        <v>53</v>
      </c>
      <c r="B59" s="3">
        <v>1925</v>
      </c>
      <c r="C59" s="3" t="s">
        <v>228</v>
      </c>
      <c r="D59" s="4">
        <v>1000000</v>
      </c>
      <c r="E59" s="4">
        <v>1000000</v>
      </c>
      <c r="F59" s="4">
        <f t="shared" si="0"/>
        <v>0</v>
      </c>
      <c r="G59" s="4">
        <v>1000000</v>
      </c>
      <c r="H59" s="4">
        <v>0</v>
      </c>
      <c r="I59" s="4">
        <v>580611</v>
      </c>
      <c r="J59" s="4">
        <v>296081</v>
      </c>
      <c r="K59" s="4">
        <f t="shared" si="4"/>
        <v>876692</v>
      </c>
      <c r="L59" s="4">
        <f t="shared" si="5"/>
        <v>876692</v>
      </c>
      <c r="M59" s="4">
        <f t="shared" si="14"/>
        <v>123308</v>
      </c>
      <c r="N59" s="4"/>
      <c r="O59" s="4">
        <f t="shared" si="15"/>
        <v>0</v>
      </c>
      <c r="P59" s="4">
        <f t="shared" si="16"/>
        <v>123308</v>
      </c>
      <c r="Q59" s="4"/>
      <c r="R59" s="4"/>
      <c r="S59" s="4">
        <f t="shared" si="1"/>
        <v>0</v>
      </c>
      <c r="T59" s="4">
        <f t="shared" si="6"/>
        <v>0</v>
      </c>
      <c r="U59" s="4">
        <f t="shared" si="2"/>
        <v>0</v>
      </c>
      <c r="V59" s="4"/>
      <c r="W59" s="4">
        <f t="shared" si="13"/>
        <v>0</v>
      </c>
      <c r="X59" s="4"/>
      <c r="Y59" s="4"/>
      <c r="Z59" s="3"/>
      <c r="AA59" s="123">
        <v>850000</v>
      </c>
      <c r="AB59" s="4"/>
      <c r="AC59" s="4"/>
      <c r="AD59" s="4"/>
      <c r="AE59" s="4"/>
      <c r="AF59" s="4"/>
      <c r="AG59" s="4"/>
      <c r="AH59" s="4"/>
      <c r="AI59" s="4"/>
      <c r="AJ59" s="4"/>
      <c r="AK59" s="4">
        <f t="shared" si="7"/>
        <v>0</v>
      </c>
      <c r="AL59" s="4"/>
      <c r="AM59" s="4">
        <f t="shared" si="8"/>
        <v>0</v>
      </c>
      <c r="AN59" s="4">
        <f t="shared" si="9"/>
        <v>0</v>
      </c>
      <c r="AO59" s="4"/>
      <c r="AP59" s="4">
        <f t="shared" si="10"/>
        <v>0</v>
      </c>
      <c r="AQ59" s="4"/>
      <c r="AR59" s="4"/>
      <c r="AS59" s="4"/>
      <c r="AT59" s="4"/>
      <c r="AU59" s="4">
        <f t="shared" si="11"/>
        <v>0</v>
      </c>
      <c r="AV59" s="4"/>
      <c r="AW59" s="3"/>
      <c r="AX59" s="4"/>
      <c r="AY59" s="4"/>
      <c r="AZ59" s="4">
        <f t="shared" si="12"/>
        <v>0</v>
      </c>
      <c r="BA59" s="4"/>
      <c r="BB59" s="4"/>
      <c r="BC59" s="4"/>
    </row>
    <row r="60" spans="1:55" s="5" customFormat="1">
      <c r="A60" s="3">
        <f t="shared" si="3"/>
        <v>54</v>
      </c>
      <c r="B60" s="244">
        <v>1926</v>
      </c>
      <c r="C60" s="244" t="s">
        <v>953</v>
      </c>
      <c r="D60" s="4">
        <v>850000</v>
      </c>
      <c r="E60" s="4">
        <v>850000</v>
      </c>
      <c r="F60" s="4">
        <f t="shared" si="0"/>
        <v>0</v>
      </c>
      <c r="G60" s="4">
        <v>850000</v>
      </c>
      <c r="H60" s="4">
        <v>154966.89000000001</v>
      </c>
      <c r="I60" s="4"/>
      <c r="J60" s="4">
        <v>170071</v>
      </c>
      <c r="K60" s="4">
        <f t="shared" si="4"/>
        <v>170071</v>
      </c>
      <c r="L60" s="4">
        <f t="shared" si="5"/>
        <v>325037.89</v>
      </c>
      <c r="M60" s="4">
        <f t="shared" si="14"/>
        <v>524962.11</v>
      </c>
      <c r="N60" s="4"/>
      <c r="O60" s="4">
        <f t="shared" si="15"/>
        <v>0</v>
      </c>
      <c r="P60" s="4">
        <f t="shared" si="16"/>
        <v>524962.11</v>
      </c>
      <c r="Q60" s="4"/>
      <c r="R60" s="4"/>
      <c r="S60" s="4">
        <f t="shared" si="1"/>
        <v>0</v>
      </c>
      <c r="T60" s="4">
        <f t="shared" si="6"/>
        <v>0</v>
      </c>
      <c r="U60" s="4">
        <f t="shared" si="2"/>
        <v>0</v>
      </c>
      <c r="V60" s="4"/>
      <c r="W60" s="4">
        <f t="shared" si="13"/>
        <v>0</v>
      </c>
      <c r="X60" s="4"/>
      <c r="Y60" s="4"/>
      <c r="Z60" s="3"/>
      <c r="AA60" s="123">
        <v>810000</v>
      </c>
      <c r="AB60" s="4"/>
      <c r="AC60" s="4"/>
      <c r="AD60" s="4"/>
      <c r="AE60" s="4"/>
      <c r="AF60" s="4"/>
      <c r="AG60" s="4"/>
      <c r="AH60" s="4"/>
      <c r="AI60" s="4"/>
      <c r="AJ60" s="4"/>
      <c r="AK60" s="4">
        <f t="shared" si="7"/>
        <v>0</v>
      </c>
      <c r="AL60" s="4"/>
      <c r="AM60" s="4">
        <f t="shared" si="8"/>
        <v>0</v>
      </c>
      <c r="AN60" s="4">
        <f t="shared" si="9"/>
        <v>0</v>
      </c>
      <c r="AO60" s="4"/>
      <c r="AP60" s="4">
        <f t="shared" si="10"/>
        <v>0</v>
      </c>
      <c r="AQ60" s="4"/>
      <c r="AR60" s="4"/>
      <c r="AS60" s="4"/>
      <c r="AT60" s="4"/>
      <c r="AU60" s="4">
        <f t="shared" si="11"/>
        <v>0</v>
      </c>
      <c r="AV60" s="4"/>
      <c r="AW60" s="3"/>
      <c r="AX60" s="4"/>
      <c r="AY60" s="4"/>
      <c r="AZ60" s="4">
        <f t="shared" si="12"/>
        <v>0</v>
      </c>
      <c r="BA60" s="4"/>
      <c r="BB60" s="4"/>
      <c r="BC60" s="4"/>
    </row>
    <row r="61" spans="1:55" s="5" customFormat="1">
      <c r="A61" s="3">
        <f t="shared" si="3"/>
        <v>55</v>
      </c>
      <c r="B61" s="3">
        <v>1931</v>
      </c>
      <c r="C61" s="3" t="s">
        <v>231</v>
      </c>
      <c r="D61" s="4">
        <v>831000</v>
      </c>
      <c r="E61" s="4">
        <v>831000</v>
      </c>
      <c r="F61" s="4">
        <f t="shared" si="0"/>
        <v>0</v>
      </c>
      <c r="G61" s="4">
        <v>831000</v>
      </c>
      <c r="H61" s="4">
        <v>715572</v>
      </c>
      <c r="I61" s="4"/>
      <c r="J61" s="4">
        <v>45747</v>
      </c>
      <c r="K61" s="4">
        <f t="shared" si="4"/>
        <v>45747</v>
      </c>
      <c r="L61" s="4">
        <f t="shared" si="5"/>
        <v>761319</v>
      </c>
      <c r="M61" s="4">
        <f t="shared" si="14"/>
        <v>69681</v>
      </c>
      <c r="N61" s="4"/>
      <c r="O61" s="4">
        <f t="shared" si="15"/>
        <v>0</v>
      </c>
      <c r="P61" s="4">
        <f t="shared" si="16"/>
        <v>69681</v>
      </c>
      <c r="Q61" s="4"/>
      <c r="R61" s="4"/>
      <c r="S61" s="4">
        <f t="shared" si="1"/>
        <v>0</v>
      </c>
      <c r="T61" s="4">
        <f t="shared" si="6"/>
        <v>0</v>
      </c>
      <c r="U61" s="4">
        <f t="shared" si="2"/>
        <v>0</v>
      </c>
      <c r="V61" s="4"/>
      <c r="W61" s="4">
        <f t="shared" si="13"/>
        <v>0</v>
      </c>
      <c r="X61" s="4"/>
      <c r="Y61" s="4"/>
      <c r="Z61" s="3"/>
      <c r="AA61" s="123">
        <v>810000</v>
      </c>
      <c r="AB61" s="4"/>
      <c r="AC61" s="4"/>
      <c r="AD61" s="4"/>
      <c r="AE61" s="4"/>
      <c r="AF61" s="4"/>
      <c r="AG61" s="4"/>
      <c r="AH61" s="4"/>
      <c r="AI61" s="4"/>
      <c r="AJ61" s="4"/>
      <c r="AK61" s="4">
        <f t="shared" si="7"/>
        <v>0</v>
      </c>
      <c r="AL61" s="4"/>
      <c r="AM61" s="4">
        <f t="shared" si="8"/>
        <v>0</v>
      </c>
      <c r="AN61" s="4">
        <f t="shared" si="9"/>
        <v>0</v>
      </c>
      <c r="AO61" s="4"/>
      <c r="AP61" s="4">
        <f t="shared" si="10"/>
        <v>0</v>
      </c>
      <c r="AQ61" s="4"/>
      <c r="AR61" s="4"/>
      <c r="AS61" s="4"/>
      <c r="AT61" s="4"/>
      <c r="AU61" s="4">
        <f t="shared" si="11"/>
        <v>0</v>
      </c>
      <c r="AV61" s="4"/>
      <c r="AW61" s="3"/>
      <c r="AX61" s="4"/>
      <c r="AY61" s="4"/>
      <c r="AZ61" s="4">
        <f t="shared" si="12"/>
        <v>0</v>
      </c>
      <c r="BA61" s="4"/>
      <c r="BB61" s="4"/>
      <c r="BC61" s="4"/>
    </row>
    <row r="62" spans="1:55" s="5" customFormat="1">
      <c r="A62" s="3">
        <f t="shared" si="3"/>
        <v>56</v>
      </c>
      <c r="B62" s="3">
        <v>1933</v>
      </c>
      <c r="C62" s="3" t="s">
        <v>259</v>
      </c>
      <c r="D62" s="4">
        <f>1900000-700000</f>
        <v>1200000</v>
      </c>
      <c r="E62" s="4">
        <v>200000</v>
      </c>
      <c r="F62" s="4">
        <f t="shared" si="0"/>
        <v>1000000</v>
      </c>
      <c r="G62" s="4">
        <v>200000</v>
      </c>
      <c r="H62" s="4">
        <v>9360</v>
      </c>
      <c r="I62" s="4"/>
      <c r="J62" s="4">
        <v>158859</v>
      </c>
      <c r="K62" s="4">
        <f t="shared" si="4"/>
        <v>158859</v>
      </c>
      <c r="L62" s="4">
        <f t="shared" si="5"/>
        <v>168219</v>
      </c>
      <c r="M62" s="4">
        <f t="shared" si="14"/>
        <v>31781</v>
      </c>
      <c r="N62" s="4">
        <f>1700000-700000</f>
        <v>1000000</v>
      </c>
      <c r="O62" s="4">
        <f t="shared" si="15"/>
        <v>0</v>
      </c>
      <c r="P62" s="4">
        <f t="shared" si="16"/>
        <v>31781</v>
      </c>
      <c r="Q62" s="4"/>
      <c r="R62" s="4"/>
      <c r="S62" s="4">
        <f t="shared" si="1"/>
        <v>0</v>
      </c>
      <c r="T62" s="4">
        <f t="shared" si="6"/>
        <v>0</v>
      </c>
      <c r="U62" s="4">
        <f t="shared" si="2"/>
        <v>1000000</v>
      </c>
      <c r="V62" s="4">
        <f>500000+500000</f>
        <v>1000000</v>
      </c>
      <c r="W62" s="4">
        <f t="shared" si="13"/>
        <v>0</v>
      </c>
      <c r="X62" s="4"/>
      <c r="Y62" s="4"/>
      <c r="Z62" s="3"/>
      <c r="AA62" s="123">
        <v>826000</v>
      </c>
      <c r="AB62" s="4"/>
      <c r="AC62" s="4">
        <v>400000</v>
      </c>
      <c r="AD62" s="4"/>
      <c r="AE62" s="4"/>
      <c r="AF62" s="4">
        <v>600000</v>
      </c>
      <c r="AG62" s="4"/>
      <c r="AH62" s="4"/>
      <c r="AI62" s="4"/>
      <c r="AJ62" s="4"/>
      <c r="AK62" s="4">
        <f t="shared" si="7"/>
        <v>1000000</v>
      </c>
      <c r="AL62" s="4"/>
      <c r="AM62" s="4">
        <f t="shared" si="8"/>
        <v>1000000</v>
      </c>
      <c r="AN62" s="4">
        <f t="shared" si="9"/>
        <v>0</v>
      </c>
      <c r="AO62" s="4">
        <v>1000000</v>
      </c>
      <c r="AP62" s="4">
        <f t="shared" si="10"/>
        <v>0</v>
      </c>
      <c r="AQ62" s="4"/>
      <c r="AR62" s="4"/>
      <c r="AS62" s="4"/>
      <c r="AT62" s="4"/>
      <c r="AU62" s="4">
        <f t="shared" si="11"/>
        <v>0</v>
      </c>
      <c r="AV62" s="4"/>
      <c r="AW62" s="3"/>
      <c r="AX62" s="4"/>
      <c r="AY62" s="4"/>
      <c r="AZ62" s="4">
        <f t="shared" si="12"/>
        <v>0</v>
      </c>
      <c r="BA62" s="4"/>
      <c r="BB62" s="4"/>
      <c r="BC62" s="4"/>
    </row>
    <row r="63" spans="1:55" s="5" customFormat="1">
      <c r="A63" s="3">
        <f t="shared" si="3"/>
        <v>57</v>
      </c>
      <c r="B63" s="3">
        <v>1942</v>
      </c>
      <c r="C63" s="3" t="s">
        <v>260</v>
      </c>
      <c r="D63" s="4">
        <f>572000+400000</f>
        <v>972000</v>
      </c>
      <c r="E63" s="4">
        <v>572000</v>
      </c>
      <c r="F63" s="4">
        <f t="shared" si="0"/>
        <v>400000</v>
      </c>
      <c r="G63" s="4">
        <v>572000</v>
      </c>
      <c r="H63" s="4">
        <v>0</v>
      </c>
      <c r="I63" s="4"/>
      <c r="J63" s="4">
        <v>8403</v>
      </c>
      <c r="K63" s="4">
        <f t="shared" si="4"/>
        <v>8403</v>
      </c>
      <c r="L63" s="4">
        <f t="shared" si="5"/>
        <v>8403</v>
      </c>
      <c r="M63" s="4">
        <f t="shared" si="14"/>
        <v>563597</v>
      </c>
      <c r="N63" s="4">
        <v>400000</v>
      </c>
      <c r="O63" s="4">
        <f t="shared" si="15"/>
        <v>0</v>
      </c>
      <c r="P63" s="4">
        <f t="shared" si="16"/>
        <v>563597</v>
      </c>
      <c r="Q63" s="4"/>
      <c r="R63" s="4"/>
      <c r="S63" s="4">
        <f t="shared" si="1"/>
        <v>0</v>
      </c>
      <c r="T63" s="4">
        <f t="shared" si="6"/>
        <v>0</v>
      </c>
      <c r="U63" s="4">
        <f t="shared" si="2"/>
        <v>400000</v>
      </c>
      <c r="V63" s="4">
        <v>400000</v>
      </c>
      <c r="W63" s="4">
        <f t="shared" si="13"/>
        <v>0</v>
      </c>
      <c r="X63" s="4"/>
      <c r="Y63" s="4"/>
      <c r="Z63" s="3"/>
      <c r="AA63" s="123">
        <v>724000</v>
      </c>
      <c r="AB63" s="4"/>
      <c r="AC63" s="4"/>
      <c r="AD63" s="4"/>
      <c r="AE63" s="4"/>
      <c r="AF63" s="520"/>
      <c r="AG63" s="4"/>
      <c r="AH63" s="520"/>
      <c r="AI63" s="520"/>
      <c r="AJ63" s="4"/>
      <c r="AK63" s="4">
        <f t="shared" si="7"/>
        <v>0</v>
      </c>
      <c r="AL63" s="4"/>
      <c r="AM63" s="4">
        <f t="shared" si="8"/>
        <v>0</v>
      </c>
      <c r="AN63" s="4">
        <f t="shared" si="9"/>
        <v>400000</v>
      </c>
      <c r="AO63" s="4"/>
      <c r="AP63" s="4">
        <f t="shared" si="10"/>
        <v>0</v>
      </c>
      <c r="AQ63" s="4"/>
      <c r="AR63" s="4"/>
      <c r="AS63" s="4"/>
      <c r="AT63" s="4"/>
      <c r="AU63" s="4">
        <f t="shared" si="11"/>
        <v>0</v>
      </c>
      <c r="AV63" s="4"/>
      <c r="AW63" s="3"/>
      <c r="AX63" s="4"/>
      <c r="AY63" s="4">
        <v>400000</v>
      </c>
      <c r="AZ63" s="4">
        <f t="shared" si="12"/>
        <v>0</v>
      </c>
      <c r="BA63" s="4"/>
      <c r="BB63" s="4"/>
      <c r="BC63" s="4"/>
    </row>
    <row r="64" spans="1:55" s="5" customFormat="1">
      <c r="A64" s="3">
        <f t="shared" si="3"/>
        <v>58</v>
      </c>
      <c r="B64" s="3">
        <v>1946</v>
      </c>
      <c r="C64" s="3" t="s">
        <v>306</v>
      </c>
      <c r="D64" s="4">
        <v>590000</v>
      </c>
      <c r="E64" s="4">
        <v>590000</v>
      </c>
      <c r="F64" s="4">
        <f t="shared" si="0"/>
        <v>0</v>
      </c>
      <c r="G64" s="4">
        <v>590000</v>
      </c>
      <c r="H64" s="4">
        <v>2925</v>
      </c>
      <c r="I64" s="4"/>
      <c r="J64" s="4">
        <v>374284</v>
      </c>
      <c r="K64" s="4">
        <f t="shared" si="4"/>
        <v>374284</v>
      </c>
      <c r="L64" s="4">
        <f t="shared" si="5"/>
        <v>377209</v>
      </c>
      <c r="M64" s="4">
        <f t="shared" si="14"/>
        <v>212791</v>
      </c>
      <c r="N64" s="4"/>
      <c r="O64" s="4">
        <f t="shared" si="15"/>
        <v>0</v>
      </c>
      <c r="P64" s="4">
        <f t="shared" si="16"/>
        <v>212791</v>
      </c>
      <c r="Q64" s="4"/>
      <c r="R64" s="4"/>
      <c r="S64" s="4">
        <f t="shared" ref="S64:S72" si="17">SUM(Q64:R64)</f>
        <v>0</v>
      </c>
      <c r="T64" s="4">
        <f t="shared" si="6"/>
        <v>0</v>
      </c>
      <c r="U64" s="4">
        <f t="shared" si="2"/>
        <v>0</v>
      </c>
      <c r="V64" s="4"/>
      <c r="W64" s="4">
        <f t="shared" si="13"/>
        <v>0</v>
      </c>
      <c r="X64" s="4"/>
      <c r="Y64" s="4"/>
      <c r="Z64" s="3"/>
      <c r="AA64" s="123">
        <v>810000</v>
      </c>
      <c r="AB64" s="4"/>
      <c r="AC64" s="4"/>
      <c r="AD64" s="4"/>
      <c r="AE64" s="4"/>
      <c r="AF64" s="4"/>
      <c r="AG64" s="4"/>
      <c r="AH64" s="4"/>
      <c r="AI64" s="4"/>
      <c r="AJ64" s="4"/>
      <c r="AK64" s="4">
        <f t="shared" si="7"/>
        <v>0</v>
      </c>
      <c r="AL64" s="4"/>
      <c r="AM64" s="4">
        <f t="shared" si="8"/>
        <v>0</v>
      </c>
      <c r="AN64" s="4">
        <f t="shared" si="9"/>
        <v>0</v>
      </c>
      <c r="AO64" s="4"/>
      <c r="AP64" s="4">
        <f t="shared" si="10"/>
        <v>0</v>
      </c>
      <c r="AQ64" s="4"/>
      <c r="AR64" s="4"/>
      <c r="AS64" s="4"/>
      <c r="AT64" s="4"/>
      <c r="AU64" s="4">
        <f t="shared" si="11"/>
        <v>0</v>
      </c>
      <c r="AV64" s="4"/>
      <c r="AW64" s="3"/>
      <c r="AX64" s="4"/>
      <c r="AY64" s="4"/>
      <c r="AZ64" s="4">
        <f t="shared" si="12"/>
        <v>0</v>
      </c>
      <c r="BA64" s="4"/>
      <c r="BB64" s="4"/>
      <c r="BC64" s="4"/>
    </row>
    <row r="65" spans="1:55" s="5" customFormat="1">
      <c r="A65" s="3">
        <f t="shared" si="3"/>
        <v>59</v>
      </c>
      <c r="B65" s="3">
        <v>1947</v>
      </c>
      <c r="C65" s="3" t="s">
        <v>326</v>
      </c>
      <c r="D65" s="4">
        <v>1400000</v>
      </c>
      <c r="E65" s="4">
        <v>1400000</v>
      </c>
      <c r="F65" s="4">
        <f t="shared" si="0"/>
        <v>0</v>
      </c>
      <c r="G65" s="4">
        <v>1400000</v>
      </c>
      <c r="H65" s="4">
        <v>0</v>
      </c>
      <c r="I65" s="4"/>
      <c r="J65" s="4"/>
      <c r="K65" s="4">
        <f t="shared" ref="K65:K72" si="18">SUM(I65:J65)</f>
        <v>0</v>
      </c>
      <c r="L65" s="4">
        <f t="shared" si="5"/>
        <v>0</v>
      </c>
      <c r="M65" s="4">
        <f t="shared" si="14"/>
        <v>1400000</v>
      </c>
      <c r="N65" s="4"/>
      <c r="O65" s="4">
        <f t="shared" si="15"/>
        <v>0</v>
      </c>
      <c r="P65" s="4">
        <f t="shared" si="16"/>
        <v>1400000</v>
      </c>
      <c r="Q65" s="4"/>
      <c r="R65" s="4"/>
      <c r="S65" s="4">
        <f t="shared" si="17"/>
        <v>0</v>
      </c>
      <c r="T65" s="4">
        <f t="shared" si="6"/>
        <v>0</v>
      </c>
      <c r="U65" s="4">
        <f t="shared" si="2"/>
        <v>0</v>
      </c>
      <c r="V65" s="4"/>
      <c r="W65" s="4">
        <f t="shared" si="13"/>
        <v>0</v>
      </c>
      <c r="X65" s="4"/>
      <c r="Y65" s="4"/>
      <c r="Z65" s="3"/>
      <c r="AA65" s="123">
        <v>850000</v>
      </c>
      <c r="AB65" s="4"/>
      <c r="AC65" s="4"/>
      <c r="AD65" s="4"/>
      <c r="AE65" s="4"/>
      <c r="AF65" s="4"/>
      <c r="AG65" s="4"/>
      <c r="AH65" s="4"/>
      <c r="AI65" s="4"/>
      <c r="AJ65" s="4"/>
      <c r="AK65" s="4">
        <f t="shared" si="7"/>
        <v>0</v>
      </c>
      <c r="AL65" s="4"/>
      <c r="AM65" s="4">
        <f t="shared" si="8"/>
        <v>0</v>
      </c>
      <c r="AN65" s="4">
        <f t="shared" si="9"/>
        <v>0</v>
      </c>
      <c r="AO65" s="4"/>
      <c r="AP65" s="4">
        <f t="shared" si="10"/>
        <v>0</v>
      </c>
      <c r="AQ65" s="4"/>
      <c r="AR65" s="4"/>
      <c r="AS65" s="4"/>
      <c r="AT65" s="4"/>
      <c r="AU65" s="4">
        <f t="shared" si="11"/>
        <v>0</v>
      </c>
      <c r="AV65" s="4"/>
      <c r="AW65" s="3"/>
      <c r="AX65" s="4"/>
      <c r="AY65" s="4"/>
      <c r="AZ65" s="4">
        <f t="shared" si="12"/>
        <v>0</v>
      </c>
      <c r="BA65" s="4"/>
      <c r="BB65" s="4"/>
      <c r="BC65" s="4"/>
    </row>
    <row r="66" spans="1:55" s="5" customFormat="1">
      <c r="A66" s="3">
        <f t="shared" si="3"/>
        <v>60</v>
      </c>
      <c r="B66" s="3">
        <v>1966</v>
      </c>
      <c r="C66" s="3" t="s">
        <v>261</v>
      </c>
      <c r="D66" s="4">
        <v>1700000</v>
      </c>
      <c r="E66" s="4">
        <v>1700000</v>
      </c>
      <c r="F66" s="4">
        <f t="shared" si="0"/>
        <v>0</v>
      </c>
      <c r="G66" s="4">
        <v>0</v>
      </c>
      <c r="H66" s="4">
        <v>0</v>
      </c>
      <c r="I66" s="4"/>
      <c r="J66" s="4"/>
      <c r="K66" s="4">
        <f t="shared" si="18"/>
        <v>0</v>
      </c>
      <c r="L66" s="4">
        <f t="shared" si="5"/>
        <v>0</v>
      </c>
      <c r="M66" s="4">
        <f t="shared" si="14"/>
        <v>0</v>
      </c>
      <c r="N66" s="4">
        <v>1700000</v>
      </c>
      <c r="O66" s="4">
        <f t="shared" si="15"/>
        <v>0</v>
      </c>
      <c r="P66" s="4">
        <f t="shared" si="16"/>
        <v>0</v>
      </c>
      <c r="Q66" s="4"/>
      <c r="R66" s="24"/>
      <c r="S66" s="4">
        <f t="shared" si="17"/>
        <v>0</v>
      </c>
      <c r="T66" s="4">
        <f t="shared" si="6"/>
        <v>0</v>
      </c>
      <c r="U66" s="4">
        <f t="shared" si="2"/>
        <v>1700000</v>
      </c>
      <c r="V66" s="4">
        <v>500000</v>
      </c>
      <c r="W66" s="4">
        <f t="shared" si="13"/>
        <v>1064000</v>
      </c>
      <c r="X66" s="4"/>
      <c r="Y66" s="4"/>
      <c r="Z66" s="4">
        <f>U66*0.08</f>
        <v>136000</v>
      </c>
      <c r="AA66" s="123">
        <v>870000</v>
      </c>
      <c r="AB66" s="4"/>
      <c r="AC66" s="4"/>
      <c r="AD66" s="4"/>
      <c r="AE66" s="4"/>
      <c r="AF66" s="4"/>
      <c r="AG66" s="4"/>
      <c r="AH66" s="4"/>
      <c r="AI66" s="520">
        <f>136000+64000-200000</f>
        <v>0</v>
      </c>
      <c r="AJ66" s="4">
        <v>1700000</v>
      </c>
      <c r="AK66" s="4">
        <f t="shared" si="7"/>
        <v>1700000</v>
      </c>
      <c r="AL66" s="4"/>
      <c r="AM66" s="4">
        <f t="shared" si="8"/>
        <v>1700000</v>
      </c>
      <c r="AN66" s="4">
        <f t="shared" si="9"/>
        <v>0</v>
      </c>
      <c r="AO66" s="4">
        <v>500000</v>
      </c>
      <c r="AP66" s="4">
        <f t="shared" si="10"/>
        <v>1064000</v>
      </c>
      <c r="AQ66" s="4"/>
      <c r="AR66" s="4"/>
      <c r="AS66" s="4">
        <v>136000</v>
      </c>
      <c r="AT66" s="4"/>
      <c r="AU66" s="4">
        <f t="shared" si="11"/>
        <v>0</v>
      </c>
      <c r="AV66" s="4"/>
      <c r="AW66" s="3"/>
      <c r="AX66" s="4"/>
      <c r="AY66" s="4"/>
      <c r="AZ66" s="4">
        <f t="shared" si="12"/>
        <v>0</v>
      </c>
      <c r="BA66" s="4"/>
      <c r="BB66" s="4"/>
      <c r="BC66" s="4"/>
    </row>
    <row r="67" spans="1:55" s="5" customFormat="1">
      <c r="A67" s="3">
        <f t="shared" si="3"/>
        <v>61</v>
      </c>
      <c r="B67" s="3">
        <v>1967</v>
      </c>
      <c r="C67" s="3" t="s">
        <v>262</v>
      </c>
      <c r="D67" s="4">
        <f>2000000+1000000</f>
        <v>3000000</v>
      </c>
      <c r="E67" s="4">
        <v>2000000</v>
      </c>
      <c r="F67" s="4">
        <f t="shared" si="0"/>
        <v>1000000</v>
      </c>
      <c r="G67" s="4">
        <v>1500000</v>
      </c>
      <c r="H67" s="4">
        <v>0</v>
      </c>
      <c r="I67" s="4">
        <v>257400</v>
      </c>
      <c r="J67" s="4">
        <v>25740</v>
      </c>
      <c r="K67" s="4">
        <f t="shared" si="18"/>
        <v>283140</v>
      </c>
      <c r="L67" s="4">
        <f t="shared" si="5"/>
        <v>283140</v>
      </c>
      <c r="M67" s="4">
        <f t="shared" si="14"/>
        <v>1216860</v>
      </c>
      <c r="N67" s="4">
        <f>1500000-1000000</f>
        <v>500000</v>
      </c>
      <c r="O67" s="4">
        <f t="shared" si="15"/>
        <v>1000000</v>
      </c>
      <c r="P67" s="4">
        <f t="shared" si="16"/>
        <v>1216860</v>
      </c>
      <c r="Q67" s="4"/>
      <c r="R67" s="4"/>
      <c r="S67" s="4">
        <f t="shared" si="17"/>
        <v>0</v>
      </c>
      <c r="T67" s="4">
        <f t="shared" si="6"/>
        <v>0</v>
      </c>
      <c r="U67" s="4">
        <f t="shared" si="2"/>
        <v>500000</v>
      </c>
      <c r="V67" s="4">
        <v>500000</v>
      </c>
      <c r="W67" s="4">
        <f t="shared" si="13"/>
        <v>0</v>
      </c>
      <c r="X67" s="4"/>
      <c r="Y67" s="4"/>
      <c r="Z67" s="3"/>
      <c r="AA67" s="123">
        <v>810000</v>
      </c>
      <c r="AB67" s="4"/>
      <c r="AC67" s="4"/>
      <c r="AD67" s="4"/>
      <c r="AE67" s="4"/>
      <c r="AF67" s="4"/>
      <c r="AG67" s="4"/>
      <c r="AH67" s="4"/>
      <c r="AI67" s="4"/>
      <c r="AJ67" s="4"/>
      <c r="AK67" s="4">
        <f t="shared" si="7"/>
        <v>0</v>
      </c>
      <c r="AL67" s="4"/>
      <c r="AM67" s="4">
        <f t="shared" si="8"/>
        <v>0</v>
      </c>
      <c r="AN67" s="4">
        <f t="shared" si="9"/>
        <v>500000</v>
      </c>
      <c r="AO67" s="4"/>
      <c r="AP67" s="4">
        <f t="shared" si="10"/>
        <v>0</v>
      </c>
      <c r="AQ67" s="4"/>
      <c r="AR67" s="4"/>
      <c r="AS67" s="4"/>
      <c r="AT67" s="4"/>
      <c r="AU67" s="4">
        <f t="shared" si="11"/>
        <v>0</v>
      </c>
      <c r="AV67" s="4"/>
      <c r="AW67" s="3"/>
      <c r="AX67" s="4"/>
      <c r="AY67" s="4">
        <v>500000</v>
      </c>
      <c r="AZ67" s="4">
        <f t="shared" si="12"/>
        <v>0</v>
      </c>
      <c r="BA67" s="4"/>
      <c r="BB67" s="4"/>
      <c r="BC67" s="4"/>
    </row>
    <row r="68" spans="1:55" s="5" customFormat="1">
      <c r="A68" s="3">
        <f t="shared" si="3"/>
        <v>62</v>
      </c>
      <c r="B68" s="3">
        <v>1968</v>
      </c>
      <c r="C68" s="3" t="s">
        <v>263</v>
      </c>
      <c r="D68" s="4">
        <v>1800000</v>
      </c>
      <c r="E68" s="4">
        <v>1000000</v>
      </c>
      <c r="F68" s="4">
        <f t="shared" si="0"/>
        <v>800000</v>
      </c>
      <c r="G68" s="4">
        <v>600000</v>
      </c>
      <c r="H68" s="4">
        <v>12520.13</v>
      </c>
      <c r="I68" s="4"/>
      <c r="J68" s="4">
        <v>587106.04</v>
      </c>
      <c r="K68" s="4">
        <f t="shared" si="18"/>
        <v>587106.04</v>
      </c>
      <c r="L68" s="4">
        <f t="shared" si="5"/>
        <v>599626.17000000004</v>
      </c>
      <c r="M68" s="4">
        <f t="shared" si="14"/>
        <v>373.82999999995809</v>
      </c>
      <c r="N68" s="4">
        <v>600000</v>
      </c>
      <c r="O68" s="4">
        <f t="shared" si="15"/>
        <v>600000</v>
      </c>
      <c r="P68" s="4">
        <f t="shared" si="16"/>
        <v>373.82999999995809</v>
      </c>
      <c r="Q68" s="4"/>
      <c r="R68" s="4"/>
      <c r="S68" s="4">
        <f t="shared" si="17"/>
        <v>0</v>
      </c>
      <c r="T68" s="4">
        <f t="shared" si="6"/>
        <v>0</v>
      </c>
      <c r="U68" s="4">
        <f t="shared" si="2"/>
        <v>600000</v>
      </c>
      <c r="V68" s="4">
        <v>300000</v>
      </c>
      <c r="W68" s="4">
        <f t="shared" si="13"/>
        <v>300000</v>
      </c>
      <c r="X68" s="4"/>
      <c r="Y68" s="4"/>
      <c r="Z68" s="3"/>
      <c r="AA68" s="123">
        <v>848500</v>
      </c>
      <c r="AB68" s="4"/>
      <c r="AC68" s="4"/>
      <c r="AD68" s="4">
        <v>300000</v>
      </c>
      <c r="AE68" s="4"/>
      <c r="AF68" s="4">
        <v>100000</v>
      </c>
      <c r="AG68" s="4">
        <v>200000</v>
      </c>
      <c r="AH68" s="4"/>
      <c r="AI68" s="4"/>
      <c r="AJ68" s="4"/>
      <c r="AK68" s="4">
        <f t="shared" si="7"/>
        <v>600000</v>
      </c>
      <c r="AL68" s="4"/>
      <c r="AM68" s="4">
        <f t="shared" si="8"/>
        <v>600000</v>
      </c>
      <c r="AN68" s="4">
        <f t="shared" si="9"/>
        <v>0</v>
      </c>
      <c r="AO68" s="4">
        <v>300000</v>
      </c>
      <c r="AP68" s="4">
        <f t="shared" si="10"/>
        <v>300000</v>
      </c>
      <c r="AQ68" s="4"/>
      <c r="AR68" s="4"/>
      <c r="AS68" s="4"/>
      <c r="AT68" s="4"/>
      <c r="AU68" s="4">
        <f t="shared" si="11"/>
        <v>0</v>
      </c>
      <c r="AV68" s="4"/>
      <c r="AW68" s="3"/>
      <c r="AX68" s="4"/>
      <c r="AY68" s="4"/>
      <c r="AZ68" s="4">
        <f t="shared" si="12"/>
        <v>0</v>
      </c>
      <c r="BA68" s="4"/>
      <c r="BB68" s="4"/>
      <c r="BC68" s="4"/>
    </row>
    <row r="69" spans="1:55" s="5" customFormat="1">
      <c r="A69" s="3">
        <f t="shared" si="3"/>
        <v>63</v>
      </c>
      <c r="B69" s="3">
        <v>1969</v>
      </c>
      <c r="C69" s="3" t="s">
        <v>264</v>
      </c>
      <c r="D69" s="4">
        <v>1485000</v>
      </c>
      <c r="E69" s="4">
        <v>1485000</v>
      </c>
      <c r="F69" s="4">
        <f t="shared" si="0"/>
        <v>0</v>
      </c>
      <c r="G69" s="4">
        <v>500000</v>
      </c>
      <c r="H69" s="4">
        <v>0</v>
      </c>
      <c r="I69" s="4"/>
      <c r="J69" s="4">
        <v>288743.93</v>
      </c>
      <c r="K69" s="4">
        <f t="shared" si="18"/>
        <v>288743.93</v>
      </c>
      <c r="L69" s="4">
        <f t="shared" si="5"/>
        <v>288743.93</v>
      </c>
      <c r="M69" s="4">
        <f t="shared" si="14"/>
        <v>211256.07</v>
      </c>
      <c r="N69" s="4">
        <v>400000</v>
      </c>
      <c r="O69" s="4">
        <f t="shared" si="15"/>
        <v>585000</v>
      </c>
      <c r="P69" s="4">
        <f t="shared" si="16"/>
        <v>211256.07</v>
      </c>
      <c r="Q69" s="4"/>
      <c r="R69" s="4"/>
      <c r="S69" s="4">
        <f t="shared" si="17"/>
        <v>0</v>
      </c>
      <c r="T69" s="4">
        <f t="shared" si="6"/>
        <v>0</v>
      </c>
      <c r="U69" s="4">
        <f t="shared" si="2"/>
        <v>400000</v>
      </c>
      <c r="V69" s="4">
        <v>400000</v>
      </c>
      <c r="W69" s="4">
        <f t="shared" si="13"/>
        <v>0</v>
      </c>
      <c r="X69" s="4"/>
      <c r="Y69" s="4"/>
      <c r="Z69" s="3"/>
      <c r="AA69" s="123">
        <v>810000</v>
      </c>
      <c r="AB69" s="4"/>
      <c r="AC69" s="4"/>
      <c r="AD69" s="4">
        <v>200000</v>
      </c>
      <c r="AE69" s="4"/>
      <c r="AF69" s="4">
        <v>200000</v>
      </c>
      <c r="AG69" s="4"/>
      <c r="AH69" s="4"/>
      <c r="AI69" s="4"/>
      <c r="AJ69" s="4"/>
      <c r="AK69" s="4">
        <f t="shared" si="7"/>
        <v>400000</v>
      </c>
      <c r="AL69" s="4"/>
      <c r="AM69" s="4">
        <f t="shared" si="8"/>
        <v>400000</v>
      </c>
      <c r="AN69" s="4">
        <f t="shared" si="9"/>
        <v>0</v>
      </c>
      <c r="AO69" s="4">
        <v>400000</v>
      </c>
      <c r="AP69" s="4">
        <f t="shared" si="10"/>
        <v>0</v>
      </c>
      <c r="AQ69" s="4"/>
      <c r="AR69" s="4"/>
      <c r="AS69" s="4"/>
      <c r="AT69" s="4"/>
      <c r="AU69" s="4">
        <f t="shared" si="11"/>
        <v>0</v>
      </c>
      <c r="AV69" s="4"/>
      <c r="AW69" s="3"/>
      <c r="AX69" s="4"/>
      <c r="AY69" s="4"/>
      <c r="AZ69" s="4">
        <f t="shared" si="12"/>
        <v>0</v>
      </c>
      <c r="BA69" s="4"/>
      <c r="BB69" s="4"/>
      <c r="BC69" s="4"/>
    </row>
    <row r="70" spans="1:55" s="5" customFormat="1">
      <c r="A70" s="3">
        <f t="shared" si="3"/>
        <v>64</v>
      </c>
      <c r="B70" s="3">
        <v>1970</v>
      </c>
      <c r="C70" s="3" t="s">
        <v>294</v>
      </c>
      <c r="D70" s="4">
        <f>2700000+4000000-1000000</f>
        <v>5700000</v>
      </c>
      <c r="E70" s="4">
        <v>2700000</v>
      </c>
      <c r="F70" s="4">
        <f t="shared" si="0"/>
        <v>3000000</v>
      </c>
      <c r="G70" s="4">
        <f>2000000+700000</f>
        <v>2700000</v>
      </c>
      <c r="H70" s="4">
        <v>33359</v>
      </c>
      <c r="I70" s="4"/>
      <c r="J70" s="4">
        <v>1726223</v>
      </c>
      <c r="K70" s="4">
        <f t="shared" si="18"/>
        <v>1726223</v>
      </c>
      <c r="L70" s="4">
        <f t="shared" si="5"/>
        <v>1759582</v>
      </c>
      <c r="M70" s="4">
        <f t="shared" si="14"/>
        <v>940418</v>
      </c>
      <c r="N70" s="4">
        <v>3000000</v>
      </c>
      <c r="O70" s="4">
        <f t="shared" si="15"/>
        <v>0</v>
      </c>
      <c r="P70" s="4">
        <f t="shared" si="16"/>
        <v>940418</v>
      </c>
      <c r="Q70" s="4">
        <f>700000-700000</f>
        <v>0</v>
      </c>
      <c r="R70" s="4"/>
      <c r="S70" s="4">
        <f t="shared" si="17"/>
        <v>0</v>
      </c>
      <c r="T70" s="4">
        <f t="shared" si="6"/>
        <v>0</v>
      </c>
      <c r="U70" s="4">
        <f t="shared" si="2"/>
        <v>3000000</v>
      </c>
      <c r="V70" s="4">
        <v>2000000</v>
      </c>
      <c r="W70" s="4">
        <f t="shared" si="13"/>
        <v>1000000</v>
      </c>
      <c r="X70" s="4"/>
      <c r="Y70" s="4"/>
      <c r="Z70" s="3"/>
      <c r="AA70" s="123">
        <v>810000</v>
      </c>
      <c r="AB70" s="4"/>
      <c r="AC70" s="4"/>
      <c r="AD70" s="4">
        <f>590000+1000000</f>
        <v>1590000</v>
      </c>
      <c r="AE70" s="4"/>
      <c r="AF70" s="4">
        <v>1050000</v>
      </c>
      <c r="AG70" s="4">
        <v>360000</v>
      </c>
      <c r="AH70" s="4"/>
      <c r="AI70" s="4"/>
      <c r="AJ70" s="4"/>
      <c r="AK70" s="4">
        <f t="shared" si="7"/>
        <v>3000000</v>
      </c>
      <c r="AL70" s="4"/>
      <c r="AM70" s="4">
        <f t="shared" si="8"/>
        <v>3000000</v>
      </c>
      <c r="AN70" s="4">
        <f t="shared" si="9"/>
        <v>0</v>
      </c>
      <c r="AO70" s="4">
        <v>2000000</v>
      </c>
      <c r="AP70" s="4">
        <f t="shared" si="10"/>
        <v>1000000</v>
      </c>
      <c r="AQ70" s="4"/>
      <c r="AR70" s="4"/>
      <c r="AS70" s="4"/>
      <c r="AT70" s="4"/>
      <c r="AU70" s="4">
        <f t="shared" si="11"/>
        <v>0</v>
      </c>
      <c r="AV70" s="4"/>
      <c r="AW70" s="3"/>
      <c r="AX70" s="4"/>
      <c r="AY70" s="4"/>
      <c r="AZ70" s="4">
        <f t="shared" si="12"/>
        <v>0</v>
      </c>
      <c r="BA70" s="4"/>
      <c r="BB70" s="4"/>
      <c r="BC70" s="4"/>
    </row>
    <row r="71" spans="1:55" s="5" customFormat="1">
      <c r="A71" s="3">
        <f t="shared" si="3"/>
        <v>65</v>
      </c>
      <c r="B71" s="3">
        <v>2000</v>
      </c>
      <c r="C71" s="3" t="s">
        <v>327</v>
      </c>
      <c r="D71" s="4">
        <v>354000</v>
      </c>
      <c r="E71" s="4">
        <v>354000</v>
      </c>
      <c r="F71" s="4">
        <f t="shared" si="0"/>
        <v>0</v>
      </c>
      <c r="G71" s="4">
        <v>354000</v>
      </c>
      <c r="H71" s="4">
        <v>0</v>
      </c>
      <c r="I71" s="4"/>
      <c r="J71" s="4">
        <v>354000</v>
      </c>
      <c r="K71" s="4">
        <f t="shared" si="18"/>
        <v>354000</v>
      </c>
      <c r="L71" s="4">
        <f t="shared" si="5"/>
        <v>354000</v>
      </c>
      <c r="M71" s="4">
        <f>P71+S71</f>
        <v>0</v>
      </c>
      <c r="N71" s="4"/>
      <c r="O71" s="4">
        <f t="shared" si="15"/>
        <v>0</v>
      </c>
      <c r="P71" s="4">
        <f>G71-L71</f>
        <v>0</v>
      </c>
      <c r="Q71" s="4"/>
      <c r="R71" s="4"/>
      <c r="S71" s="4">
        <f t="shared" si="17"/>
        <v>0</v>
      </c>
      <c r="T71" s="4">
        <f t="shared" si="6"/>
        <v>0</v>
      </c>
      <c r="U71" s="4">
        <f t="shared" si="2"/>
        <v>0</v>
      </c>
      <c r="V71" s="4"/>
      <c r="W71" s="4">
        <f t="shared" si="13"/>
        <v>0</v>
      </c>
      <c r="X71" s="4"/>
      <c r="Y71" s="4"/>
      <c r="Z71" s="3"/>
      <c r="AA71" s="123">
        <v>840000</v>
      </c>
      <c r="AB71" s="4"/>
      <c r="AC71" s="4"/>
      <c r="AD71" s="4"/>
      <c r="AE71" s="4"/>
      <c r="AF71" s="4"/>
      <c r="AG71" s="4"/>
      <c r="AH71" s="4"/>
      <c r="AI71" s="4"/>
      <c r="AJ71" s="4"/>
      <c r="AK71" s="4">
        <f t="shared" si="7"/>
        <v>0</v>
      </c>
      <c r="AL71" s="4"/>
      <c r="AM71" s="4">
        <f t="shared" si="8"/>
        <v>0</v>
      </c>
      <c r="AN71" s="4">
        <f t="shared" si="9"/>
        <v>0</v>
      </c>
      <c r="AO71" s="4"/>
      <c r="AP71" s="4">
        <f t="shared" si="10"/>
        <v>0</v>
      </c>
      <c r="AQ71" s="4"/>
      <c r="AR71" s="4"/>
      <c r="AS71" s="4"/>
      <c r="AT71" s="4"/>
      <c r="AU71" s="4">
        <f t="shared" si="11"/>
        <v>0</v>
      </c>
      <c r="AV71" s="4"/>
      <c r="AW71" s="3"/>
      <c r="AX71" s="4"/>
      <c r="AY71" s="4"/>
      <c r="AZ71" s="4">
        <f t="shared" si="12"/>
        <v>0</v>
      </c>
      <c r="BA71" s="4"/>
      <c r="BB71" s="4"/>
      <c r="BC71" s="4"/>
    </row>
    <row r="72" spans="1:55" s="5" customFormat="1">
      <c r="A72" s="3">
        <f t="shared" ref="A72:A77" si="19">A71+1</f>
        <v>66</v>
      </c>
      <c r="B72" s="3">
        <v>2001</v>
      </c>
      <c r="C72" s="3" t="s">
        <v>328</v>
      </c>
      <c r="D72" s="4">
        <v>18500000</v>
      </c>
      <c r="E72" s="4">
        <v>18500000</v>
      </c>
      <c r="F72" s="4">
        <f t="shared" ref="F72:F77" si="20">D72-E72</f>
        <v>0</v>
      </c>
      <c r="G72" s="4">
        <v>6998700</v>
      </c>
      <c r="H72" s="4">
        <v>0</v>
      </c>
      <c r="I72" s="4"/>
      <c r="J72" s="4"/>
      <c r="K72" s="4">
        <f t="shared" si="18"/>
        <v>0</v>
      </c>
      <c r="L72" s="4">
        <f t="shared" si="5"/>
        <v>0</v>
      </c>
      <c r="M72" s="4">
        <f>P72+S72-6998700</f>
        <v>0</v>
      </c>
      <c r="N72" s="4">
        <f>2500000+9001300-11501300+9001300</f>
        <v>9001300</v>
      </c>
      <c r="O72" s="4">
        <f t="shared" si="15"/>
        <v>9498700</v>
      </c>
      <c r="P72" s="4">
        <f>G72-L72</f>
        <v>6998700</v>
      </c>
      <c r="Q72" s="4"/>
      <c r="R72" s="125"/>
      <c r="S72" s="4">
        <f t="shared" si="17"/>
        <v>0</v>
      </c>
      <c r="T72" s="4">
        <f t="shared" si="6"/>
        <v>6998700</v>
      </c>
      <c r="U72" s="4">
        <f t="shared" si="2"/>
        <v>2002600</v>
      </c>
      <c r="V72" s="4">
        <v>-6998700</v>
      </c>
      <c r="W72" s="4">
        <f t="shared" si="13"/>
        <v>0</v>
      </c>
      <c r="X72" s="4"/>
      <c r="Y72" s="4"/>
      <c r="Z72" s="4">
        <v>9001300</v>
      </c>
      <c r="AA72" s="123">
        <v>810000</v>
      </c>
      <c r="AB72" s="4"/>
      <c r="AC72" s="4"/>
      <c r="AD72" s="4"/>
      <c r="AE72" s="4"/>
      <c r="AF72" s="4"/>
      <c r="AG72" s="4">
        <v>-6000000</v>
      </c>
      <c r="AH72" s="4"/>
      <c r="AI72" s="4"/>
      <c r="AJ72" s="4"/>
      <c r="AK72" s="4">
        <f t="shared" ref="AK72:AK77" si="21">SUM(AB72:AJ72)</f>
        <v>-6000000</v>
      </c>
      <c r="AL72" s="4"/>
      <c r="AM72" s="4">
        <f t="shared" ref="AM72:AM77" si="22">AK72+AL72</f>
        <v>-6000000</v>
      </c>
      <c r="AN72" s="4">
        <f t="shared" ref="AN72:AN77" si="23">U72-AM72</f>
        <v>8002600</v>
      </c>
      <c r="AO72" s="4">
        <v>-6000000</v>
      </c>
      <c r="AP72" s="4">
        <f t="shared" ref="AP72:AP77" si="24">AM72-AO72-AQ72-AR72-AS72</f>
        <v>0</v>
      </c>
      <c r="AQ72" s="4"/>
      <c r="AR72" s="4"/>
      <c r="AS72" s="4"/>
      <c r="AT72" s="4"/>
      <c r="AU72" s="4">
        <f t="shared" ref="AU72:AU77" si="25">AL72-AT72-AV72-AW72-AX72</f>
        <v>0</v>
      </c>
      <c r="AV72" s="4"/>
      <c r="AW72" s="3"/>
      <c r="AX72" s="4"/>
      <c r="AY72" s="4">
        <v>-998700</v>
      </c>
      <c r="AZ72" s="4">
        <f t="shared" ref="AZ72:AZ77" si="26">AN72-AY72-BA72-BB72-BC72</f>
        <v>0</v>
      </c>
      <c r="BA72" s="4"/>
      <c r="BB72" s="4"/>
      <c r="BC72" s="4">
        <v>9001300</v>
      </c>
    </row>
    <row r="73" spans="1:55" s="5" customFormat="1">
      <c r="A73" s="3">
        <f t="shared" si="19"/>
        <v>67</v>
      </c>
      <c r="B73" s="42">
        <v>2027</v>
      </c>
      <c r="C73" s="3" t="s">
        <v>582</v>
      </c>
      <c r="D73" s="4">
        <v>1930000</v>
      </c>
      <c r="E73" s="4"/>
      <c r="F73" s="4">
        <f t="shared" si="20"/>
        <v>1930000</v>
      </c>
      <c r="G73" s="4"/>
      <c r="H73" s="4"/>
      <c r="I73" s="4"/>
      <c r="J73" s="4"/>
      <c r="K73" s="4"/>
      <c r="L73" s="4"/>
      <c r="M73" s="4"/>
      <c r="N73" s="4">
        <f>1930000-930000</f>
        <v>1000000</v>
      </c>
      <c r="O73" s="4">
        <f t="shared" si="15"/>
        <v>930000</v>
      </c>
      <c r="P73" s="4"/>
      <c r="Q73" s="4"/>
      <c r="R73" s="4"/>
      <c r="S73" s="4"/>
      <c r="T73" s="4"/>
      <c r="U73" s="4">
        <f>N73-T73</f>
        <v>1000000</v>
      </c>
      <c r="V73" s="4">
        <f>1430000-930000+100000</f>
        <v>600000</v>
      </c>
      <c r="W73" s="4">
        <f>U73-V73-Y73-AB73</f>
        <v>400000</v>
      </c>
      <c r="X73" s="4"/>
      <c r="Y73" s="4"/>
      <c r="Z73" s="3"/>
      <c r="AA73" s="123">
        <v>810000</v>
      </c>
      <c r="AB73" s="4"/>
      <c r="AC73" s="4">
        <v>100000</v>
      </c>
      <c r="AD73" s="4">
        <v>900000</v>
      </c>
      <c r="AE73" s="4"/>
      <c r="AF73" s="4"/>
      <c r="AG73" s="4"/>
      <c r="AH73" s="4"/>
      <c r="AI73" s="4"/>
      <c r="AJ73" s="4"/>
      <c r="AK73" s="4">
        <f t="shared" si="21"/>
        <v>1000000</v>
      </c>
      <c r="AL73" s="4"/>
      <c r="AM73" s="4">
        <f t="shared" si="22"/>
        <v>1000000</v>
      </c>
      <c r="AN73" s="4">
        <f t="shared" si="23"/>
        <v>0</v>
      </c>
      <c r="AO73" s="4">
        <v>600000</v>
      </c>
      <c r="AP73" s="4">
        <f t="shared" si="24"/>
        <v>400000</v>
      </c>
      <c r="AQ73" s="4"/>
      <c r="AR73" s="4"/>
      <c r="AS73" s="4"/>
      <c r="AT73" s="4"/>
      <c r="AU73" s="4">
        <f t="shared" si="25"/>
        <v>0</v>
      </c>
      <c r="AV73" s="4"/>
      <c r="AW73" s="3"/>
      <c r="AX73" s="4"/>
      <c r="AY73" s="4"/>
      <c r="AZ73" s="4">
        <f t="shared" si="26"/>
        <v>0</v>
      </c>
      <c r="BA73" s="4"/>
      <c r="BB73" s="4"/>
      <c r="BC73" s="4"/>
    </row>
    <row r="74" spans="1:55" s="5" customFormat="1">
      <c r="A74" s="3">
        <f t="shared" si="19"/>
        <v>68</v>
      </c>
      <c r="B74" s="42">
        <v>2028</v>
      </c>
      <c r="C74" s="3" t="s">
        <v>358</v>
      </c>
      <c r="D74" s="4">
        <v>1500000</v>
      </c>
      <c r="E74" s="4"/>
      <c r="F74" s="4">
        <f t="shared" si="20"/>
        <v>1500000</v>
      </c>
      <c r="G74" s="4"/>
      <c r="H74" s="4"/>
      <c r="I74" s="4"/>
      <c r="J74" s="4"/>
      <c r="K74" s="4"/>
      <c r="L74" s="4"/>
      <c r="M74" s="4"/>
      <c r="N74" s="4">
        <v>1500000</v>
      </c>
      <c r="O74" s="4">
        <f>D74-L74-M74-N74</f>
        <v>0</v>
      </c>
      <c r="P74" s="4"/>
      <c r="Q74" s="4"/>
      <c r="R74" s="4"/>
      <c r="S74" s="4"/>
      <c r="T74" s="4"/>
      <c r="U74" s="4">
        <f>N74-T74</f>
        <v>1500000</v>
      </c>
      <c r="V74" s="4">
        <v>500000</v>
      </c>
      <c r="W74" s="4">
        <f>U74-V74-Y74-AB74</f>
        <v>1000000</v>
      </c>
      <c r="X74" s="4"/>
      <c r="Y74" s="4"/>
      <c r="Z74" s="3"/>
      <c r="AA74" s="123">
        <v>810000</v>
      </c>
      <c r="AB74" s="4"/>
      <c r="AC74" s="4">
        <v>150000</v>
      </c>
      <c r="AD74" s="4">
        <v>1350000</v>
      </c>
      <c r="AE74" s="4"/>
      <c r="AF74" s="4"/>
      <c r="AG74" s="4"/>
      <c r="AH74" s="4"/>
      <c r="AI74" s="4"/>
      <c r="AJ74" s="4"/>
      <c r="AK74" s="4">
        <f t="shared" si="21"/>
        <v>1500000</v>
      </c>
      <c r="AL74" s="4"/>
      <c r="AM74" s="4">
        <f t="shared" si="22"/>
        <v>1500000</v>
      </c>
      <c r="AN74" s="4">
        <f t="shared" si="23"/>
        <v>0</v>
      </c>
      <c r="AO74" s="4">
        <v>500000</v>
      </c>
      <c r="AP74" s="4">
        <f t="shared" si="24"/>
        <v>1000000</v>
      </c>
      <c r="AQ74" s="4"/>
      <c r="AR74" s="4"/>
      <c r="AS74" s="4"/>
      <c r="AT74" s="4"/>
      <c r="AU74" s="4">
        <f t="shared" si="25"/>
        <v>0</v>
      </c>
      <c r="AV74" s="4"/>
      <c r="AW74" s="3"/>
      <c r="AX74" s="4"/>
      <c r="AY74" s="4"/>
      <c r="AZ74" s="4">
        <f t="shared" si="26"/>
        <v>0</v>
      </c>
      <c r="BA74" s="4"/>
      <c r="BB74" s="4"/>
      <c r="BC74" s="4"/>
    </row>
    <row r="75" spans="1:55" s="5" customFormat="1" ht="28">
      <c r="A75" s="3">
        <f t="shared" si="19"/>
        <v>69</v>
      </c>
      <c r="B75" s="42">
        <v>2029</v>
      </c>
      <c r="C75" s="3" t="s">
        <v>359</v>
      </c>
      <c r="D75" s="4">
        <v>300000</v>
      </c>
      <c r="E75" s="4"/>
      <c r="F75" s="4">
        <f t="shared" si="20"/>
        <v>300000</v>
      </c>
      <c r="G75" s="4"/>
      <c r="H75" s="4"/>
      <c r="I75" s="4"/>
      <c r="J75" s="4"/>
      <c r="K75" s="4"/>
      <c r="L75" s="4"/>
      <c r="M75" s="4"/>
      <c r="N75" s="4">
        <v>300000</v>
      </c>
      <c r="O75" s="4">
        <f>D75-L75-M75-N75</f>
        <v>0</v>
      </c>
      <c r="P75" s="4"/>
      <c r="Q75" s="4"/>
      <c r="R75" s="4"/>
      <c r="S75" s="4"/>
      <c r="T75" s="4"/>
      <c r="U75" s="4">
        <f>N75-T75</f>
        <v>300000</v>
      </c>
      <c r="V75" s="4"/>
      <c r="W75" s="4">
        <f>U75-V75-Y75-AB75</f>
        <v>300000</v>
      </c>
      <c r="X75" s="4"/>
      <c r="Y75" s="4"/>
      <c r="Z75" s="3"/>
      <c r="AA75" s="123">
        <v>850000</v>
      </c>
      <c r="AB75" s="4"/>
      <c r="AC75" s="4">
        <v>100000</v>
      </c>
      <c r="AD75" s="4">
        <v>200000</v>
      </c>
      <c r="AE75" s="4"/>
      <c r="AF75" s="4"/>
      <c r="AG75" s="4"/>
      <c r="AH75" s="4"/>
      <c r="AI75" s="4"/>
      <c r="AJ75" s="4"/>
      <c r="AK75" s="4">
        <f t="shared" si="21"/>
        <v>300000</v>
      </c>
      <c r="AL75" s="4"/>
      <c r="AM75" s="4">
        <f t="shared" si="22"/>
        <v>300000</v>
      </c>
      <c r="AN75" s="4">
        <f t="shared" si="23"/>
        <v>0</v>
      </c>
      <c r="AO75" s="4"/>
      <c r="AP75" s="4">
        <f t="shared" si="24"/>
        <v>300000</v>
      </c>
      <c r="AQ75" s="4"/>
      <c r="AR75" s="4"/>
      <c r="AS75" s="4"/>
      <c r="AT75" s="4"/>
      <c r="AU75" s="4">
        <f t="shared" si="25"/>
        <v>0</v>
      </c>
      <c r="AV75" s="4"/>
      <c r="AW75" s="3"/>
      <c r="AX75" s="4"/>
      <c r="AY75" s="4"/>
      <c r="AZ75" s="4">
        <f t="shared" si="26"/>
        <v>0</v>
      </c>
      <c r="BA75" s="4"/>
      <c r="BB75" s="4"/>
      <c r="BC75" s="4"/>
    </row>
    <row r="76" spans="1:55" s="247" customFormat="1">
      <c r="A76" s="3">
        <f t="shared" si="19"/>
        <v>70</v>
      </c>
      <c r="B76" s="42">
        <v>2030</v>
      </c>
      <c r="C76" s="254" t="s">
        <v>580</v>
      </c>
      <c r="D76" s="255">
        <v>28000000</v>
      </c>
      <c r="E76" s="255"/>
      <c r="F76" s="255">
        <f t="shared" si="20"/>
        <v>28000000</v>
      </c>
      <c r="G76" s="255"/>
      <c r="H76" s="255"/>
      <c r="I76" s="255"/>
      <c r="J76" s="255"/>
      <c r="K76" s="255"/>
      <c r="L76" s="255"/>
      <c r="M76" s="255"/>
      <c r="N76" s="255">
        <v>1000000</v>
      </c>
      <c r="O76" s="255">
        <f>D76-L76-M76-N76</f>
        <v>27000000</v>
      </c>
      <c r="P76" s="255"/>
      <c r="Q76" s="255"/>
      <c r="R76" s="255"/>
      <c r="S76" s="255"/>
      <c r="T76" s="255"/>
      <c r="U76" s="4">
        <f>N76-T76</f>
        <v>1000000</v>
      </c>
      <c r="V76" s="255">
        <f>U76-X76-Y76-Z76</f>
        <v>1000000</v>
      </c>
      <c r="W76" s="255"/>
      <c r="X76" s="255"/>
      <c r="Y76" s="255"/>
      <c r="Z76" s="254"/>
      <c r="AA76" s="528">
        <v>810000</v>
      </c>
      <c r="AB76" s="4"/>
      <c r="AC76" s="4">
        <v>1000000</v>
      </c>
      <c r="AD76" s="4"/>
      <c r="AE76" s="4"/>
      <c r="AF76" s="4"/>
      <c r="AG76" s="4"/>
      <c r="AH76" s="4"/>
      <c r="AI76" s="4"/>
      <c r="AJ76" s="4"/>
      <c r="AK76" s="4">
        <f t="shared" si="21"/>
        <v>1000000</v>
      </c>
      <c r="AL76" s="4"/>
      <c r="AM76" s="4">
        <f t="shared" si="22"/>
        <v>1000000</v>
      </c>
      <c r="AN76" s="4">
        <f t="shared" si="23"/>
        <v>0</v>
      </c>
      <c r="AO76" s="4">
        <v>1000000</v>
      </c>
      <c r="AP76" s="4">
        <f t="shared" si="24"/>
        <v>0</v>
      </c>
      <c r="AQ76" s="4"/>
      <c r="AR76" s="4"/>
      <c r="AS76" s="4"/>
      <c r="AT76" s="4"/>
      <c r="AU76" s="4">
        <f t="shared" si="25"/>
        <v>0</v>
      </c>
      <c r="AV76" s="4"/>
      <c r="AW76" s="267"/>
      <c r="AX76" s="4"/>
      <c r="AY76" s="4"/>
      <c r="AZ76" s="4">
        <f t="shared" si="26"/>
        <v>0</v>
      </c>
      <c r="BA76" s="4"/>
      <c r="BB76" s="4"/>
      <c r="BC76" s="4"/>
    </row>
    <row r="77" spans="1:55" s="5" customFormat="1">
      <c r="A77" s="3">
        <f t="shared" si="19"/>
        <v>71</v>
      </c>
      <c r="B77" s="42">
        <v>2031</v>
      </c>
      <c r="C77" s="3" t="s">
        <v>954</v>
      </c>
      <c r="D77" s="4">
        <f>3200000-500000</f>
        <v>2700000</v>
      </c>
      <c r="E77" s="4"/>
      <c r="F77" s="4">
        <f t="shared" si="20"/>
        <v>2700000</v>
      </c>
      <c r="G77" s="4"/>
      <c r="H77" s="4"/>
      <c r="I77" s="4"/>
      <c r="J77" s="4"/>
      <c r="K77" s="4"/>
      <c r="L77" s="4"/>
      <c r="M77" s="4"/>
      <c r="N77" s="4">
        <f>3200000-500000</f>
        <v>2700000</v>
      </c>
      <c r="O77" s="4">
        <f>D77-L77-M77-N77</f>
        <v>0</v>
      </c>
      <c r="P77" s="4"/>
      <c r="Q77" s="4"/>
      <c r="R77" s="4"/>
      <c r="S77" s="4"/>
      <c r="T77" s="4"/>
      <c r="U77" s="4">
        <f>N77-T77</f>
        <v>2700000</v>
      </c>
      <c r="V77" s="4">
        <f>U77*0.15-U77*0.15+200000+500000+100000+200000</f>
        <v>1000000</v>
      </c>
      <c r="W77" s="4">
        <f>U77-V77-Y77-AB77</f>
        <v>1700000</v>
      </c>
      <c r="X77" s="4"/>
      <c r="Y77" s="4"/>
      <c r="Z77" s="3"/>
      <c r="AA77" s="123">
        <v>826000</v>
      </c>
      <c r="AB77" s="4"/>
      <c r="AC77" s="4"/>
      <c r="AD77" s="4"/>
      <c r="AE77" s="4"/>
      <c r="AF77" s="4"/>
      <c r="AG77" s="4"/>
      <c r="AH77" s="4"/>
      <c r="AI77" s="4">
        <v>50000</v>
      </c>
      <c r="AJ77" s="4">
        <v>2650000</v>
      </c>
      <c r="AK77" s="4">
        <f t="shared" si="21"/>
        <v>2700000</v>
      </c>
      <c r="AL77" s="4"/>
      <c r="AM77" s="4">
        <f t="shared" si="22"/>
        <v>2700000</v>
      </c>
      <c r="AN77" s="4">
        <f t="shared" si="23"/>
        <v>0</v>
      </c>
      <c r="AO77" s="4">
        <v>1000000</v>
      </c>
      <c r="AP77" s="4">
        <f t="shared" si="24"/>
        <v>1700000</v>
      </c>
      <c r="AQ77" s="4"/>
      <c r="AR77" s="4"/>
      <c r="AS77" s="4"/>
      <c r="AT77" s="4"/>
      <c r="AU77" s="4">
        <f t="shared" si="25"/>
        <v>0</v>
      </c>
      <c r="AV77" s="4"/>
      <c r="AW77" s="3"/>
      <c r="AX77" s="4"/>
      <c r="AY77" s="4"/>
      <c r="AZ77" s="4">
        <f t="shared" si="26"/>
        <v>0</v>
      </c>
      <c r="BA77" s="4"/>
      <c r="BB77" s="4"/>
      <c r="BC77" s="4"/>
    </row>
    <row r="78" spans="1:55" s="56" customFormat="1" ht="15.5">
      <c r="A78" s="48">
        <f>A77</f>
        <v>71</v>
      </c>
      <c r="B78" s="48"/>
      <c r="C78" s="48" t="s">
        <v>1196</v>
      </c>
      <c r="D78" s="13">
        <f t="shared" ref="D78:AV78" si="27">SUM(D7:D77)</f>
        <v>633904945</v>
      </c>
      <c r="E78" s="13">
        <f t="shared" si="27"/>
        <v>603734945</v>
      </c>
      <c r="F78" s="13">
        <f t="shared" si="27"/>
        <v>30170000</v>
      </c>
      <c r="G78" s="13">
        <f t="shared" si="27"/>
        <v>462598645</v>
      </c>
      <c r="H78" s="13">
        <f t="shared" si="27"/>
        <v>388788159.40999997</v>
      </c>
      <c r="I78" s="13">
        <f t="shared" si="27"/>
        <v>26316156.420000006</v>
      </c>
      <c r="J78" s="13">
        <f t="shared" si="27"/>
        <v>24144939.899999999</v>
      </c>
      <c r="K78" s="13">
        <f t="shared" si="27"/>
        <v>50461096.32</v>
      </c>
      <c r="L78" s="13">
        <f t="shared" si="27"/>
        <v>439249255.73000002</v>
      </c>
      <c r="M78" s="13">
        <f t="shared" si="27"/>
        <v>17030689.269999973</v>
      </c>
      <c r="N78" s="13">
        <f t="shared" si="27"/>
        <v>56791300</v>
      </c>
      <c r="O78" s="13">
        <f t="shared" si="27"/>
        <v>120833700</v>
      </c>
      <c r="P78" s="13">
        <f t="shared" si="27"/>
        <v>23349389.269999973</v>
      </c>
      <c r="Q78" s="13">
        <f t="shared" si="27"/>
        <v>930000</v>
      </c>
      <c r="R78" s="13">
        <f t="shared" si="27"/>
        <v>0</v>
      </c>
      <c r="S78" s="13">
        <f t="shared" si="27"/>
        <v>930000</v>
      </c>
      <c r="T78" s="13">
        <f t="shared" si="27"/>
        <v>7248700</v>
      </c>
      <c r="U78" s="13">
        <f t="shared" si="27"/>
        <v>49542600</v>
      </c>
      <c r="V78" s="13">
        <f t="shared" si="27"/>
        <v>25611300</v>
      </c>
      <c r="W78" s="13">
        <f t="shared" si="27"/>
        <v>12054000</v>
      </c>
      <c r="X78" s="13">
        <f t="shared" si="27"/>
        <v>0</v>
      </c>
      <c r="Y78" s="13">
        <f t="shared" si="27"/>
        <v>0</v>
      </c>
      <c r="Z78" s="13">
        <f t="shared" si="27"/>
        <v>11877300</v>
      </c>
      <c r="AA78" s="13">
        <f t="shared" si="27"/>
        <v>57716500</v>
      </c>
      <c r="AB78" s="13">
        <f t="shared" si="27"/>
        <v>2000000</v>
      </c>
      <c r="AC78" s="13">
        <f t="shared" ref="AC78:AI78" si="28">SUM(AC7:AC77)</f>
        <v>13150000</v>
      </c>
      <c r="AD78" s="13">
        <f t="shared" si="28"/>
        <v>8290000</v>
      </c>
      <c r="AE78" s="13">
        <f t="shared" si="28"/>
        <v>50000</v>
      </c>
      <c r="AF78" s="13">
        <f t="shared" si="28"/>
        <v>5510000</v>
      </c>
      <c r="AG78" s="13">
        <f t="shared" si="28"/>
        <v>-250000</v>
      </c>
      <c r="AH78" s="13">
        <f t="shared" si="28"/>
        <v>0</v>
      </c>
      <c r="AI78" s="13">
        <f t="shared" si="28"/>
        <v>4050000</v>
      </c>
      <c r="AJ78" s="13">
        <f t="shared" si="27"/>
        <v>5240000</v>
      </c>
      <c r="AK78" s="13">
        <f t="shared" si="27"/>
        <v>38040000</v>
      </c>
      <c r="AL78" s="13">
        <f t="shared" si="27"/>
        <v>0</v>
      </c>
      <c r="AM78" s="13">
        <f t="shared" si="27"/>
        <v>38040000</v>
      </c>
      <c r="AN78" s="13">
        <f t="shared" si="27"/>
        <v>11502600</v>
      </c>
      <c r="AO78" s="13">
        <f t="shared" si="27"/>
        <v>24660000</v>
      </c>
      <c r="AP78" s="13">
        <f t="shared" si="27"/>
        <v>11504000</v>
      </c>
      <c r="AQ78" s="13">
        <f t="shared" si="27"/>
        <v>0</v>
      </c>
      <c r="AR78" s="13">
        <f t="shared" si="27"/>
        <v>0</v>
      </c>
      <c r="AS78" s="13">
        <f t="shared" si="27"/>
        <v>1876000</v>
      </c>
      <c r="AT78" s="13">
        <f t="shared" si="27"/>
        <v>0</v>
      </c>
      <c r="AU78" s="13">
        <f t="shared" si="27"/>
        <v>0</v>
      </c>
      <c r="AV78" s="13">
        <f t="shared" si="27"/>
        <v>0</v>
      </c>
      <c r="AW78" s="48"/>
      <c r="AX78" s="13">
        <f t="shared" ref="AX78:BC78" si="29">SUM(AX7:AX77)</f>
        <v>0</v>
      </c>
      <c r="AY78" s="13">
        <f t="shared" si="29"/>
        <v>951300</v>
      </c>
      <c r="AZ78" s="13">
        <f t="shared" si="29"/>
        <v>550000</v>
      </c>
      <c r="BA78" s="13">
        <f t="shared" si="29"/>
        <v>0</v>
      </c>
      <c r="BB78" s="13">
        <f t="shared" si="29"/>
        <v>0</v>
      </c>
      <c r="BC78" s="13">
        <f t="shared" si="29"/>
        <v>10001300</v>
      </c>
    </row>
    <row r="79" spans="1:55" s="31" customFormat="1" ht="15.5">
      <c r="B79" s="20"/>
      <c r="C79" s="62"/>
      <c r="D79" s="27"/>
      <c r="E79" s="27"/>
      <c r="F79" s="27"/>
      <c r="G79" s="27"/>
      <c r="H79" s="27"/>
      <c r="I79" s="27"/>
      <c r="J79" s="27"/>
      <c r="K79" s="27"/>
      <c r="L79" s="127"/>
      <c r="Q79" s="27"/>
      <c r="R79" s="27"/>
      <c r="S79" s="27"/>
      <c r="T79" s="27"/>
      <c r="U79" s="36"/>
      <c r="V79" s="52"/>
      <c r="W79" s="52"/>
      <c r="X79" s="52"/>
      <c r="Y79" s="52"/>
      <c r="Z79" s="52"/>
      <c r="AA79" s="20"/>
    </row>
    <row r="80" spans="1:55" s="31" customFormat="1">
      <c r="B80" s="20"/>
      <c r="C80" s="20"/>
      <c r="D80" s="27"/>
      <c r="E80" s="27"/>
      <c r="F80" s="27"/>
      <c r="G80" s="27"/>
      <c r="H80" s="27"/>
      <c r="I80" s="27"/>
      <c r="J80" s="27"/>
      <c r="K80" s="27"/>
      <c r="L80" s="27"/>
      <c r="P80" s="27"/>
      <c r="Q80" s="27"/>
      <c r="R80" s="27"/>
      <c r="S80" s="27"/>
      <c r="T80" s="27"/>
      <c r="V80" s="20"/>
      <c r="W80" s="20"/>
      <c r="X80" s="20"/>
      <c r="Y80" s="20"/>
      <c r="Z80" s="20"/>
      <c r="AA80" s="20"/>
      <c r="AI80" s="31" t="s">
        <v>845</v>
      </c>
      <c r="AJ80" s="30">
        <f>AJ78-AJ77</f>
        <v>2590000</v>
      </c>
    </row>
    <row r="81" spans="1:55">
      <c r="N81" s="27"/>
      <c r="O81" s="27"/>
      <c r="P81" s="27"/>
      <c r="Q81" s="27"/>
      <c r="R81" s="27"/>
      <c r="S81" s="27"/>
      <c r="T81" s="27"/>
      <c r="U81" s="20"/>
      <c r="AB81" s="31"/>
      <c r="AC81" s="31"/>
      <c r="AD81" s="31"/>
      <c r="AE81" s="31"/>
      <c r="AF81" s="31"/>
      <c r="AG81" s="31"/>
      <c r="AH81" s="31"/>
      <c r="AI81" s="31" t="s">
        <v>843</v>
      </c>
      <c r="AJ81" s="31"/>
    </row>
    <row r="82" spans="1:55">
      <c r="O82" s="27"/>
      <c r="P82" s="27"/>
      <c r="Q82" s="27"/>
      <c r="R82" s="27"/>
      <c r="S82" s="27"/>
      <c r="T82" s="27"/>
      <c r="U82" s="27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1:55">
      <c r="O83" s="27"/>
      <c r="P83" s="27"/>
      <c r="Q83" s="27"/>
      <c r="R83" s="27"/>
      <c r="S83" s="27"/>
      <c r="T83" s="27"/>
      <c r="U83" s="27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1:55">
      <c r="N84" s="27"/>
      <c r="O84" s="27"/>
      <c r="P84" s="27"/>
      <c r="Q84" s="27"/>
      <c r="R84" s="27"/>
      <c r="S84" s="27"/>
      <c r="T84" s="27"/>
      <c r="U84" s="27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1:55">
      <c r="O85" s="27"/>
      <c r="P85" s="27"/>
      <c r="Q85" s="27"/>
      <c r="R85" s="27"/>
      <c r="S85" s="27"/>
      <c r="T85" s="27"/>
      <c r="U85" s="27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1:55" s="17" customFormat="1">
      <c r="A86" s="40"/>
      <c r="B86" s="15"/>
      <c r="C86" s="15"/>
      <c r="N86" s="27"/>
      <c r="O86" s="27"/>
      <c r="P86" s="27"/>
      <c r="Q86" s="27"/>
      <c r="R86" s="27"/>
      <c r="S86" s="27"/>
      <c r="T86" s="27"/>
      <c r="U86" s="20"/>
      <c r="V86" s="15"/>
      <c r="W86" s="15"/>
      <c r="X86" s="15"/>
      <c r="Y86" s="15"/>
      <c r="Z86" s="15"/>
      <c r="AA86" s="15"/>
      <c r="AB86" s="31"/>
      <c r="AC86" s="31"/>
      <c r="AD86" s="31"/>
      <c r="AE86" s="31"/>
      <c r="AF86" s="31"/>
      <c r="AG86" s="31"/>
      <c r="AH86" s="31"/>
      <c r="AI86" s="31"/>
      <c r="AJ86" s="31"/>
      <c r="AK86" s="20"/>
      <c r="AL86" s="20"/>
      <c r="AM86" s="20"/>
      <c r="AN86" s="20"/>
      <c r="AO86" s="27"/>
      <c r="AP86" s="27"/>
      <c r="AQ86" s="27"/>
      <c r="AR86" s="27"/>
      <c r="AS86" s="27"/>
      <c r="AT86" s="27"/>
      <c r="AX86" s="27"/>
      <c r="BC86" s="20"/>
    </row>
    <row r="87" spans="1:55">
      <c r="N87" s="27"/>
      <c r="P87" s="27"/>
      <c r="Q87" s="27"/>
      <c r="R87" s="27"/>
      <c r="S87" s="27"/>
      <c r="T87" s="27"/>
      <c r="U87" s="20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1:55">
      <c r="N88" s="27"/>
      <c r="O88" s="27"/>
      <c r="P88" s="27"/>
      <c r="Q88" s="27"/>
      <c r="R88" s="27"/>
      <c r="S88" s="27"/>
      <c r="T88" s="27"/>
      <c r="U88" s="20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1:55">
      <c r="N89" s="27"/>
      <c r="O89" s="27"/>
      <c r="P89" s="27"/>
      <c r="Q89" s="27"/>
      <c r="R89" s="27"/>
      <c r="S89" s="27"/>
      <c r="T89" s="27"/>
      <c r="U89" s="20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1:55">
      <c r="N90" s="27"/>
      <c r="O90" s="27"/>
      <c r="P90" s="27"/>
      <c r="Q90" s="27"/>
      <c r="R90" s="27"/>
      <c r="S90" s="27"/>
      <c r="T90" s="27"/>
      <c r="U90" s="20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1:55">
      <c r="N91" s="27"/>
      <c r="O91" s="27"/>
      <c r="P91" s="27"/>
      <c r="Q91" s="27"/>
      <c r="R91" s="27"/>
      <c r="S91" s="27"/>
      <c r="T91" s="27"/>
      <c r="U91" s="20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1:55">
      <c r="N92" s="27"/>
      <c r="O92" s="27"/>
      <c r="P92" s="27"/>
      <c r="Q92" s="27"/>
      <c r="R92" s="27"/>
      <c r="S92" s="27"/>
      <c r="T92" s="27"/>
      <c r="U92" s="20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1:55">
      <c r="N93" s="27"/>
      <c r="O93" s="27"/>
      <c r="P93" s="27"/>
      <c r="Q93" s="27"/>
      <c r="R93" s="27"/>
      <c r="S93" s="27"/>
      <c r="T93" s="27"/>
      <c r="U93" s="20"/>
      <c r="AB93" s="31"/>
      <c r="AC93" s="31"/>
      <c r="AD93" s="31"/>
      <c r="AE93" s="31"/>
      <c r="AF93" s="31"/>
      <c r="AG93" s="31"/>
      <c r="AH93" s="31"/>
      <c r="AI93" s="31"/>
      <c r="AJ93" s="31"/>
    </row>
    <row r="95" spans="1:55">
      <c r="S95" s="45"/>
    </row>
    <row r="96" spans="1:55">
      <c r="S96" s="45"/>
    </row>
    <row r="97" spans="19:50">
      <c r="S97" s="45"/>
    </row>
    <row r="98" spans="19:50">
      <c r="S98" s="45"/>
      <c r="AT98" s="27"/>
      <c r="AU98" s="15" t="s">
        <v>307</v>
      </c>
      <c r="AX98" s="27"/>
    </row>
    <row r="99" spans="19:50">
      <c r="S99" s="45"/>
    </row>
    <row r="101" spans="19:50">
      <c r="S101" s="45"/>
    </row>
    <row r="102" spans="19:50">
      <c r="AT102" s="27"/>
      <c r="AU102" s="15" t="s">
        <v>307</v>
      </c>
      <c r="AX102" s="27"/>
    </row>
    <row r="103" spans="19:50">
      <c r="T103" s="15"/>
      <c r="U103" s="17"/>
    </row>
    <row r="104" spans="19:50">
      <c r="U104" s="17"/>
    </row>
  </sheetData>
  <sheetProtection formatCells="0" formatColumns="0" formatRows="0" insertColumns="0" insertRows="0" insertHyperlinks="0" deleteColumns="0" deleteRows="0" sort="0" autoFilter="0" pivotTables="0"/>
  <mergeCells count="5">
    <mergeCell ref="AB4:AK4"/>
    <mergeCell ref="AO4:AS4"/>
    <mergeCell ref="AT4:AX4"/>
    <mergeCell ref="AY4:BC4"/>
    <mergeCell ref="T4:Z4"/>
  </mergeCells>
  <conditionalFormatting sqref="AD5">
    <cfRule type="cellIs" dxfId="173" priority="7" operator="equal">
      <formula>0</formula>
    </cfRule>
  </conditionalFormatting>
  <conditionalFormatting sqref="AE5">
    <cfRule type="cellIs" dxfId="172" priority="6" operator="equal">
      <formula>0</formula>
    </cfRule>
  </conditionalFormatting>
  <conditionalFormatting sqref="AF5">
    <cfRule type="cellIs" dxfId="171" priority="5" operator="equal">
      <formula>0</formula>
    </cfRule>
  </conditionalFormatting>
  <conditionalFormatting sqref="AG5">
    <cfRule type="cellIs" dxfId="170" priority="4" operator="equal">
      <formula>0</formula>
    </cfRule>
  </conditionalFormatting>
  <conditionalFormatting sqref="AH5">
    <cfRule type="cellIs" dxfId="169" priority="3" operator="equal">
      <formula>0</formula>
    </cfRule>
  </conditionalFormatting>
  <conditionalFormatting sqref="AI5">
    <cfRule type="cellIs" dxfId="168" priority="2" operator="equal">
      <formula>0</formula>
    </cfRule>
  </conditionalFormatting>
  <conditionalFormatting sqref="AJ5">
    <cfRule type="cellIs" dxfId="167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D26"/>
  <sheetViews>
    <sheetView showZeros="0" rightToLeft="1" zoomScaleNormal="100" workbookViewId="0">
      <pane xSplit="3" ySplit="7" topLeftCell="D8" activePane="bottomRight" state="frozen"/>
      <selection activeCell="T20" sqref="T20"/>
      <selection pane="topRight" activeCell="T20" sqref="T20"/>
      <selection pane="bottomLeft" activeCell="T20" sqref="T20"/>
      <selection pane="bottomRight" activeCell="T20" sqref="T20"/>
    </sheetView>
  </sheetViews>
  <sheetFormatPr defaultColWidth="9.1796875" defaultRowHeight="14"/>
  <cols>
    <col min="1" max="1" width="5.26953125" style="40" customWidth="1"/>
    <col min="2" max="2" width="6.7265625" style="15" customWidth="1"/>
    <col min="3" max="3" width="33.81640625" style="15" customWidth="1"/>
    <col min="4" max="4" width="11.26953125" style="17" hidden="1" customWidth="1"/>
    <col min="5" max="5" width="11" style="17" hidden="1" customWidth="1"/>
    <col min="6" max="6" width="9" style="17" hidden="1" customWidth="1"/>
    <col min="7" max="10" width="12.7265625" style="17" hidden="1" customWidth="1"/>
    <col min="11" max="11" width="11.26953125" style="17" hidden="1" customWidth="1"/>
    <col min="12" max="12" width="8.54296875" style="17" hidden="1" customWidth="1"/>
    <col min="13" max="13" width="11.1796875" style="17" hidden="1" customWidth="1"/>
    <col min="14" max="14" width="9.81640625" style="17" hidden="1" customWidth="1"/>
    <col min="15" max="15" width="9.453125" style="17" hidden="1" customWidth="1"/>
    <col min="16" max="17" width="11.1796875" style="17" hidden="1" customWidth="1"/>
    <col min="18" max="19" width="12" style="17" hidden="1" customWidth="1"/>
    <col min="20" max="20" width="8.7265625" style="17" customWidth="1"/>
    <col min="21" max="21" width="10.7265625" style="15" customWidth="1"/>
    <col min="22" max="22" width="8.7265625" style="15" customWidth="1"/>
    <col min="23" max="23" width="10.26953125" style="15" customWidth="1"/>
    <col min="24" max="26" width="8.7265625" style="15" customWidth="1"/>
    <col min="27" max="27" width="10.26953125" style="15" hidden="1" customWidth="1"/>
    <col min="28" max="28" width="11.7265625" style="15" hidden="1" customWidth="1"/>
    <col min="29" max="36" width="10.26953125" style="15" hidden="1" customWidth="1"/>
    <col min="37" max="38" width="9.1796875" style="15" hidden="1" customWidth="1"/>
    <col min="39" max="39" width="11.7265625" style="15" customWidth="1"/>
    <col min="40" max="40" width="7" style="15" customWidth="1"/>
    <col min="41" max="41" width="8.7265625" style="15" customWidth="1"/>
    <col min="42" max="42" width="10.26953125" style="15" customWidth="1"/>
    <col min="43" max="45" width="8.26953125" style="15" customWidth="1"/>
    <col min="46" max="55" width="9.1796875" style="15" hidden="1" customWidth="1"/>
    <col min="56" max="16384" width="9.1796875" style="15"/>
  </cols>
  <sheetData>
    <row r="4" spans="1:56" ht="18">
      <c r="A4" s="122" t="s">
        <v>1009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</row>
    <row r="5" spans="1:56" ht="18"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</row>
    <row r="6" spans="1:56">
      <c r="A6" s="530"/>
      <c r="B6" s="531"/>
      <c r="C6" s="531"/>
      <c r="D6" s="531"/>
      <c r="E6" s="531"/>
      <c r="F6" s="531"/>
      <c r="G6" s="531"/>
      <c r="H6" s="531"/>
      <c r="I6" s="531"/>
      <c r="J6" s="531"/>
      <c r="K6" s="531"/>
      <c r="L6" s="531"/>
      <c r="M6" s="531"/>
      <c r="N6" s="531"/>
      <c r="O6" s="531"/>
      <c r="P6" s="531"/>
      <c r="Q6" s="531"/>
      <c r="R6" s="531"/>
      <c r="S6" s="531"/>
      <c r="T6" s="531"/>
      <c r="U6" s="738" t="s">
        <v>146</v>
      </c>
      <c r="V6" s="739"/>
      <c r="W6" s="739"/>
      <c r="X6" s="739"/>
      <c r="Y6" s="739"/>
      <c r="Z6" s="739"/>
      <c r="AA6" s="740"/>
      <c r="AB6" s="735" t="s">
        <v>489</v>
      </c>
      <c r="AC6" s="736"/>
      <c r="AD6" s="736"/>
      <c r="AE6" s="736"/>
      <c r="AF6" s="736"/>
      <c r="AG6" s="736"/>
      <c r="AH6" s="736"/>
      <c r="AI6" s="736"/>
      <c r="AJ6" s="736"/>
      <c r="AK6" s="737"/>
      <c r="AL6" s="110"/>
      <c r="AM6" s="675" t="s">
        <v>489</v>
      </c>
      <c r="AN6" s="564"/>
      <c r="AO6" s="735" t="s">
        <v>834</v>
      </c>
      <c r="AP6" s="736"/>
      <c r="AQ6" s="736"/>
      <c r="AR6" s="736"/>
      <c r="AS6" s="737"/>
      <c r="AT6" s="735" t="s">
        <v>835</v>
      </c>
      <c r="AU6" s="736"/>
      <c r="AV6" s="736"/>
      <c r="AW6" s="736"/>
      <c r="AX6" s="737"/>
      <c r="AY6" s="735" t="s">
        <v>836</v>
      </c>
      <c r="AZ6" s="736"/>
      <c r="BA6" s="736"/>
      <c r="BB6" s="736"/>
      <c r="BC6" s="737"/>
    </row>
    <row r="7" spans="1:56" s="34" customFormat="1" ht="70">
      <c r="A7" s="19" t="s">
        <v>0</v>
      </c>
      <c r="B7" s="19" t="s">
        <v>1</v>
      </c>
      <c r="C7" s="19" t="s">
        <v>2</v>
      </c>
      <c r="D7" s="19" t="s">
        <v>3</v>
      </c>
      <c r="E7" s="19" t="s">
        <v>4</v>
      </c>
      <c r="F7" s="19" t="s">
        <v>5</v>
      </c>
      <c r="G7" s="19" t="s">
        <v>6</v>
      </c>
      <c r="H7" s="19" t="s">
        <v>7</v>
      </c>
      <c r="I7" s="19" t="s">
        <v>9</v>
      </c>
      <c r="J7" s="19" t="s">
        <v>318</v>
      </c>
      <c r="K7" s="19" t="s">
        <v>10</v>
      </c>
      <c r="L7" s="19" t="s">
        <v>11</v>
      </c>
      <c r="M7" s="11" t="s">
        <v>309</v>
      </c>
      <c r="N7" s="19" t="s">
        <v>310</v>
      </c>
      <c r="O7" s="19" t="s">
        <v>311</v>
      </c>
      <c r="P7" s="19" t="s">
        <v>12</v>
      </c>
      <c r="Q7" s="19" t="s">
        <v>312</v>
      </c>
      <c r="R7" s="19" t="s">
        <v>313</v>
      </c>
      <c r="S7" s="19" t="s">
        <v>314</v>
      </c>
      <c r="T7" s="19" t="s">
        <v>315</v>
      </c>
      <c r="U7" s="19" t="s">
        <v>316</v>
      </c>
      <c r="V7" s="19" t="s">
        <v>13</v>
      </c>
      <c r="W7" s="19" t="s">
        <v>14</v>
      </c>
      <c r="X7" s="19" t="s">
        <v>15</v>
      </c>
      <c r="Y7" s="19" t="s">
        <v>523</v>
      </c>
      <c r="Z7" s="19" t="s">
        <v>140</v>
      </c>
      <c r="AA7" s="55" t="s">
        <v>16</v>
      </c>
      <c r="AB7" s="107" t="s">
        <v>490</v>
      </c>
      <c r="AC7" s="107" t="s">
        <v>491</v>
      </c>
      <c r="AD7" s="107" t="s">
        <v>492</v>
      </c>
      <c r="AE7" s="107" t="s">
        <v>493</v>
      </c>
      <c r="AF7" s="107" t="s">
        <v>494</v>
      </c>
      <c r="AG7" s="107" t="s">
        <v>495</v>
      </c>
      <c r="AH7" s="107" t="s">
        <v>496</v>
      </c>
      <c r="AI7" s="107" t="s">
        <v>497</v>
      </c>
      <c r="AJ7" s="107" t="s">
        <v>498</v>
      </c>
      <c r="AK7" s="498" t="s">
        <v>837</v>
      </c>
      <c r="AL7" s="498" t="s">
        <v>838</v>
      </c>
      <c r="AM7" s="498" t="s">
        <v>839</v>
      </c>
      <c r="AN7" s="498" t="s">
        <v>840</v>
      </c>
      <c r="AO7" s="498" t="s">
        <v>13</v>
      </c>
      <c r="AP7" s="498" t="s">
        <v>14</v>
      </c>
      <c r="AQ7" s="498" t="s">
        <v>15</v>
      </c>
      <c r="AR7" s="498" t="s">
        <v>523</v>
      </c>
      <c r="AS7" s="498" t="s">
        <v>140</v>
      </c>
      <c r="AT7" s="498" t="s">
        <v>13</v>
      </c>
      <c r="AU7" s="498" t="s">
        <v>14</v>
      </c>
      <c r="AV7" s="498" t="s">
        <v>15</v>
      </c>
      <c r="AW7" s="498" t="s">
        <v>523</v>
      </c>
      <c r="AX7" s="498" t="s">
        <v>140</v>
      </c>
      <c r="AY7" s="107" t="s">
        <v>13</v>
      </c>
      <c r="AZ7" s="107" t="s">
        <v>14</v>
      </c>
      <c r="BA7" s="107" t="s">
        <v>15</v>
      </c>
      <c r="BB7" s="107" t="s">
        <v>523</v>
      </c>
      <c r="BC7" s="107" t="s">
        <v>140</v>
      </c>
      <c r="BD7" s="15"/>
    </row>
    <row r="8" spans="1:56" s="5" customFormat="1" ht="18" customHeight="1">
      <c r="A8" s="3"/>
      <c r="B8" s="3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3"/>
      <c r="AA8" s="58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3"/>
      <c r="AQ8" s="3"/>
      <c r="AR8" s="57"/>
      <c r="AS8" s="57"/>
      <c r="AT8" s="57"/>
      <c r="AU8" s="57"/>
      <c r="AV8" s="57"/>
      <c r="AW8" s="3"/>
      <c r="AX8" s="3"/>
      <c r="AY8" s="57"/>
      <c r="AZ8" s="57"/>
      <c r="BA8" s="57"/>
      <c r="BB8" s="3"/>
      <c r="BC8" s="3"/>
      <c r="BD8" s="15"/>
    </row>
    <row r="9" spans="1:56" s="5" customFormat="1">
      <c r="A9" s="3">
        <v>1</v>
      </c>
      <c r="B9" s="3">
        <v>1621</v>
      </c>
      <c r="C9" s="3" t="s">
        <v>82</v>
      </c>
      <c r="D9" s="4">
        <v>1950000</v>
      </c>
      <c r="E9" s="4">
        <v>1950000</v>
      </c>
      <c r="F9" s="4">
        <f>D9-E9</f>
        <v>0</v>
      </c>
      <c r="G9" s="4">
        <v>1300000</v>
      </c>
      <c r="H9" s="4">
        <v>297909.8</v>
      </c>
      <c r="I9" s="4"/>
      <c r="J9" s="4">
        <v>15795</v>
      </c>
      <c r="K9" s="4">
        <f>SUM(I9:J9)</f>
        <v>15795</v>
      </c>
      <c r="L9" s="4">
        <f>H9+K9</f>
        <v>313704.8</v>
      </c>
      <c r="M9" s="4">
        <f>P9+S9</f>
        <v>986295.2</v>
      </c>
      <c r="N9" s="4">
        <v>500000</v>
      </c>
      <c r="O9" s="4">
        <f>D9-L9-M9-N9</f>
        <v>150000</v>
      </c>
      <c r="P9" s="4">
        <f>G9-L9</f>
        <v>986295.2</v>
      </c>
      <c r="Q9" s="4"/>
      <c r="R9" s="4"/>
      <c r="S9" s="4">
        <f>SUM(Q9:R9)</f>
        <v>0</v>
      </c>
      <c r="T9" s="4">
        <f>P9-M9+S9</f>
        <v>0</v>
      </c>
      <c r="U9" s="4">
        <f>N9</f>
        <v>500000</v>
      </c>
      <c r="V9" s="4"/>
      <c r="W9" s="4">
        <f>U9-V9-Y9-Z9</f>
        <v>500000</v>
      </c>
      <c r="X9" s="4"/>
      <c r="Y9" s="4"/>
      <c r="Z9" s="3"/>
      <c r="AA9" s="58">
        <v>723000</v>
      </c>
      <c r="AB9" s="57"/>
      <c r="AC9" s="4"/>
      <c r="AD9" s="4">
        <v>500000</v>
      </c>
      <c r="AE9" s="4"/>
      <c r="AF9" s="4"/>
      <c r="AG9" s="4"/>
      <c r="AH9" s="4"/>
      <c r="AI9" s="4"/>
      <c r="AJ9" s="4"/>
      <c r="AK9" s="4">
        <f>SUM(AB9:AJ9)</f>
        <v>500000</v>
      </c>
      <c r="AL9" s="4">
        <f>U9-AK9</f>
        <v>0</v>
      </c>
      <c r="AM9" s="4">
        <f>AK9+AL9</f>
        <v>500000</v>
      </c>
      <c r="AN9" s="4">
        <f>U9-AM9</f>
        <v>0</v>
      </c>
      <c r="AO9" s="4"/>
      <c r="AP9" s="4">
        <f>AK9</f>
        <v>500000</v>
      </c>
      <c r="AQ9" s="4"/>
      <c r="AR9" s="4"/>
      <c r="AS9" s="4"/>
      <c r="AT9" s="4">
        <f>AO9</f>
        <v>0</v>
      </c>
      <c r="AU9" s="4">
        <f>AL9</f>
        <v>0</v>
      </c>
      <c r="AV9" s="4"/>
      <c r="AW9" s="4"/>
      <c r="AX9" s="4"/>
      <c r="AY9" s="4"/>
      <c r="AZ9" s="4">
        <f>AN9</f>
        <v>0</v>
      </c>
      <c r="BA9" s="4"/>
      <c r="BB9" s="4"/>
      <c r="BC9" s="4"/>
      <c r="BD9" s="15"/>
    </row>
    <row r="10" spans="1:56" s="5" customFormat="1">
      <c r="A10" s="3">
        <f>A9+1</f>
        <v>2</v>
      </c>
      <c r="B10" s="3">
        <v>1858</v>
      </c>
      <c r="C10" s="3" t="s">
        <v>234</v>
      </c>
      <c r="D10" s="4">
        <v>75000</v>
      </c>
      <c r="E10" s="4">
        <v>75000</v>
      </c>
      <c r="F10" s="4">
        <f>D10-E10</f>
        <v>0</v>
      </c>
      <c r="G10" s="4">
        <v>75000</v>
      </c>
      <c r="H10" s="4">
        <v>0</v>
      </c>
      <c r="I10" s="4"/>
      <c r="J10" s="4">
        <v>29835</v>
      </c>
      <c r="K10" s="4">
        <f>SUM(I10:J10)</f>
        <v>29835</v>
      </c>
      <c r="L10" s="4">
        <f>H10+K10</f>
        <v>29835</v>
      </c>
      <c r="M10" s="4">
        <f>P10+S10</f>
        <v>45165</v>
      </c>
      <c r="N10" s="4"/>
      <c r="O10" s="4">
        <f>D10-L10-M10-N10</f>
        <v>0</v>
      </c>
      <c r="P10" s="4">
        <f>G10-L10</f>
        <v>45165</v>
      </c>
      <c r="Q10" s="4"/>
      <c r="R10" s="4"/>
      <c r="S10" s="4">
        <f>SUM(Q10:R10)</f>
        <v>0</v>
      </c>
      <c r="T10" s="4">
        <f>P10-M10+S10</f>
        <v>0</v>
      </c>
      <c r="U10" s="4">
        <f>N10</f>
        <v>0</v>
      </c>
      <c r="V10" s="4"/>
      <c r="W10" s="4">
        <f>U10-V10-Y10-Z10</f>
        <v>0</v>
      </c>
      <c r="X10" s="4"/>
      <c r="Y10" s="4"/>
      <c r="Z10" s="3"/>
      <c r="AA10" s="58">
        <v>720000</v>
      </c>
      <c r="AB10" s="57"/>
      <c r="AC10" s="4"/>
      <c r="AD10" s="4"/>
      <c r="AE10" s="4"/>
      <c r="AF10" s="4"/>
      <c r="AG10" s="4"/>
      <c r="AH10" s="4"/>
      <c r="AI10" s="4"/>
      <c r="AJ10" s="4"/>
      <c r="AK10" s="4">
        <f>SUM(AB10:AJ10)</f>
        <v>0</v>
      </c>
      <c r="AL10" s="4">
        <f>U10-AK10</f>
        <v>0</v>
      </c>
      <c r="AM10" s="4">
        <f>AK10+AL10</f>
        <v>0</v>
      </c>
      <c r="AN10" s="4">
        <f>U10-AM10</f>
        <v>0</v>
      </c>
      <c r="AO10" s="4"/>
      <c r="AP10" s="4">
        <f>AK10</f>
        <v>0</v>
      </c>
      <c r="AQ10" s="4"/>
      <c r="AR10" s="4"/>
      <c r="AS10" s="4"/>
      <c r="AT10" s="4">
        <f>AO10</f>
        <v>0</v>
      </c>
      <c r="AU10" s="4">
        <f>AL10</f>
        <v>0</v>
      </c>
      <c r="AV10" s="4"/>
      <c r="AW10" s="4"/>
      <c r="AX10" s="4"/>
      <c r="AY10" s="4"/>
      <c r="AZ10" s="4">
        <f>AN10</f>
        <v>0</v>
      </c>
      <c r="BA10" s="4"/>
      <c r="BB10" s="4"/>
      <c r="BC10" s="4"/>
      <c r="BD10" s="15"/>
    </row>
    <row r="11" spans="1:56" s="5" customFormat="1" ht="15.5">
      <c r="A11" s="3">
        <f>A10+1</f>
        <v>3</v>
      </c>
      <c r="B11" s="244">
        <v>1948</v>
      </c>
      <c r="C11" s="244" t="s">
        <v>955</v>
      </c>
      <c r="D11" s="4">
        <v>150000</v>
      </c>
      <c r="E11" s="4">
        <v>150000</v>
      </c>
      <c r="F11" s="4">
        <f>D11-E11</f>
        <v>0</v>
      </c>
      <c r="G11" s="4">
        <v>150000</v>
      </c>
      <c r="H11" s="4">
        <v>127413</v>
      </c>
      <c r="I11" s="4"/>
      <c r="J11" s="4">
        <v>22581</v>
      </c>
      <c r="K11" s="4">
        <f>SUM(I11:J11)</f>
        <v>22581</v>
      </c>
      <c r="L11" s="4">
        <f>H11+K11</f>
        <v>149994</v>
      </c>
      <c r="M11" s="4">
        <f>P11+S11</f>
        <v>6</v>
      </c>
      <c r="N11" s="4"/>
      <c r="O11" s="4">
        <f>D11-L11-M11-N11</f>
        <v>0</v>
      </c>
      <c r="P11" s="4">
        <f>G11-L11</f>
        <v>6</v>
      </c>
      <c r="Q11" s="4"/>
      <c r="R11" s="4"/>
      <c r="S11" s="4">
        <f>SUM(Q11:R11)</f>
        <v>0</v>
      </c>
      <c r="T11" s="4">
        <f>P11-M11+S11</f>
        <v>0</v>
      </c>
      <c r="U11" s="4">
        <f>N11</f>
        <v>0</v>
      </c>
      <c r="V11" s="4"/>
      <c r="W11" s="4">
        <f>U11-V11-Y11-Z11</f>
        <v>0</v>
      </c>
      <c r="X11" s="4"/>
      <c r="Y11" s="4"/>
      <c r="Z11" s="3"/>
      <c r="AA11" s="58">
        <v>720000</v>
      </c>
      <c r="AB11" s="57"/>
      <c r="AC11" s="4"/>
      <c r="AD11" s="4"/>
      <c r="AE11" s="4"/>
      <c r="AF11" s="4"/>
      <c r="AG11" s="4"/>
      <c r="AH11" s="4"/>
      <c r="AI11" s="4"/>
      <c r="AJ11" s="4"/>
      <c r="AK11" s="4">
        <f>SUM(AB11:AJ11)</f>
        <v>0</v>
      </c>
      <c r="AL11" s="4">
        <f>U11-AK11</f>
        <v>0</v>
      </c>
      <c r="AM11" s="4">
        <f>AK11+AL11</f>
        <v>0</v>
      </c>
      <c r="AN11" s="4">
        <f>U11-AM11</f>
        <v>0</v>
      </c>
      <c r="AO11" s="4"/>
      <c r="AP11" s="4">
        <f>AK11</f>
        <v>0</v>
      </c>
      <c r="AQ11" s="4"/>
      <c r="AR11" s="4"/>
      <c r="AS11" s="4"/>
      <c r="AT11" s="4">
        <f>AO11</f>
        <v>0</v>
      </c>
      <c r="AU11" s="4">
        <f>AL11</f>
        <v>0</v>
      </c>
      <c r="AV11" s="4"/>
      <c r="AW11" s="4"/>
      <c r="AX11" s="4"/>
      <c r="AY11" s="4"/>
      <c r="AZ11" s="4">
        <f>AN11</f>
        <v>0</v>
      </c>
      <c r="BA11" s="4"/>
      <c r="BB11" s="4"/>
      <c r="BC11" s="4"/>
      <c r="BD11" s="15"/>
    </row>
    <row r="12" spans="1:56" s="5" customFormat="1" ht="15.5">
      <c r="A12" s="3">
        <f>A11+1</f>
        <v>4</v>
      </c>
      <c r="B12" s="3">
        <v>2005</v>
      </c>
      <c r="C12" s="128" t="s">
        <v>329</v>
      </c>
      <c r="D12" s="4">
        <v>200000</v>
      </c>
      <c r="E12" s="4">
        <v>100000</v>
      </c>
      <c r="F12" s="4">
        <f>D12-E12</f>
        <v>100000</v>
      </c>
      <c r="G12" s="4">
        <v>100000</v>
      </c>
      <c r="H12" s="4">
        <v>0</v>
      </c>
      <c r="I12" s="4"/>
      <c r="J12" s="4"/>
      <c r="K12" s="4">
        <f>SUM(I12:J12)</f>
        <v>0</v>
      </c>
      <c r="L12" s="4">
        <f>H12+K12</f>
        <v>0</v>
      </c>
      <c r="M12" s="4">
        <f>P12+S12</f>
        <v>100000</v>
      </c>
      <c r="N12" s="4">
        <v>100000</v>
      </c>
      <c r="O12" s="4">
        <f>D12-L12-M12-N12</f>
        <v>0</v>
      </c>
      <c r="P12" s="4">
        <f>G12-L12</f>
        <v>100000</v>
      </c>
      <c r="Q12" s="4"/>
      <c r="R12" s="4"/>
      <c r="S12" s="4">
        <f>SUM(Q12:R12)</f>
        <v>0</v>
      </c>
      <c r="T12" s="4">
        <f>P12-M12+S12</f>
        <v>0</v>
      </c>
      <c r="U12" s="4">
        <f>N12</f>
        <v>100000</v>
      </c>
      <c r="V12" s="4"/>
      <c r="W12" s="4">
        <f>U12-V12-Y12-Z12</f>
        <v>100000</v>
      </c>
      <c r="X12" s="4"/>
      <c r="Y12" s="4"/>
      <c r="Z12" s="3"/>
      <c r="AA12" s="58">
        <v>720000</v>
      </c>
      <c r="AB12" s="57"/>
      <c r="AC12" s="4">
        <v>50000</v>
      </c>
      <c r="AD12" s="4"/>
      <c r="AE12" s="4"/>
      <c r="AF12" s="4"/>
      <c r="AG12" s="4"/>
      <c r="AH12" s="4">
        <v>50000</v>
      </c>
      <c r="AI12" s="4"/>
      <c r="AJ12" s="4"/>
      <c r="AK12" s="4">
        <f>SUM(AB12:AJ12)</f>
        <v>100000</v>
      </c>
      <c r="AL12" s="4">
        <f>U12-AK12</f>
        <v>0</v>
      </c>
      <c r="AM12" s="4">
        <f>AK12+AL12</f>
        <v>100000</v>
      </c>
      <c r="AN12" s="4">
        <f>U12-AM12</f>
        <v>0</v>
      </c>
      <c r="AO12" s="4"/>
      <c r="AP12" s="4">
        <f>AK12</f>
        <v>100000</v>
      </c>
      <c r="AQ12" s="4"/>
      <c r="AR12" s="4"/>
      <c r="AS12" s="4"/>
      <c r="AT12" s="4">
        <f>AO12</f>
        <v>0</v>
      </c>
      <c r="AU12" s="4">
        <f>AL12</f>
        <v>0</v>
      </c>
      <c r="AV12" s="4"/>
      <c r="AW12" s="4"/>
      <c r="AX12" s="4"/>
      <c r="AY12" s="4"/>
      <c r="AZ12" s="4">
        <f>AN12</f>
        <v>0</v>
      </c>
      <c r="BA12" s="4"/>
      <c r="BB12" s="4"/>
      <c r="BC12" s="4"/>
      <c r="BD12" s="15"/>
    </row>
    <row r="13" spans="1:56" s="5" customFormat="1" ht="15.5">
      <c r="A13" s="3">
        <f>A12+1</f>
        <v>5</v>
      </c>
      <c r="B13" s="244">
        <v>2032</v>
      </c>
      <c r="C13" s="244" t="s">
        <v>1145</v>
      </c>
      <c r="D13" s="4">
        <v>600000</v>
      </c>
      <c r="E13" s="126"/>
      <c r="F13" s="4">
        <f>D13-E13</f>
        <v>600000</v>
      </c>
      <c r="G13" s="126"/>
      <c r="H13" s="126"/>
      <c r="I13" s="126"/>
      <c r="J13" s="126"/>
      <c r="K13" s="126"/>
      <c r="L13" s="126"/>
      <c r="M13" s="126"/>
      <c r="N13" s="4">
        <f>600000-300000</f>
        <v>300000</v>
      </c>
      <c r="O13" s="4">
        <f>D13-L13-M13-N13</f>
        <v>300000</v>
      </c>
      <c r="P13" s="4"/>
      <c r="Q13" s="4"/>
      <c r="R13" s="4"/>
      <c r="S13" s="4"/>
      <c r="T13" s="4"/>
      <c r="U13" s="4">
        <f>N13</f>
        <v>300000</v>
      </c>
      <c r="V13" s="4"/>
      <c r="W13" s="4">
        <f>U13-V13-Y13-Z13</f>
        <v>300000</v>
      </c>
      <c r="X13" s="4"/>
      <c r="Y13" s="4"/>
      <c r="Z13" s="3"/>
      <c r="AA13" s="58">
        <v>720000</v>
      </c>
      <c r="AB13" s="57"/>
      <c r="AC13" s="4"/>
      <c r="AD13" s="4"/>
      <c r="AE13" s="4"/>
      <c r="AF13" s="4"/>
      <c r="AG13" s="4"/>
      <c r="AH13" s="4"/>
      <c r="AI13" s="4">
        <v>300000</v>
      </c>
      <c r="AJ13" s="4"/>
      <c r="AK13" s="4">
        <f>SUM(AB13:AJ13)</f>
        <v>300000</v>
      </c>
      <c r="AL13" s="4">
        <f>U13-AK13</f>
        <v>0</v>
      </c>
      <c r="AM13" s="4">
        <f>AK13+AL13</f>
        <v>300000</v>
      </c>
      <c r="AN13" s="4">
        <f>U13-AM13</f>
        <v>0</v>
      </c>
      <c r="AO13" s="4"/>
      <c r="AP13" s="4">
        <f>AK13</f>
        <v>300000</v>
      </c>
      <c r="AQ13" s="4"/>
      <c r="AR13" s="4"/>
      <c r="AS13" s="4"/>
      <c r="AT13" s="4">
        <f>AO13</f>
        <v>0</v>
      </c>
      <c r="AU13" s="4">
        <f>AL13</f>
        <v>0</v>
      </c>
      <c r="AV13" s="4"/>
      <c r="AW13" s="4"/>
      <c r="AX13" s="4"/>
      <c r="AY13" s="4"/>
      <c r="AZ13" s="4">
        <f>AN13</f>
        <v>0</v>
      </c>
      <c r="BA13" s="4"/>
      <c r="BB13" s="4"/>
      <c r="BC13" s="4"/>
      <c r="BD13" s="15"/>
    </row>
    <row r="14" spans="1:56" s="56" customFormat="1" ht="15.5">
      <c r="A14" s="48">
        <f>A13</f>
        <v>5</v>
      </c>
      <c r="B14" s="48"/>
      <c r="C14" s="48" t="s">
        <v>1195</v>
      </c>
      <c r="D14" s="13">
        <f t="shared" ref="D14:BC14" si="0">SUM(D9:D13)</f>
        <v>2975000</v>
      </c>
      <c r="E14" s="13">
        <f t="shared" si="0"/>
        <v>2275000</v>
      </c>
      <c r="F14" s="13">
        <f t="shared" si="0"/>
        <v>700000</v>
      </c>
      <c r="G14" s="13">
        <f t="shared" si="0"/>
        <v>1625000</v>
      </c>
      <c r="H14" s="13">
        <f t="shared" si="0"/>
        <v>425322.8</v>
      </c>
      <c r="I14" s="13">
        <f t="shared" si="0"/>
        <v>0</v>
      </c>
      <c r="J14" s="13">
        <f t="shared" si="0"/>
        <v>68211</v>
      </c>
      <c r="K14" s="13">
        <f t="shared" si="0"/>
        <v>68211</v>
      </c>
      <c r="L14" s="13">
        <f t="shared" si="0"/>
        <v>493533.8</v>
      </c>
      <c r="M14" s="13">
        <f t="shared" si="0"/>
        <v>1131466.2</v>
      </c>
      <c r="N14" s="13">
        <f t="shared" si="0"/>
        <v>900000</v>
      </c>
      <c r="O14" s="13">
        <f t="shared" si="0"/>
        <v>450000</v>
      </c>
      <c r="P14" s="13">
        <f t="shared" si="0"/>
        <v>1131466.2</v>
      </c>
      <c r="Q14" s="13">
        <f t="shared" si="0"/>
        <v>0</v>
      </c>
      <c r="R14" s="13">
        <f t="shared" si="0"/>
        <v>0</v>
      </c>
      <c r="S14" s="13">
        <f t="shared" si="0"/>
        <v>0</v>
      </c>
      <c r="T14" s="13">
        <f t="shared" si="0"/>
        <v>0</v>
      </c>
      <c r="U14" s="13">
        <f t="shared" si="0"/>
        <v>900000</v>
      </c>
      <c r="V14" s="13">
        <f t="shared" si="0"/>
        <v>0</v>
      </c>
      <c r="W14" s="13">
        <f t="shared" si="0"/>
        <v>900000</v>
      </c>
      <c r="X14" s="13">
        <f t="shared" si="0"/>
        <v>0</v>
      </c>
      <c r="Y14" s="13">
        <f t="shared" si="0"/>
        <v>0</v>
      </c>
      <c r="Z14" s="13">
        <f t="shared" si="0"/>
        <v>0</v>
      </c>
      <c r="AA14" s="13">
        <f t="shared" si="0"/>
        <v>3603000</v>
      </c>
      <c r="AB14" s="13">
        <f t="shared" si="0"/>
        <v>0</v>
      </c>
      <c r="AC14" s="13">
        <f t="shared" si="0"/>
        <v>50000</v>
      </c>
      <c r="AD14" s="13">
        <f t="shared" si="0"/>
        <v>500000</v>
      </c>
      <c r="AE14" s="13">
        <f t="shared" si="0"/>
        <v>0</v>
      </c>
      <c r="AF14" s="13">
        <f t="shared" si="0"/>
        <v>0</v>
      </c>
      <c r="AG14" s="13">
        <f t="shared" si="0"/>
        <v>0</v>
      </c>
      <c r="AH14" s="13">
        <f t="shared" si="0"/>
        <v>50000</v>
      </c>
      <c r="AI14" s="13">
        <f t="shared" si="0"/>
        <v>300000</v>
      </c>
      <c r="AJ14" s="13">
        <f t="shared" si="0"/>
        <v>0</v>
      </c>
      <c r="AK14" s="13">
        <f t="shared" si="0"/>
        <v>900000</v>
      </c>
      <c r="AL14" s="13">
        <f t="shared" si="0"/>
        <v>0</v>
      </c>
      <c r="AM14" s="13">
        <f t="shared" si="0"/>
        <v>900000</v>
      </c>
      <c r="AN14" s="13">
        <f t="shared" si="0"/>
        <v>0</v>
      </c>
      <c r="AO14" s="13">
        <f t="shared" si="0"/>
        <v>0</v>
      </c>
      <c r="AP14" s="13">
        <f t="shared" si="0"/>
        <v>900000</v>
      </c>
      <c r="AQ14" s="13">
        <f t="shared" si="0"/>
        <v>0</v>
      </c>
      <c r="AR14" s="13">
        <f t="shared" si="0"/>
        <v>0</v>
      </c>
      <c r="AS14" s="13">
        <f t="shared" si="0"/>
        <v>0</v>
      </c>
      <c r="AT14" s="13">
        <f t="shared" si="0"/>
        <v>0</v>
      </c>
      <c r="AU14" s="13">
        <f t="shared" si="0"/>
        <v>0</v>
      </c>
      <c r="AV14" s="13">
        <f t="shared" si="0"/>
        <v>0</v>
      </c>
      <c r="AW14" s="13">
        <f t="shared" si="0"/>
        <v>0</v>
      </c>
      <c r="AX14" s="13">
        <f t="shared" si="0"/>
        <v>0</v>
      </c>
      <c r="AY14" s="13">
        <f t="shared" si="0"/>
        <v>0</v>
      </c>
      <c r="AZ14" s="13">
        <f t="shared" si="0"/>
        <v>0</v>
      </c>
      <c r="BA14" s="13">
        <f t="shared" si="0"/>
        <v>0</v>
      </c>
      <c r="BB14" s="13">
        <f t="shared" si="0"/>
        <v>0</v>
      </c>
      <c r="BC14" s="13">
        <f t="shared" si="0"/>
        <v>0</v>
      </c>
      <c r="BD14" s="15"/>
    </row>
    <row r="15" spans="1:56" s="31" customFormat="1">
      <c r="B15" s="20"/>
      <c r="C15" s="20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R15" s="20"/>
      <c r="AS15" s="20"/>
      <c r="AT15" s="20"/>
      <c r="AU15" s="20"/>
      <c r="AV15" s="20"/>
      <c r="AY15" s="20"/>
      <c r="AZ15" s="20"/>
      <c r="BA15" s="20"/>
      <c r="BD15" s="15"/>
    </row>
    <row r="16" spans="1:56" s="31" customFormat="1">
      <c r="B16" s="20"/>
      <c r="C16" s="20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R16" s="20"/>
      <c r="AS16" s="20"/>
      <c r="AT16" s="20"/>
      <c r="AU16" s="20"/>
      <c r="AV16" s="20"/>
      <c r="AY16" s="20"/>
      <c r="AZ16" s="20"/>
      <c r="BA16" s="20"/>
      <c r="BD16" s="15"/>
    </row>
    <row r="17" spans="1:56" s="31" customFormat="1">
      <c r="B17" s="20"/>
      <c r="C17" s="20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P17" s="27"/>
      <c r="Q17" s="27"/>
      <c r="R17" s="27"/>
      <c r="S17" s="27"/>
      <c r="T17" s="27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R17" s="20"/>
      <c r="AS17" s="20"/>
      <c r="AT17" s="20"/>
      <c r="AU17" s="20"/>
      <c r="AV17" s="20"/>
      <c r="AY17" s="20"/>
      <c r="AZ17" s="20"/>
      <c r="BA17" s="20"/>
      <c r="BD17" s="15"/>
    </row>
    <row r="18" spans="1:56" s="31" customFormat="1">
      <c r="B18" s="20"/>
      <c r="C18" s="20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R18" s="20"/>
      <c r="AS18" s="20"/>
      <c r="AT18" s="20"/>
      <c r="AU18" s="20"/>
      <c r="AV18" s="20"/>
      <c r="AY18" s="20"/>
      <c r="AZ18" s="20"/>
      <c r="BA18" s="20"/>
      <c r="BD18" s="15"/>
    </row>
    <row r="19" spans="1:56" s="31" customFormat="1">
      <c r="B19" s="20"/>
      <c r="C19" s="20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0"/>
      <c r="V19" s="20"/>
      <c r="W19" s="20"/>
      <c r="X19" s="20"/>
      <c r="Y19" s="20"/>
      <c r="Z19" s="20"/>
      <c r="AA19" s="20"/>
      <c r="AB19" s="20"/>
      <c r="BD19" s="15"/>
    </row>
    <row r="20" spans="1:56" s="31" customFormat="1">
      <c r="B20" s="20"/>
      <c r="C20" s="20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30"/>
      <c r="S20" s="27"/>
      <c r="T20" s="27"/>
      <c r="U20" s="20"/>
      <c r="V20" s="20"/>
      <c r="W20" s="20"/>
      <c r="X20" s="20"/>
      <c r="Y20" s="20"/>
      <c r="Z20" s="20"/>
      <c r="AA20" s="20"/>
      <c r="AB20" s="20"/>
      <c r="BD20" s="15"/>
    </row>
    <row r="21" spans="1:56" s="31" customFormat="1">
      <c r="B21" s="20"/>
      <c r="C21" s="20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0"/>
      <c r="V21" s="20"/>
      <c r="W21" s="20"/>
      <c r="X21" s="20"/>
      <c r="Y21" s="20"/>
      <c r="Z21" s="20"/>
      <c r="AA21" s="20"/>
      <c r="AB21" s="20"/>
      <c r="BD21" s="15"/>
    </row>
    <row r="22" spans="1:56" s="31" customFormat="1">
      <c r="B22" s="20"/>
      <c r="C22" s="20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0"/>
      <c r="V22" s="20"/>
      <c r="W22" s="20"/>
      <c r="X22" s="20"/>
      <c r="Y22" s="20"/>
      <c r="Z22" s="20"/>
      <c r="AA22" s="20"/>
      <c r="AB22" s="20"/>
      <c r="BD22" s="15"/>
    </row>
    <row r="23" spans="1:56" s="31" customFormat="1">
      <c r="B23" s="20"/>
      <c r="C23" s="20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0"/>
      <c r="V23" s="20"/>
      <c r="W23" s="20"/>
      <c r="X23" s="20"/>
      <c r="Y23" s="20"/>
      <c r="Z23" s="20"/>
      <c r="AA23" s="20"/>
      <c r="AB23" s="20"/>
      <c r="BD23" s="15"/>
    </row>
    <row r="24" spans="1:56" s="62" customFormat="1" ht="15.5">
      <c r="B24" s="20"/>
      <c r="C24" s="20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0"/>
      <c r="V24" s="20"/>
      <c r="W24" s="20"/>
      <c r="X24" s="20"/>
      <c r="Y24" s="20"/>
      <c r="Z24" s="20"/>
      <c r="AA24" s="20"/>
      <c r="AB24" s="20"/>
      <c r="BD24" s="15"/>
    </row>
    <row r="25" spans="1:56" s="62" customFormat="1" ht="15.5">
      <c r="B25" s="20"/>
      <c r="C25" s="20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0"/>
      <c r="V25" s="20"/>
      <c r="W25" s="20"/>
      <c r="X25" s="20"/>
      <c r="Y25" s="20"/>
      <c r="Z25" s="20"/>
      <c r="AA25" s="20"/>
      <c r="AB25" s="20"/>
      <c r="BD25" s="15"/>
    </row>
    <row r="26" spans="1:56" s="20" customFormat="1">
      <c r="A26" s="50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BD26" s="15"/>
    </row>
  </sheetData>
  <sheetProtection formatCells="0" formatColumns="0" formatRows="0" insertColumns="0" insertRows="0" insertHyperlinks="0" deleteColumns="0" deleteRows="0" sort="0" autoFilter="0" pivotTables="0"/>
  <mergeCells count="5">
    <mergeCell ref="AB6:AK6"/>
    <mergeCell ref="AT6:AX6"/>
    <mergeCell ref="AY6:BC6"/>
    <mergeCell ref="U6:AA6"/>
    <mergeCell ref="AO6:AS6"/>
  </mergeCells>
  <conditionalFormatting sqref="AD7">
    <cfRule type="cellIs" dxfId="166" priority="7" operator="equal">
      <formula>0</formula>
    </cfRule>
  </conditionalFormatting>
  <conditionalFormatting sqref="AE7">
    <cfRule type="cellIs" dxfId="165" priority="6" operator="equal">
      <formula>0</formula>
    </cfRule>
  </conditionalFormatting>
  <conditionalFormatting sqref="AF7">
    <cfRule type="cellIs" dxfId="164" priority="5" operator="equal">
      <formula>0</formula>
    </cfRule>
  </conditionalFormatting>
  <conditionalFormatting sqref="AG7">
    <cfRule type="cellIs" dxfId="163" priority="4" operator="equal">
      <formula>0</formula>
    </cfRule>
  </conditionalFormatting>
  <conditionalFormatting sqref="AH7">
    <cfRule type="cellIs" dxfId="162" priority="3" operator="equal">
      <formula>0</formula>
    </cfRule>
  </conditionalFormatting>
  <conditionalFormatting sqref="AI7">
    <cfRule type="cellIs" dxfId="161" priority="2" operator="equal">
      <formula>0</formula>
    </cfRule>
  </conditionalFormatting>
  <conditionalFormatting sqref="AJ7">
    <cfRule type="cellIs" dxfId="160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BC48"/>
  <sheetViews>
    <sheetView showZeros="0" rightToLeft="1" zoomScaleNormal="100" workbookViewId="0">
      <pane xSplit="3" ySplit="7" topLeftCell="D17" activePane="bottomRight" state="frozen"/>
      <selection activeCell="T20" sqref="T20"/>
      <selection pane="topRight" activeCell="T20" sqref="T20"/>
      <selection pane="bottomLeft" activeCell="T20" sqref="T20"/>
      <selection pane="bottomRight" activeCell="T20" sqref="T20"/>
    </sheetView>
  </sheetViews>
  <sheetFormatPr defaultColWidth="9.453125" defaultRowHeight="14"/>
  <cols>
    <col min="1" max="1" width="5.453125" style="40" customWidth="1"/>
    <col min="2" max="2" width="5.81640625" style="15" customWidth="1"/>
    <col min="3" max="3" width="39.1796875" style="15" customWidth="1"/>
    <col min="4" max="4" width="10.7265625" style="17" hidden="1" customWidth="1"/>
    <col min="5" max="5" width="10.26953125" style="17" hidden="1" customWidth="1"/>
    <col min="6" max="6" width="10" style="17" hidden="1" customWidth="1"/>
    <col min="7" max="9" width="13" style="17" hidden="1" customWidth="1"/>
    <col min="10" max="10" width="9.7265625" style="17" hidden="1" customWidth="1"/>
    <col min="11" max="11" width="11.7265625" style="17" hidden="1" customWidth="1"/>
    <col min="12" max="12" width="9.7265625" style="17" hidden="1" customWidth="1"/>
    <col min="13" max="13" width="10.1796875" style="17" hidden="1" customWidth="1"/>
    <col min="14" max="14" width="10.7265625" style="17" hidden="1" customWidth="1"/>
    <col min="15" max="15" width="9" style="17" hidden="1" customWidth="1"/>
    <col min="16" max="17" width="11.453125" style="17" hidden="1" customWidth="1"/>
    <col min="18" max="19" width="12.26953125" style="17" hidden="1" customWidth="1"/>
    <col min="20" max="20" width="8.26953125" style="17" customWidth="1"/>
    <col min="21" max="21" width="9.7265625" style="15" customWidth="1"/>
    <col min="22" max="22" width="8.26953125" style="15" customWidth="1"/>
    <col min="23" max="23" width="9.7265625" style="15" customWidth="1"/>
    <col min="24" max="25" width="6.7265625" style="15" customWidth="1"/>
    <col min="26" max="26" width="8" style="15" customWidth="1"/>
    <col min="27" max="27" width="8.1796875" style="15" hidden="1" customWidth="1"/>
    <col min="28" max="36" width="9.453125" style="15" hidden="1" customWidth="1"/>
    <col min="37" max="38" width="0" style="15" hidden="1" customWidth="1"/>
    <col min="39" max="39" width="11.81640625" style="15" customWidth="1"/>
    <col min="40" max="40" width="9.7265625" style="15" customWidth="1"/>
    <col min="41" max="41" width="8.26953125" style="15" customWidth="1"/>
    <col min="42" max="42" width="9.7265625" style="15" customWidth="1"/>
    <col min="43" max="45" width="8.26953125" style="15" customWidth="1"/>
    <col min="46" max="55" width="9.453125" style="15" hidden="1" customWidth="1"/>
    <col min="56" max="16384" width="9.453125" style="15"/>
  </cols>
  <sheetData>
    <row r="3" spans="1:55" s="20" customFormat="1">
      <c r="A3" s="50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55" s="523" customFormat="1" ht="18">
      <c r="A4" s="122" t="s">
        <v>1008</v>
      </c>
      <c r="B4" s="521"/>
      <c r="C4" s="521"/>
      <c r="D4" s="521"/>
      <c r="E4" s="521"/>
      <c r="F4" s="521"/>
      <c r="G4" s="521"/>
      <c r="H4" s="521"/>
      <c r="I4" s="521"/>
      <c r="J4" s="521"/>
      <c r="K4" s="521"/>
      <c r="L4" s="521"/>
      <c r="M4" s="521"/>
      <c r="N4" s="521"/>
      <c r="O4" s="521"/>
      <c r="P4" s="521"/>
      <c r="Q4" s="521"/>
      <c r="R4" s="521"/>
      <c r="S4" s="521"/>
      <c r="T4" s="521"/>
      <c r="U4" s="521"/>
      <c r="V4" s="521"/>
      <c r="W4" s="521"/>
      <c r="X4" s="522"/>
      <c r="Y4" s="522"/>
      <c r="Z4" s="522"/>
      <c r="AA4" s="522"/>
      <c r="AB4" s="522"/>
      <c r="AC4" s="522"/>
      <c r="AD4" s="522"/>
      <c r="AE4" s="522"/>
      <c r="AF4" s="522"/>
      <c r="AG4" s="522"/>
      <c r="AH4" s="522"/>
      <c r="AI4" s="522"/>
      <c r="AJ4" s="522"/>
    </row>
    <row r="5" spans="1:55" s="523" customFormat="1" ht="18">
      <c r="B5" s="521"/>
      <c r="C5" s="521"/>
      <c r="D5" s="521"/>
      <c r="E5" s="521"/>
      <c r="F5" s="521"/>
      <c r="G5" s="521"/>
      <c r="H5" s="521"/>
      <c r="I5" s="521"/>
      <c r="J5" s="521"/>
      <c r="K5" s="521"/>
      <c r="L5" s="521"/>
      <c r="M5" s="521"/>
      <c r="N5" s="521"/>
      <c r="O5" s="521"/>
      <c r="P5" s="521"/>
      <c r="Q5" s="521"/>
      <c r="R5" s="521"/>
      <c r="S5" s="521"/>
      <c r="T5" s="521"/>
      <c r="U5" s="521"/>
      <c r="V5" s="521"/>
      <c r="W5" s="521"/>
      <c r="X5" s="522"/>
      <c r="Y5" s="522"/>
      <c r="Z5" s="522"/>
      <c r="AA5" s="522"/>
      <c r="AB5" s="522"/>
      <c r="AC5" s="522"/>
      <c r="AD5" s="522"/>
      <c r="AE5" s="522"/>
      <c r="AF5" s="522"/>
      <c r="AG5" s="522"/>
      <c r="AH5" s="522"/>
      <c r="AI5" s="522"/>
      <c r="AJ5" s="522"/>
    </row>
    <row r="6" spans="1:55" s="20" customFormat="1">
      <c r="A6" s="530"/>
      <c r="B6" s="531"/>
      <c r="C6" s="531"/>
      <c r="D6" s="531"/>
      <c r="E6" s="531"/>
      <c r="F6" s="531"/>
      <c r="G6" s="531"/>
      <c r="H6" s="531"/>
      <c r="I6" s="531"/>
      <c r="J6" s="531"/>
      <c r="K6" s="531"/>
      <c r="L6" s="531"/>
      <c r="M6" s="531"/>
      <c r="N6" s="531"/>
      <c r="O6" s="531"/>
      <c r="P6" s="531"/>
      <c r="Q6" s="531"/>
      <c r="R6" s="531"/>
      <c r="S6" s="531"/>
      <c r="T6" s="531"/>
      <c r="U6" s="738" t="s">
        <v>146</v>
      </c>
      <c r="V6" s="739"/>
      <c r="W6" s="739"/>
      <c r="X6" s="739"/>
      <c r="Y6" s="739"/>
      <c r="Z6" s="740"/>
      <c r="AB6" s="735" t="s">
        <v>489</v>
      </c>
      <c r="AC6" s="736"/>
      <c r="AD6" s="736"/>
      <c r="AE6" s="736"/>
      <c r="AF6" s="736"/>
      <c r="AG6" s="736"/>
      <c r="AH6" s="736"/>
      <c r="AI6" s="736"/>
      <c r="AJ6" s="736"/>
      <c r="AK6" s="737"/>
      <c r="AL6" s="110"/>
      <c r="AM6" s="675" t="s">
        <v>489</v>
      </c>
      <c r="AN6" s="496"/>
      <c r="AO6" s="735" t="s">
        <v>834</v>
      </c>
      <c r="AP6" s="736"/>
      <c r="AQ6" s="736"/>
      <c r="AR6" s="736"/>
      <c r="AS6" s="737"/>
      <c r="AT6" s="735" t="s">
        <v>835</v>
      </c>
      <c r="AU6" s="736"/>
      <c r="AV6" s="736"/>
      <c r="AW6" s="736"/>
      <c r="AX6" s="737"/>
      <c r="AY6" s="735" t="s">
        <v>836</v>
      </c>
      <c r="AZ6" s="736"/>
      <c r="BA6" s="736"/>
      <c r="BB6" s="736"/>
      <c r="BC6" s="737"/>
    </row>
    <row r="7" spans="1:55" s="34" customFormat="1" ht="86.25" customHeight="1">
      <c r="A7" s="19" t="s">
        <v>0</v>
      </c>
      <c r="B7" s="19" t="s">
        <v>1</v>
      </c>
      <c r="C7" s="19" t="s">
        <v>2</v>
      </c>
      <c r="D7" s="19" t="s">
        <v>3</v>
      </c>
      <c r="E7" s="19" t="s">
        <v>4</v>
      </c>
      <c r="F7" s="19" t="s">
        <v>5</v>
      </c>
      <c r="G7" s="19" t="s">
        <v>6</v>
      </c>
      <c r="H7" s="19" t="s">
        <v>7</v>
      </c>
      <c r="I7" s="19" t="s">
        <v>9</v>
      </c>
      <c r="J7" s="19" t="s">
        <v>318</v>
      </c>
      <c r="K7" s="19" t="s">
        <v>10</v>
      </c>
      <c r="L7" s="19" t="s">
        <v>11</v>
      </c>
      <c r="M7" s="11" t="s">
        <v>309</v>
      </c>
      <c r="N7" s="19" t="s">
        <v>310</v>
      </c>
      <c r="O7" s="19" t="s">
        <v>311</v>
      </c>
      <c r="P7" s="19" t="s">
        <v>12</v>
      </c>
      <c r="Q7" s="19" t="s">
        <v>312</v>
      </c>
      <c r="R7" s="19" t="s">
        <v>313</v>
      </c>
      <c r="S7" s="19" t="s">
        <v>314</v>
      </c>
      <c r="T7" s="19" t="s">
        <v>315</v>
      </c>
      <c r="U7" s="19" t="s">
        <v>316</v>
      </c>
      <c r="V7" s="19" t="s">
        <v>13</v>
      </c>
      <c r="W7" s="19" t="s">
        <v>14</v>
      </c>
      <c r="X7" s="19" t="s">
        <v>15</v>
      </c>
      <c r="Y7" s="19" t="s">
        <v>523</v>
      </c>
      <c r="Z7" s="19" t="s">
        <v>140</v>
      </c>
      <c r="AA7" s="19" t="s">
        <v>16</v>
      </c>
      <c r="AB7" s="107" t="s">
        <v>490</v>
      </c>
      <c r="AC7" s="107" t="s">
        <v>491</v>
      </c>
      <c r="AD7" s="107" t="s">
        <v>492</v>
      </c>
      <c r="AE7" s="107" t="s">
        <v>493</v>
      </c>
      <c r="AF7" s="107" t="s">
        <v>494</v>
      </c>
      <c r="AG7" s="107" t="s">
        <v>495</v>
      </c>
      <c r="AH7" s="107" t="s">
        <v>496</v>
      </c>
      <c r="AI7" s="107" t="s">
        <v>497</v>
      </c>
      <c r="AJ7" s="107" t="s">
        <v>498</v>
      </c>
      <c r="AK7" s="498" t="s">
        <v>837</v>
      </c>
      <c r="AL7" s="498" t="s">
        <v>838</v>
      </c>
      <c r="AM7" s="498" t="s">
        <v>839</v>
      </c>
      <c r="AN7" s="498" t="s">
        <v>840</v>
      </c>
      <c r="AO7" s="498" t="s">
        <v>13</v>
      </c>
      <c r="AP7" s="498" t="s">
        <v>14</v>
      </c>
      <c r="AQ7" s="498" t="s">
        <v>15</v>
      </c>
      <c r="AR7" s="498" t="s">
        <v>523</v>
      </c>
      <c r="AS7" s="498" t="s">
        <v>140</v>
      </c>
      <c r="AT7" s="498" t="s">
        <v>13</v>
      </c>
      <c r="AU7" s="498" t="s">
        <v>14</v>
      </c>
      <c r="AV7" s="498" t="s">
        <v>15</v>
      </c>
      <c r="AW7" s="498" t="s">
        <v>523</v>
      </c>
      <c r="AX7" s="498" t="s">
        <v>140</v>
      </c>
      <c r="AY7" s="107" t="s">
        <v>13</v>
      </c>
      <c r="AZ7" s="107" t="s">
        <v>14</v>
      </c>
      <c r="BA7" s="107" t="s">
        <v>15</v>
      </c>
      <c r="BB7" s="107" t="s">
        <v>523</v>
      </c>
      <c r="BC7" s="107" t="s">
        <v>140</v>
      </c>
    </row>
    <row r="8" spans="1:55" s="56" customFormat="1" ht="15.5">
      <c r="A8" s="48"/>
      <c r="B8" s="48"/>
      <c r="C8" s="48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</row>
    <row r="9" spans="1:55" s="5" customFormat="1">
      <c r="A9" s="3">
        <f>A8+1</f>
        <v>1</v>
      </c>
      <c r="B9" s="244">
        <v>1679</v>
      </c>
      <c r="C9" s="244" t="s">
        <v>956</v>
      </c>
      <c r="D9" s="4">
        <v>130000</v>
      </c>
      <c r="E9" s="4">
        <v>130000</v>
      </c>
      <c r="F9" s="4">
        <f t="shared" ref="F9:F27" si="0">D9-E9</f>
        <v>0</v>
      </c>
      <c r="G9" s="4">
        <v>130000</v>
      </c>
      <c r="H9" s="4">
        <v>117039.72</v>
      </c>
      <c r="I9" s="4"/>
      <c r="J9" s="4">
        <v>12913</v>
      </c>
      <c r="K9" s="4">
        <f t="shared" ref="K9:K25" si="1">I9+J9</f>
        <v>12913</v>
      </c>
      <c r="L9" s="4">
        <f t="shared" ref="L9:L25" si="2">H9+K9</f>
        <v>129952.72</v>
      </c>
      <c r="M9" s="4">
        <f t="shared" ref="M9:M25" si="3">P9+S9</f>
        <v>47.279999999998836</v>
      </c>
      <c r="N9" s="4">
        <v>0</v>
      </c>
      <c r="O9" s="4">
        <f t="shared" ref="O9:O25" si="4">D9-L9-M9-N9</f>
        <v>0</v>
      </c>
      <c r="P9" s="4">
        <f t="shared" ref="P9:P25" si="5">G9-L9</f>
        <v>47.279999999998836</v>
      </c>
      <c r="Q9" s="4"/>
      <c r="R9" s="4"/>
      <c r="S9" s="4">
        <f t="shared" ref="S9:S25" si="6">SUM(Q9:R9)</f>
        <v>0</v>
      </c>
      <c r="T9" s="4">
        <f t="shared" ref="T9:T27" si="7">P9-M9+S9</f>
        <v>0</v>
      </c>
      <c r="U9" s="4">
        <f t="shared" ref="U9:U27" si="8">N9-T9</f>
        <v>0</v>
      </c>
      <c r="V9" s="4"/>
      <c r="W9" s="4">
        <f t="shared" ref="W9:W27" si="9">U9-V9-Y9-Z9</f>
        <v>0</v>
      </c>
      <c r="X9" s="4"/>
      <c r="Y9" s="4"/>
      <c r="Z9" s="3"/>
      <c r="AA9" s="3">
        <v>810000</v>
      </c>
      <c r="AB9" s="3"/>
      <c r="AC9" s="3"/>
      <c r="AD9" s="3"/>
      <c r="AE9" s="3"/>
      <c r="AF9" s="3"/>
      <c r="AG9" s="3"/>
      <c r="AH9" s="3"/>
      <c r="AI9" s="3"/>
      <c r="AJ9" s="3"/>
      <c r="AK9" s="3">
        <f>SUM(AB9:AJ9)</f>
        <v>0</v>
      </c>
      <c r="AL9" s="4"/>
      <c r="AM9" s="4">
        <f>AL9+AK9</f>
        <v>0</v>
      </c>
      <c r="AN9" s="4">
        <f>U9-AM9</f>
        <v>0</v>
      </c>
      <c r="AO9" s="3"/>
      <c r="AP9" s="4">
        <f>AM9-AS9</f>
        <v>0</v>
      </c>
      <c r="AQ9" s="3"/>
      <c r="AR9" s="4"/>
      <c r="AS9" s="3"/>
      <c r="AT9" s="3"/>
      <c r="AU9" s="4">
        <f>AL9-AX9</f>
        <v>0</v>
      </c>
      <c r="AV9" s="3"/>
      <c r="AW9" s="3"/>
      <c r="AX9" s="4"/>
      <c r="AY9" s="3"/>
      <c r="AZ9" s="4">
        <f>AN9-BC9</f>
        <v>0</v>
      </c>
      <c r="BA9" s="3"/>
      <c r="BB9" s="3"/>
      <c r="BC9" s="3"/>
    </row>
    <row r="10" spans="1:55" s="5" customFormat="1">
      <c r="A10" s="3">
        <f t="shared" ref="A10:A27" si="10">A9+1</f>
        <v>2</v>
      </c>
      <c r="B10" s="3">
        <v>1710</v>
      </c>
      <c r="C10" s="3" t="s">
        <v>89</v>
      </c>
      <c r="D10" s="4">
        <v>1700000</v>
      </c>
      <c r="E10" s="4">
        <v>1700000</v>
      </c>
      <c r="F10" s="4">
        <f t="shared" si="0"/>
        <v>0</v>
      </c>
      <c r="G10" s="4">
        <v>1634863</v>
      </c>
      <c r="H10" s="4">
        <v>914150</v>
      </c>
      <c r="I10" s="4"/>
      <c r="J10" s="4">
        <v>17332</v>
      </c>
      <c r="K10" s="4">
        <f t="shared" si="1"/>
        <v>17332</v>
      </c>
      <c r="L10" s="4">
        <f t="shared" si="2"/>
        <v>931482</v>
      </c>
      <c r="M10" s="4">
        <f t="shared" si="3"/>
        <v>703381</v>
      </c>
      <c r="N10" s="4">
        <v>65137</v>
      </c>
      <c r="O10" s="4">
        <f t="shared" si="4"/>
        <v>0</v>
      </c>
      <c r="P10" s="4">
        <f t="shared" si="5"/>
        <v>703381</v>
      </c>
      <c r="Q10" s="4"/>
      <c r="R10" s="4"/>
      <c r="S10" s="4">
        <f t="shared" si="6"/>
        <v>0</v>
      </c>
      <c r="T10" s="4">
        <f t="shared" si="7"/>
        <v>0</v>
      </c>
      <c r="U10" s="4">
        <f t="shared" si="8"/>
        <v>65137</v>
      </c>
      <c r="V10" s="4"/>
      <c r="W10" s="4">
        <f t="shared" si="9"/>
        <v>0</v>
      </c>
      <c r="X10" s="4"/>
      <c r="Y10" s="4"/>
      <c r="Z10" s="325">
        <v>65137</v>
      </c>
      <c r="AA10" s="3">
        <v>810000</v>
      </c>
      <c r="AB10" s="3"/>
      <c r="AC10" s="3"/>
      <c r="AD10" s="3"/>
      <c r="AE10" s="3"/>
      <c r="AF10" s="3"/>
      <c r="AG10" s="3"/>
      <c r="AH10" s="3"/>
      <c r="AI10" s="3"/>
      <c r="AJ10" s="3"/>
      <c r="AK10" s="3">
        <f t="shared" ref="AK10:AK27" si="11">SUM(AB10:AJ10)</f>
        <v>0</v>
      </c>
      <c r="AL10" s="4"/>
      <c r="AM10" s="4">
        <f t="shared" ref="AM10:AM27" si="12">AL10+AK10</f>
        <v>0</v>
      </c>
      <c r="AN10" s="4">
        <f t="shared" ref="AN10:AN27" si="13">U10-AM10</f>
        <v>65137</v>
      </c>
      <c r="AO10" s="3"/>
      <c r="AP10" s="4">
        <f t="shared" ref="AP10:AP27" si="14">AM10-AS10</f>
        <v>0</v>
      </c>
      <c r="AQ10" s="3">
        <f>AJ10</f>
        <v>0</v>
      </c>
      <c r="AR10" s="4"/>
      <c r="AS10" s="3"/>
      <c r="AT10" s="3"/>
      <c r="AU10" s="4">
        <f t="shared" ref="AU10:AU27" si="15">AL10-AX10</f>
        <v>0</v>
      </c>
      <c r="AV10" s="3"/>
      <c r="AW10" s="3"/>
      <c r="AX10" s="4"/>
      <c r="AY10" s="3"/>
      <c r="AZ10" s="4">
        <f t="shared" ref="AZ10:AZ27" si="16">AN10-BC10</f>
        <v>0</v>
      </c>
      <c r="BA10" s="3"/>
      <c r="BB10" s="3"/>
      <c r="BC10" s="4">
        <v>65137</v>
      </c>
    </row>
    <row r="11" spans="1:55" s="5" customFormat="1">
      <c r="A11" s="3">
        <f t="shared" si="10"/>
        <v>3</v>
      </c>
      <c r="B11" s="3">
        <v>1740</v>
      </c>
      <c r="C11" s="3" t="s">
        <v>90</v>
      </c>
      <c r="D11" s="4">
        <v>280000</v>
      </c>
      <c r="E11" s="4">
        <v>280000</v>
      </c>
      <c r="F11" s="4">
        <f t="shared" si="0"/>
        <v>0</v>
      </c>
      <c r="G11" s="4">
        <v>280000</v>
      </c>
      <c r="H11" s="4">
        <v>150312</v>
      </c>
      <c r="I11" s="4"/>
      <c r="J11" s="4"/>
      <c r="K11" s="4">
        <f t="shared" si="1"/>
        <v>0</v>
      </c>
      <c r="L11" s="4">
        <f t="shared" si="2"/>
        <v>150312</v>
      </c>
      <c r="M11" s="4">
        <f t="shared" si="3"/>
        <v>129688</v>
      </c>
      <c r="N11" s="4"/>
      <c r="O11" s="4">
        <f t="shared" si="4"/>
        <v>0</v>
      </c>
      <c r="P11" s="4">
        <f t="shared" si="5"/>
        <v>129688</v>
      </c>
      <c r="Q11" s="4"/>
      <c r="R11" s="4"/>
      <c r="S11" s="4">
        <f t="shared" si="6"/>
        <v>0</v>
      </c>
      <c r="T11" s="4">
        <f t="shared" si="7"/>
        <v>0</v>
      </c>
      <c r="U11" s="4">
        <f t="shared" si="8"/>
        <v>0</v>
      </c>
      <c r="V11" s="4"/>
      <c r="W11" s="4">
        <f t="shared" si="9"/>
        <v>0</v>
      </c>
      <c r="X11" s="4"/>
      <c r="Y11" s="4"/>
      <c r="Z11" s="3"/>
      <c r="AA11" s="3">
        <v>810000</v>
      </c>
      <c r="AB11" s="3"/>
      <c r="AC11" s="3"/>
      <c r="AD11" s="3"/>
      <c r="AE11" s="3"/>
      <c r="AF11" s="3"/>
      <c r="AG11" s="3"/>
      <c r="AH11" s="3"/>
      <c r="AI11" s="3"/>
      <c r="AJ11" s="3"/>
      <c r="AK11" s="3">
        <f t="shared" si="11"/>
        <v>0</v>
      </c>
      <c r="AL11" s="4"/>
      <c r="AM11" s="4">
        <f t="shared" si="12"/>
        <v>0</v>
      </c>
      <c r="AN11" s="4">
        <f t="shared" si="13"/>
        <v>0</v>
      </c>
      <c r="AO11" s="3"/>
      <c r="AP11" s="4">
        <f t="shared" si="14"/>
        <v>0</v>
      </c>
      <c r="AQ11" s="3"/>
      <c r="AR11" s="4"/>
      <c r="AS11" s="3"/>
      <c r="AT11" s="3"/>
      <c r="AU11" s="4">
        <f t="shared" si="15"/>
        <v>0</v>
      </c>
      <c r="AV11" s="3"/>
      <c r="AW11" s="3"/>
      <c r="AX11" s="4"/>
      <c r="AY11" s="3"/>
      <c r="AZ11" s="4">
        <f t="shared" si="16"/>
        <v>0</v>
      </c>
      <c r="BA11" s="3"/>
      <c r="BB11" s="3"/>
      <c r="BC11" s="3"/>
    </row>
    <row r="12" spans="1:55" s="5" customFormat="1" ht="28">
      <c r="A12" s="3">
        <f t="shared" si="10"/>
        <v>4</v>
      </c>
      <c r="B12" s="244">
        <v>1741</v>
      </c>
      <c r="C12" s="244" t="s">
        <v>957</v>
      </c>
      <c r="D12" s="4">
        <v>300000</v>
      </c>
      <c r="E12" s="4">
        <v>300000</v>
      </c>
      <c r="F12" s="4">
        <f t="shared" si="0"/>
        <v>0</v>
      </c>
      <c r="G12" s="4">
        <v>300000</v>
      </c>
      <c r="H12" s="4">
        <v>278391.61</v>
      </c>
      <c r="I12" s="4"/>
      <c r="J12" s="4"/>
      <c r="K12" s="4">
        <f t="shared" si="1"/>
        <v>0</v>
      </c>
      <c r="L12" s="4">
        <f t="shared" si="2"/>
        <v>278391.61</v>
      </c>
      <c r="M12" s="4">
        <f t="shared" si="3"/>
        <v>21608.390000000014</v>
      </c>
      <c r="N12" s="4"/>
      <c r="O12" s="4">
        <f t="shared" si="4"/>
        <v>0</v>
      </c>
      <c r="P12" s="4">
        <f t="shared" si="5"/>
        <v>21608.390000000014</v>
      </c>
      <c r="Q12" s="4"/>
      <c r="R12" s="4"/>
      <c r="S12" s="4">
        <f t="shared" si="6"/>
        <v>0</v>
      </c>
      <c r="T12" s="4">
        <f t="shared" si="7"/>
        <v>0</v>
      </c>
      <c r="U12" s="4">
        <f t="shared" si="8"/>
        <v>0</v>
      </c>
      <c r="V12" s="4"/>
      <c r="W12" s="4">
        <f t="shared" si="9"/>
        <v>0</v>
      </c>
      <c r="X12" s="4"/>
      <c r="Y12" s="4"/>
      <c r="Z12" s="3"/>
      <c r="AA12" s="3">
        <v>810000</v>
      </c>
      <c r="AB12" s="3"/>
      <c r="AC12" s="3"/>
      <c r="AD12" s="3"/>
      <c r="AE12" s="3"/>
      <c r="AF12" s="3"/>
      <c r="AG12" s="3"/>
      <c r="AH12" s="3"/>
      <c r="AI12" s="3"/>
      <c r="AJ12" s="3"/>
      <c r="AK12" s="3">
        <f t="shared" si="11"/>
        <v>0</v>
      </c>
      <c r="AL12" s="4"/>
      <c r="AM12" s="4">
        <f t="shared" si="12"/>
        <v>0</v>
      </c>
      <c r="AN12" s="4">
        <f t="shared" si="13"/>
        <v>0</v>
      </c>
      <c r="AO12" s="3"/>
      <c r="AP12" s="4">
        <f t="shared" si="14"/>
        <v>0</v>
      </c>
      <c r="AQ12" s="3"/>
      <c r="AR12" s="4"/>
      <c r="AS12" s="3"/>
      <c r="AT12" s="3"/>
      <c r="AU12" s="4">
        <f t="shared" si="15"/>
        <v>0</v>
      </c>
      <c r="AV12" s="3"/>
      <c r="AW12" s="3"/>
      <c r="AX12" s="4"/>
      <c r="AY12" s="3"/>
      <c r="AZ12" s="4">
        <f t="shared" si="16"/>
        <v>0</v>
      </c>
      <c r="BA12" s="3"/>
      <c r="BB12" s="3"/>
      <c r="BC12" s="3"/>
    </row>
    <row r="13" spans="1:55" s="5" customFormat="1">
      <c r="A13" s="3">
        <f t="shared" si="10"/>
        <v>5</v>
      </c>
      <c r="B13" s="3">
        <v>1775</v>
      </c>
      <c r="C13" s="3" t="s">
        <v>91</v>
      </c>
      <c r="D13" s="4">
        <v>465000</v>
      </c>
      <c r="E13" s="4">
        <v>465000</v>
      </c>
      <c r="F13" s="4">
        <f t="shared" si="0"/>
        <v>0</v>
      </c>
      <c r="G13" s="4">
        <v>465000</v>
      </c>
      <c r="H13" s="4">
        <v>460379.55</v>
      </c>
      <c r="I13" s="4"/>
      <c r="J13" s="4"/>
      <c r="K13" s="4">
        <f t="shared" si="1"/>
        <v>0</v>
      </c>
      <c r="L13" s="4">
        <f t="shared" si="2"/>
        <v>460379.55</v>
      </c>
      <c r="M13" s="4">
        <f t="shared" si="3"/>
        <v>4620.4500000000116</v>
      </c>
      <c r="N13" s="4"/>
      <c r="O13" s="4">
        <f t="shared" si="4"/>
        <v>0</v>
      </c>
      <c r="P13" s="4">
        <f t="shared" si="5"/>
        <v>4620.4500000000116</v>
      </c>
      <c r="Q13" s="4"/>
      <c r="R13" s="4"/>
      <c r="S13" s="4">
        <f t="shared" si="6"/>
        <v>0</v>
      </c>
      <c r="T13" s="4">
        <f t="shared" si="7"/>
        <v>0</v>
      </c>
      <c r="U13" s="4">
        <f t="shared" si="8"/>
        <v>0</v>
      </c>
      <c r="V13" s="4"/>
      <c r="W13" s="4">
        <f t="shared" si="9"/>
        <v>0</v>
      </c>
      <c r="X13" s="4"/>
      <c r="Y13" s="4"/>
      <c r="Z13" s="3"/>
      <c r="AA13" s="3">
        <v>760000</v>
      </c>
      <c r="AB13" s="3"/>
      <c r="AC13" s="3"/>
      <c r="AD13" s="3"/>
      <c r="AE13" s="3"/>
      <c r="AF13" s="3"/>
      <c r="AG13" s="3"/>
      <c r="AH13" s="3"/>
      <c r="AI13" s="3"/>
      <c r="AJ13" s="3"/>
      <c r="AK13" s="3">
        <f t="shared" si="11"/>
        <v>0</v>
      </c>
      <c r="AL13" s="4"/>
      <c r="AM13" s="4">
        <f t="shared" si="12"/>
        <v>0</v>
      </c>
      <c r="AN13" s="4">
        <f t="shared" si="13"/>
        <v>0</v>
      </c>
      <c r="AO13" s="3"/>
      <c r="AP13" s="4">
        <f t="shared" si="14"/>
        <v>0</v>
      </c>
      <c r="AQ13" s="3"/>
      <c r="AR13" s="4"/>
      <c r="AS13" s="3"/>
      <c r="AT13" s="3"/>
      <c r="AU13" s="4">
        <f t="shared" si="15"/>
        <v>0</v>
      </c>
      <c r="AV13" s="3"/>
      <c r="AW13" s="3"/>
      <c r="AX13" s="4"/>
      <c r="AY13" s="3"/>
      <c r="AZ13" s="4">
        <f t="shared" si="16"/>
        <v>0</v>
      </c>
      <c r="BA13" s="3"/>
      <c r="BB13" s="3"/>
      <c r="BC13" s="3"/>
    </row>
    <row r="14" spans="1:55" s="5" customFormat="1">
      <c r="A14" s="3">
        <f t="shared" si="10"/>
        <v>6</v>
      </c>
      <c r="B14" s="3">
        <v>1776</v>
      </c>
      <c r="C14" s="3" t="s">
        <v>92</v>
      </c>
      <c r="D14" s="4">
        <f>350000+315000</f>
        <v>665000</v>
      </c>
      <c r="E14" s="4">
        <v>350000</v>
      </c>
      <c r="F14" s="4">
        <f t="shared" si="0"/>
        <v>315000</v>
      </c>
      <c r="G14" s="4">
        <f>240000+110000</f>
        <v>350000</v>
      </c>
      <c r="H14" s="4">
        <v>85702.5</v>
      </c>
      <c r="I14" s="4"/>
      <c r="J14" s="4">
        <v>185572</v>
      </c>
      <c r="K14" s="4">
        <f t="shared" si="1"/>
        <v>185572</v>
      </c>
      <c r="L14" s="4">
        <f t="shared" si="2"/>
        <v>271274.5</v>
      </c>
      <c r="M14" s="4">
        <f>P14+S14</f>
        <v>78725.5</v>
      </c>
      <c r="N14" s="4">
        <v>315000</v>
      </c>
      <c r="O14" s="4">
        <f>D14-L14-M14-N14</f>
        <v>0</v>
      </c>
      <c r="P14" s="4">
        <f t="shared" si="5"/>
        <v>78725.5</v>
      </c>
      <c r="Q14" s="4"/>
      <c r="R14" s="4"/>
      <c r="S14" s="4">
        <f t="shared" si="6"/>
        <v>0</v>
      </c>
      <c r="T14" s="4">
        <f t="shared" si="7"/>
        <v>0</v>
      </c>
      <c r="U14" s="4">
        <f t="shared" si="8"/>
        <v>315000</v>
      </c>
      <c r="V14" s="4"/>
      <c r="W14" s="4">
        <f t="shared" si="9"/>
        <v>315000</v>
      </c>
      <c r="X14" s="4"/>
      <c r="Y14" s="4"/>
      <c r="Z14" s="3"/>
      <c r="AA14" s="3">
        <v>810000</v>
      </c>
      <c r="AB14" s="3"/>
      <c r="AC14" s="3"/>
      <c r="AD14" s="3"/>
      <c r="AE14" s="3"/>
      <c r="AF14" s="4">
        <v>315000</v>
      </c>
      <c r="AG14" s="4"/>
      <c r="AH14" s="4"/>
      <c r="AI14" s="4"/>
      <c r="AJ14" s="4"/>
      <c r="AK14" s="4">
        <f t="shared" si="11"/>
        <v>315000</v>
      </c>
      <c r="AL14" s="4"/>
      <c r="AM14" s="4">
        <f t="shared" si="12"/>
        <v>315000</v>
      </c>
      <c r="AN14" s="4">
        <f t="shared" si="13"/>
        <v>0</v>
      </c>
      <c r="AO14" s="3"/>
      <c r="AP14" s="4">
        <f t="shared" si="14"/>
        <v>315000</v>
      </c>
      <c r="AQ14" s="3"/>
      <c r="AR14" s="4"/>
      <c r="AS14" s="3"/>
      <c r="AT14" s="4"/>
      <c r="AU14" s="4">
        <f t="shared" si="15"/>
        <v>0</v>
      </c>
      <c r="AV14" s="3"/>
      <c r="AW14" s="3"/>
      <c r="AX14" s="4"/>
      <c r="AY14" s="3"/>
      <c r="AZ14" s="4">
        <f t="shared" si="16"/>
        <v>0</v>
      </c>
      <c r="BA14" s="3"/>
      <c r="BB14" s="3"/>
      <c r="BC14" s="3"/>
    </row>
    <row r="15" spans="1:55" s="5" customFormat="1">
      <c r="A15" s="3">
        <f t="shared" si="10"/>
        <v>7</v>
      </c>
      <c r="B15" s="57">
        <v>1810</v>
      </c>
      <c r="C15" s="3" t="s">
        <v>266</v>
      </c>
      <c r="D15" s="4">
        <v>950000</v>
      </c>
      <c r="E15" s="4">
        <v>950000</v>
      </c>
      <c r="F15" s="4">
        <f t="shared" si="0"/>
        <v>0</v>
      </c>
      <c r="G15" s="4">
        <v>950000</v>
      </c>
      <c r="H15" s="4">
        <v>935477</v>
      </c>
      <c r="I15" s="4"/>
      <c r="J15" s="4">
        <v>13839</v>
      </c>
      <c r="K15" s="4">
        <f t="shared" si="1"/>
        <v>13839</v>
      </c>
      <c r="L15" s="4">
        <f t="shared" si="2"/>
        <v>949316</v>
      </c>
      <c r="M15" s="4">
        <f t="shared" si="3"/>
        <v>684</v>
      </c>
      <c r="N15" s="4">
        <v>0</v>
      </c>
      <c r="O15" s="4">
        <f t="shared" si="4"/>
        <v>0</v>
      </c>
      <c r="P15" s="4">
        <f t="shared" si="5"/>
        <v>684</v>
      </c>
      <c r="Q15" s="4"/>
      <c r="R15" s="4"/>
      <c r="S15" s="4">
        <f t="shared" si="6"/>
        <v>0</v>
      </c>
      <c r="T15" s="4">
        <f t="shared" si="7"/>
        <v>0</v>
      </c>
      <c r="U15" s="4">
        <f t="shared" si="8"/>
        <v>0</v>
      </c>
      <c r="V15" s="4"/>
      <c r="W15" s="4">
        <f t="shared" si="9"/>
        <v>0</v>
      </c>
      <c r="X15" s="4"/>
      <c r="Y15" s="4"/>
      <c r="Z15" s="3"/>
      <c r="AA15" s="3">
        <v>810000</v>
      </c>
      <c r="AB15" s="3"/>
      <c r="AC15" s="3"/>
      <c r="AD15" s="3"/>
      <c r="AE15" s="3"/>
      <c r="AF15" s="3"/>
      <c r="AG15" s="3"/>
      <c r="AH15" s="3"/>
      <c r="AI15" s="3"/>
      <c r="AJ15" s="3"/>
      <c r="AK15" s="3">
        <f t="shared" si="11"/>
        <v>0</v>
      </c>
      <c r="AL15" s="4"/>
      <c r="AM15" s="4">
        <f t="shared" si="12"/>
        <v>0</v>
      </c>
      <c r="AN15" s="4">
        <f t="shared" si="13"/>
        <v>0</v>
      </c>
      <c r="AO15" s="3"/>
      <c r="AP15" s="4">
        <f t="shared" si="14"/>
        <v>0</v>
      </c>
      <c r="AQ15" s="3"/>
      <c r="AR15" s="4"/>
      <c r="AS15" s="3"/>
      <c r="AT15" s="3"/>
      <c r="AU15" s="4">
        <f t="shared" si="15"/>
        <v>0</v>
      </c>
      <c r="AV15" s="3"/>
      <c r="AW15" s="3"/>
      <c r="AX15" s="4"/>
      <c r="AY15" s="3"/>
      <c r="AZ15" s="4">
        <f t="shared" si="16"/>
        <v>0</v>
      </c>
      <c r="BA15" s="3"/>
      <c r="BB15" s="3"/>
      <c r="BC15" s="3"/>
    </row>
    <row r="16" spans="1:55" s="5" customFormat="1">
      <c r="A16" s="3">
        <f t="shared" si="10"/>
        <v>8</v>
      </c>
      <c r="B16" s="57">
        <v>1817</v>
      </c>
      <c r="C16" s="3" t="s">
        <v>189</v>
      </c>
      <c r="D16" s="4">
        <v>640000</v>
      </c>
      <c r="E16" s="4">
        <v>640000</v>
      </c>
      <c r="F16" s="4">
        <f t="shared" si="0"/>
        <v>0</v>
      </c>
      <c r="G16" s="4">
        <v>640000</v>
      </c>
      <c r="H16" s="4">
        <v>555691.87</v>
      </c>
      <c r="I16" s="4"/>
      <c r="J16" s="4">
        <v>34728</v>
      </c>
      <c r="K16" s="4">
        <f t="shared" si="1"/>
        <v>34728</v>
      </c>
      <c r="L16" s="4">
        <f t="shared" si="2"/>
        <v>590419.87</v>
      </c>
      <c r="M16" s="4">
        <f t="shared" si="3"/>
        <v>49580.130000000005</v>
      </c>
      <c r="N16" s="4"/>
      <c r="O16" s="4">
        <f t="shared" si="4"/>
        <v>0</v>
      </c>
      <c r="P16" s="4">
        <f t="shared" si="5"/>
        <v>49580.130000000005</v>
      </c>
      <c r="Q16" s="4"/>
      <c r="R16" s="4"/>
      <c r="S16" s="4">
        <f t="shared" si="6"/>
        <v>0</v>
      </c>
      <c r="T16" s="4">
        <f t="shared" si="7"/>
        <v>0</v>
      </c>
      <c r="U16" s="4">
        <f t="shared" si="8"/>
        <v>0</v>
      </c>
      <c r="V16" s="4"/>
      <c r="W16" s="4">
        <f t="shared" si="9"/>
        <v>0</v>
      </c>
      <c r="X16" s="4"/>
      <c r="Y16" s="4"/>
      <c r="Z16" s="3"/>
      <c r="AA16" s="3">
        <v>810000</v>
      </c>
      <c r="AB16" s="3"/>
      <c r="AC16" s="3"/>
      <c r="AD16" s="3"/>
      <c r="AE16" s="3"/>
      <c r="AF16" s="3"/>
      <c r="AG16" s="3"/>
      <c r="AH16" s="3"/>
      <c r="AI16" s="3"/>
      <c r="AJ16" s="3"/>
      <c r="AK16" s="3">
        <f t="shared" si="11"/>
        <v>0</v>
      </c>
      <c r="AL16" s="4"/>
      <c r="AM16" s="4">
        <f t="shared" si="12"/>
        <v>0</v>
      </c>
      <c r="AN16" s="4">
        <f t="shared" si="13"/>
        <v>0</v>
      </c>
      <c r="AO16" s="3"/>
      <c r="AP16" s="4">
        <f t="shared" si="14"/>
        <v>0</v>
      </c>
      <c r="AQ16" s="3"/>
      <c r="AR16" s="4"/>
      <c r="AS16" s="3"/>
      <c r="AT16" s="3"/>
      <c r="AU16" s="4">
        <f t="shared" si="15"/>
        <v>0</v>
      </c>
      <c r="AV16" s="3"/>
      <c r="AW16" s="3"/>
      <c r="AX16" s="4"/>
      <c r="AY16" s="3"/>
      <c r="AZ16" s="4">
        <f t="shared" si="16"/>
        <v>0</v>
      </c>
      <c r="BA16" s="3"/>
      <c r="BB16" s="3"/>
      <c r="BC16" s="3"/>
    </row>
    <row r="17" spans="1:55" s="5" customFormat="1">
      <c r="A17" s="3">
        <f t="shared" si="10"/>
        <v>9</v>
      </c>
      <c r="B17" s="57">
        <v>1828</v>
      </c>
      <c r="C17" s="3" t="s">
        <v>295</v>
      </c>
      <c r="D17" s="4">
        <v>330000</v>
      </c>
      <c r="E17" s="4">
        <v>330000</v>
      </c>
      <c r="F17" s="4">
        <f t="shared" si="0"/>
        <v>0</v>
      </c>
      <c r="G17" s="4">
        <v>330000</v>
      </c>
      <c r="H17" s="4">
        <v>188718.3</v>
      </c>
      <c r="I17" s="4"/>
      <c r="J17" s="4"/>
      <c r="K17" s="4">
        <f t="shared" si="1"/>
        <v>0</v>
      </c>
      <c r="L17" s="4">
        <f t="shared" si="2"/>
        <v>188718.3</v>
      </c>
      <c r="M17" s="4">
        <f t="shared" si="3"/>
        <v>141281.70000000001</v>
      </c>
      <c r="N17" s="4"/>
      <c r="O17" s="4">
        <f t="shared" si="4"/>
        <v>0</v>
      </c>
      <c r="P17" s="4">
        <f t="shared" si="5"/>
        <v>141281.70000000001</v>
      </c>
      <c r="Q17" s="4"/>
      <c r="R17" s="4"/>
      <c r="S17" s="4">
        <f t="shared" si="6"/>
        <v>0</v>
      </c>
      <c r="T17" s="4">
        <f t="shared" si="7"/>
        <v>0</v>
      </c>
      <c r="U17" s="4">
        <f t="shared" si="8"/>
        <v>0</v>
      </c>
      <c r="V17" s="4"/>
      <c r="W17" s="4">
        <f t="shared" si="9"/>
        <v>0</v>
      </c>
      <c r="X17" s="4"/>
      <c r="Y17" s="4"/>
      <c r="Z17" s="3"/>
      <c r="AA17" s="3">
        <v>810000</v>
      </c>
      <c r="AB17" s="3"/>
      <c r="AC17" s="3"/>
      <c r="AD17" s="3"/>
      <c r="AE17" s="3"/>
      <c r="AF17" s="3"/>
      <c r="AG17" s="3"/>
      <c r="AH17" s="3"/>
      <c r="AI17" s="3"/>
      <c r="AJ17" s="3"/>
      <c r="AK17" s="3">
        <f t="shared" si="11"/>
        <v>0</v>
      </c>
      <c r="AL17" s="4"/>
      <c r="AM17" s="4">
        <f t="shared" si="12"/>
        <v>0</v>
      </c>
      <c r="AN17" s="4">
        <f t="shared" si="13"/>
        <v>0</v>
      </c>
      <c r="AO17" s="3"/>
      <c r="AP17" s="4">
        <f t="shared" si="14"/>
        <v>0</v>
      </c>
      <c r="AQ17" s="3"/>
      <c r="AR17" s="4"/>
      <c r="AS17" s="3"/>
      <c r="AT17" s="3"/>
      <c r="AU17" s="4">
        <f t="shared" si="15"/>
        <v>0</v>
      </c>
      <c r="AV17" s="3"/>
      <c r="AW17" s="3"/>
      <c r="AX17" s="4"/>
      <c r="AY17" s="3"/>
      <c r="AZ17" s="4">
        <f t="shared" si="16"/>
        <v>0</v>
      </c>
      <c r="BA17" s="3"/>
      <c r="BB17" s="3"/>
      <c r="BC17" s="3"/>
    </row>
    <row r="18" spans="1:55" s="5" customFormat="1">
      <c r="A18" s="3">
        <f t="shared" si="10"/>
        <v>10</v>
      </c>
      <c r="B18" s="57">
        <v>1930</v>
      </c>
      <c r="C18" s="3" t="s">
        <v>233</v>
      </c>
      <c r="D18" s="4">
        <f>400000+'[3]אומדן - סיכום'!E61+'[3]אומדן - סיכום'!E57</f>
        <v>950000</v>
      </c>
      <c r="E18" s="4">
        <v>400000</v>
      </c>
      <c r="F18" s="4">
        <f t="shared" si="0"/>
        <v>550000</v>
      </c>
      <c r="G18" s="4">
        <f>320000+80000</f>
        <v>400000</v>
      </c>
      <c r="H18" s="4">
        <v>230431</v>
      </c>
      <c r="I18" s="4"/>
      <c r="J18" s="4">
        <v>122783</v>
      </c>
      <c r="K18" s="4">
        <f t="shared" si="1"/>
        <v>122783</v>
      </c>
      <c r="L18" s="4">
        <f t="shared" si="2"/>
        <v>353214</v>
      </c>
      <c r="M18" s="4">
        <f t="shared" si="3"/>
        <v>46786</v>
      </c>
      <c r="N18" s="4">
        <v>550000</v>
      </c>
      <c r="O18" s="4">
        <f>D18-L18-M18-N18</f>
        <v>0</v>
      </c>
      <c r="P18" s="4">
        <f t="shared" si="5"/>
        <v>46786</v>
      </c>
      <c r="Q18" s="4"/>
      <c r="R18" s="4"/>
      <c r="S18" s="4">
        <f t="shared" si="6"/>
        <v>0</v>
      </c>
      <c r="T18" s="4">
        <f t="shared" si="7"/>
        <v>0</v>
      </c>
      <c r="U18" s="4">
        <f t="shared" si="8"/>
        <v>550000</v>
      </c>
      <c r="V18" s="4"/>
      <c r="W18" s="4">
        <f t="shared" si="9"/>
        <v>550000</v>
      </c>
      <c r="X18" s="4"/>
      <c r="Y18" s="4"/>
      <c r="Z18" s="3"/>
      <c r="AA18" s="3">
        <v>810000</v>
      </c>
      <c r="AB18" s="3"/>
      <c r="AC18" s="3"/>
      <c r="AD18" s="3"/>
      <c r="AE18" s="3"/>
      <c r="AF18" s="520">
        <v>250000</v>
      </c>
      <c r="AG18" s="3"/>
      <c r="AH18" s="3"/>
      <c r="AI18" s="3"/>
      <c r="AJ18" s="3"/>
      <c r="AK18" s="4">
        <f t="shared" si="11"/>
        <v>250000</v>
      </c>
      <c r="AL18" s="4"/>
      <c r="AM18" s="4">
        <f t="shared" si="12"/>
        <v>250000</v>
      </c>
      <c r="AN18" s="4">
        <f t="shared" si="13"/>
        <v>300000</v>
      </c>
      <c r="AO18" s="3"/>
      <c r="AP18" s="4">
        <f t="shared" si="14"/>
        <v>250000</v>
      </c>
      <c r="AQ18" s="3"/>
      <c r="AR18" s="4"/>
      <c r="AS18" s="3"/>
      <c r="AT18" s="4"/>
      <c r="AU18" s="4">
        <f t="shared" si="15"/>
        <v>0</v>
      </c>
      <c r="AV18" s="3"/>
      <c r="AW18" s="3"/>
      <c r="AX18" s="4"/>
      <c r="AY18" s="3"/>
      <c r="AZ18" s="4">
        <f t="shared" si="16"/>
        <v>300000</v>
      </c>
      <c r="BA18" s="3"/>
      <c r="BB18" s="3"/>
      <c r="BC18" s="3"/>
    </row>
    <row r="19" spans="1:55" s="5" customFormat="1">
      <c r="A19" s="3">
        <f t="shared" si="10"/>
        <v>11</v>
      </c>
      <c r="B19" s="3">
        <v>1975</v>
      </c>
      <c r="C19" s="3" t="s">
        <v>267</v>
      </c>
      <c r="D19" s="4">
        <v>975000</v>
      </c>
      <c r="E19" s="4">
        <v>975000</v>
      </c>
      <c r="F19" s="4">
        <f t="shared" si="0"/>
        <v>0</v>
      </c>
      <c r="G19" s="4">
        <v>0</v>
      </c>
      <c r="H19" s="4">
        <v>0</v>
      </c>
      <c r="I19" s="4"/>
      <c r="J19" s="4"/>
      <c r="K19" s="4">
        <f t="shared" si="1"/>
        <v>0</v>
      </c>
      <c r="L19" s="4">
        <f t="shared" si="2"/>
        <v>0</v>
      </c>
      <c r="M19" s="4">
        <f t="shared" si="3"/>
        <v>0</v>
      </c>
      <c r="N19" s="4">
        <f>975000-975000</f>
        <v>0</v>
      </c>
      <c r="O19" s="4">
        <f t="shared" si="4"/>
        <v>975000</v>
      </c>
      <c r="P19" s="4">
        <f t="shared" si="5"/>
        <v>0</v>
      </c>
      <c r="Q19" s="4"/>
      <c r="R19" s="4"/>
      <c r="S19" s="4">
        <f t="shared" si="6"/>
        <v>0</v>
      </c>
      <c r="T19" s="4">
        <f t="shared" si="7"/>
        <v>0</v>
      </c>
      <c r="U19" s="4">
        <f t="shared" si="8"/>
        <v>0</v>
      </c>
      <c r="V19" s="4"/>
      <c r="W19" s="4">
        <f t="shared" si="9"/>
        <v>0</v>
      </c>
      <c r="X19" s="4"/>
      <c r="Y19" s="4"/>
      <c r="Z19" s="3"/>
      <c r="AA19" s="3">
        <v>810000</v>
      </c>
      <c r="AB19" s="3"/>
      <c r="AC19" s="3"/>
      <c r="AD19" s="3"/>
      <c r="AE19" s="3"/>
      <c r="AF19" s="3"/>
      <c r="AG19" s="3"/>
      <c r="AH19" s="3"/>
      <c r="AI19" s="3"/>
      <c r="AJ19" s="3"/>
      <c r="AK19" s="3">
        <f t="shared" si="11"/>
        <v>0</v>
      </c>
      <c r="AL19" s="4"/>
      <c r="AM19" s="4">
        <f t="shared" si="12"/>
        <v>0</v>
      </c>
      <c r="AN19" s="4">
        <f t="shared" si="13"/>
        <v>0</v>
      </c>
      <c r="AO19" s="3"/>
      <c r="AP19" s="4">
        <f t="shared" si="14"/>
        <v>0</v>
      </c>
      <c r="AQ19" s="3"/>
      <c r="AR19" s="4"/>
      <c r="AS19" s="3"/>
      <c r="AT19" s="3"/>
      <c r="AU19" s="4">
        <f t="shared" si="15"/>
        <v>0</v>
      </c>
      <c r="AV19" s="3"/>
      <c r="AW19" s="3"/>
      <c r="AX19" s="4"/>
      <c r="AY19" s="3"/>
      <c r="AZ19" s="4">
        <f t="shared" si="16"/>
        <v>0</v>
      </c>
      <c r="BA19" s="3"/>
      <c r="BB19" s="3"/>
      <c r="BC19" s="3"/>
    </row>
    <row r="20" spans="1:55" s="5" customFormat="1">
      <c r="A20" s="3">
        <f t="shared" si="10"/>
        <v>12</v>
      </c>
      <c r="B20" s="3">
        <v>1976</v>
      </c>
      <c r="C20" s="3" t="s">
        <v>268</v>
      </c>
      <c r="D20" s="4">
        <f>1004100-360000</f>
        <v>644100</v>
      </c>
      <c r="E20" s="4">
        <v>644100</v>
      </c>
      <c r="F20" s="4">
        <f t="shared" si="0"/>
        <v>0</v>
      </c>
      <c r="G20" s="4">
        <v>644100</v>
      </c>
      <c r="H20" s="4">
        <v>3510</v>
      </c>
      <c r="I20" s="4"/>
      <c r="J20" s="4">
        <v>338913</v>
      </c>
      <c r="K20" s="4">
        <f t="shared" si="1"/>
        <v>338913</v>
      </c>
      <c r="L20" s="4">
        <f t="shared" si="2"/>
        <v>342423</v>
      </c>
      <c r="M20" s="4">
        <f t="shared" si="3"/>
        <v>301677</v>
      </c>
      <c r="N20" s="4">
        <f>360000-360000</f>
        <v>0</v>
      </c>
      <c r="O20" s="4">
        <f t="shared" si="4"/>
        <v>0</v>
      </c>
      <c r="P20" s="4">
        <f t="shared" si="5"/>
        <v>301677</v>
      </c>
      <c r="Q20" s="4"/>
      <c r="R20" s="4"/>
      <c r="S20" s="4">
        <f t="shared" si="6"/>
        <v>0</v>
      </c>
      <c r="T20" s="4">
        <f t="shared" si="7"/>
        <v>0</v>
      </c>
      <c r="U20" s="4">
        <f t="shared" si="8"/>
        <v>0</v>
      </c>
      <c r="V20" s="4"/>
      <c r="W20" s="4">
        <f t="shared" si="9"/>
        <v>0</v>
      </c>
      <c r="X20" s="4"/>
      <c r="Y20" s="4"/>
      <c r="Z20" s="3"/>
      <c r="AA20" s="3">
        <v>810000</v>
      </c>
      <c r="AB20" s="3"/>
      <c r="AC20" s="3"/>
      <c r="AD20" s="3"/>
      <c r="AE20" s="3"/>
      <c r="AF20" s="3"/>
      <c r="AG20" s="3"/>
      <c r="AH20" s="3"/>
      <c r="AI20" s="3"/>
      <c r="AJ20" s="3"/>
      <c r="AK20" s="3">
        <f t="shared" si="11"/>
        <v>0</v>
      </c>
      <c r="AL20" s="4"/>
      <c r="AM20" s="4">
        <f t="shared" si="12"/>
        <v>0</v>
      </c>
      <c r="AN20" s="4">
        <f t="shared" si="13"/>
        <v>0</v>
      </c>
      <c r="AO20" s="3"/>
      <c r="AP20" s="4">
        <f t="shared" si="14"/>
        <v>0</v>
      </c>
      <c r="AQ20" s="3"/>
      <c r="AR20" s="4"/>
      <c r="AS20" s="3"/>
      <c r="AT20" s="3"/>
      <c r="AU20" s="4">
        <f t="shared" si="15"/>
        <v>0</v>
      </c>
      <c r="AV20" s="3"/>
      <c r="AW20" s="3"/>
      <c r="AX20" s="4"/>
      <c r="AY20" s="3"/>
      <c r="AZ20" s="4">
        <f t="shared" si="16"/>
        <v>0</v>
      </c>
      <c r="BA20" s="3"/>
      <c r="BB20" s="3"/>
      <c r="BC20" s="3"/>
    </row>
    <row r="21" spans="1:55" s="5" customFormat="1">
      <c r="A21" s="3">
        <f t="shared" si="10"/>
        <v>13</v>
      </c>
      <c r="B21" s="3">
        <v>1977</v>
      </c>
      <c r="C21" s="3" t="s">
        <v>269</v>
      </c>
      <c r="D21" s="4">
        <v>44100</v>
      </c>
      <c r="E21" s="4">
        <v>44100</v>
      </c>
      <c r="F21" s="4">
        <f t="shared" si="0"/>
        <v>0</v>
      </c>
      <c r="G21" s="4">
        <v>44100</v>
      </c>
      <c r="H21" s="4">
        <v>0</v>
      </c>
      <c r="I21" s="4"/>
      <c r="J21" s="4"/>
      <c r="K21" s="4">
        <f t="shared" si="1"/>
        <v>0</v>
      </c>
      <c r="L21" s="4">
        <f t="shared" si="2"/>
        <v>0</v>
      </c>
      <c r="M21" s="4">
        <f t="shared" si="3"/>
        <v>44100</v>
      </c>
      <c r="N21" s="4"/>
      <c r="O21" s="4">
        <f t="shared" si="4"/>
        <v>0</v>
      </c>
      <c r="P21" s="4">
        <f t="shared" si="5"/>
        <v>44100</v>
      </c>
      <c r="Q21" s="4"/>
      <c r="R21" s="4"/>
      <c r="S21" s="4">
        <f t="shared" si="6"/>
        <v>0</v>
      </c>
      <c r="T21" s="4">
        <f t="shared" si="7"/>
        <v>0</v>
      </c>
      <c r="U21" s="4">
        <f t="shared" si="8"/>
        <v>0</v>
      </c>
      <c r="V21" s="4"/>
      <c r="W21" s="4">
        <f t="shared" si="9"/>
        <v>0</v>
      </c>
      <c r="X21" s="4"/>
      <c r="Y21" s="4"/>
      <c r="Z21" s="3"/>
      <c r="AA21" s="3">
        <v>810000</v>
      </c>
      <c r="AB21" s="3"/>
      <c r="AC21" s="3"/>
      <c r="AD21" s="3"/>
      <c r="AE21" s="3"/>
      <c r="AF21" s="3"/>
      <c r="AG21" s="3"/>
      <c r="AH21" s="3"/>
      <c r="AI21" s="3"/>
      <c r="AJ21" s="3"/>
      <c r="AK21" s="3">
        <f t="shared" si="11"/>
        <v>0</v>
      </c>
      <c r="AL21" s="4"/>
      <c r="AM21" s="4">
        <f t="shared" si="12"/>
        <v>0</v>
      </c>
      <c r="AN21" s="4">
        <f t="shared" si="13"/>
        <v>0</v>
      </c>
      <c r="AO21" s="3"/>
      <c r="AP21" s="4">
        <f t="shared" si="14"/>
        <v>0</v>
      </c>
      <c r="AQ21" s="3"/>
      <c r="AR21" s="4"/>
      <c r="AS21" s="3"/>
      <c r="AT21" s="3"/>
      <c r="AU21" s="4">
        <f t="shared" si="15"/>
        <v>0</v>
      </c>
      <c r="AV21" s="3"/>
      <c r="AW21" s="3"/>
      <c r="AX21" s="4"/>
      <c r="AY21" s="3"/>
      <c r="AZ21" s="4">
        <f t="shared" si="16"/>
        <v>0</v>
      </c>
      <c r="BA21" s="3"/>
      <c r="BB21" s="3"/>
      <c r="BC21" s="3"/>
    </row>
    <row r="22" spans="1:55" s="5" customFormat="1">
      <c r="A22" s="3">
        <f t="shared" si="10"/>
        <v>14</v>
      </c>
      <c r="B22" s="57">
        <v>1978</v>
      </c>
      <c r="C22" s="3" t="s">
        <v>270</v>
      </c>
      <c r="D22" s="4">
        <v>73500</v>
      </c>
      <c r="E22" s="4">
        <v>73500</v>
      </c>
      <c r="F22" s="4">
        <f t="shared" si="0"/>
        <v>0</v>
      </c>
      <c r="G22" s="4">
        <v>73500</v>
      </c>
      <c r="H22" s="4">
        <v>0</v>
      </c>
      <c r="I22" s="4"/>
      <c r="J22" s="4"/>
      <c r="K22" s="4">
        <f t="shared" si="1"/>
        <v>0</v>
      </c>
      <c r="L22" s="4">
        <f t="shared" si="2"/>
        <v>0</v>
      </c>
      <c r="M22" s="4">
        <f t="shared" si="3"/>
        <v>73500</v>
      </c>
      <c r="N22" s="4"/>
      <c r="O22" s="4">
        <f t="shared" si="4"/>
        <v>0</v>
      </c>
      <c r="P22" s="4">
        <f t="shared" si="5"/>
        <v>73500</v>
      </c>
      <c r="Q22" s="4"/>
      <c r="R22" s="4"/>
      <c r="S22" s="4">
        <f t="shared" si="6"/>
        <v>0</v>
      </c>
      <c r="T22" s="4">
        <f t="shared" si="7"/>
        <v>0</v>
      </c>
      <c r="U22" s="4">
        <f t="shared" si="8"/>
        <v>0</v>
      </c>
      <c r="V22" s="4"/>
      <c r="W22" s="4">
        <f t="shared" si="9"/>
        <v>0</v>
      </c>
      <c r="X22" s="4"/>
      <c r="Y22" s="4"/>
      <c r="Z22" s="3"/>
      <c r="AA22" s="3">
        <v>810000</v>
      </c>
      <c r="AB22" s="3"/>
      <c r="AC22" s="3"/>
      <c r="AD22" s="3"/>
      <c r="AE22" s="3"/>
      <c r="AF22" s="3"/>
      <c r="AG22" s="3"/>
      <c r="AH22" s="3"/>
      <c r="AI22" s="3"/>
      <c r="AJ22" s="3"/>
      <c r="AK22" s="3">
        <f t="shared" si="11"/>
        <v>0</v>
      </c>
      <c r="AL22" s="4"/>
      <c r="AM22" s="4">
        <f t="shared" si="12"/>
        <v>0</v>
      </c>
      <c r="AN22" s="4">
        <f t="shared" si="13"/>
        <v>0</v>
      </c>
      <c r="AO22" s="3"/>
      <c r="AP22" s="4">
        <f t="shared" si="14"/>
        <v>0</v>
      </c>
      <c r="AQ22" s="3"/>
      <c r="AR22" s="4"/>
      <c r="AS22" s="3"/>
      <c r="AT22" s="3"/>
      <c r="AU22" s="4">
        <f t="shared" si="15"/>
        <v>0</v>
      </c>
      <c r="AV22" s="3"/>
      <c r="AW22" s="3"/>
      <c r="AX22" s="4"/>
      <c r="AY22" s="3"/>
      <c r="AZ22" s="4">
        <f t="shared" si="16"/>
        <v>0</v>
      </c>
      <c r="BA22" s="3"/>
      <c r="BB22" s="3"/>
      <c r="BC22" s="3"/>
    </row>
    <row r="23" spans="1:55" s="5" customFormat="1">
      <c r="A23" s="3">
        <f t="shared" si="10"/>
        <v>15</v>
      </c>
      <c r="B23" s="57">
        <v>1987</v>
      </c>
      <c r="C23" s="3" t="s">
        <v>330</v>
      </c>
      <c r="D23" s="4">
        <v>120000</v>
      </c>
      <c r="E23" s="4">
        <v>120000</v>
      </c>
      <c r="F23" s="4">
        <f t="shared" si="0"/>
        <v>0</v>
      </c>
      <c r="G23" s="4">
        <v>120000</v>
      </c>
      <c r="H23" s="4">
        <v>0</v>
      </c>
      <c r="I23" s="4"/>
      <c r="J23" s="4"/>
      <c r="K23" s="4">
        <f t="shared" si="1"/>
        <v>0</v>
      </c>
      <c r="L23" s="4">
        <f t="shared" si="2"/>
        <v>0</v>
      </c>
      <c r="M23" s="4">
        <f>P23+S23</f>
        <v>120000</v>
      </c>
      <c r="N23" s="4"/>
      <c r="O23" s="4">
        <f t="shared" si="4"/>
        <v>0</v>
      </c>
      <c r="P23" s="4">
        <f t="shared" si="5"/>
        <v>120000</v>
      </c>
      <c r="Q23" s="4"/>
      <c r="R23" s="4"/>
      <c r="S23" s="4">
        <f t="shared" si="6"/>
        <v>0</v>
      </c>
      <c r="T23" s="4">
        <f t="shared" si="7"/>
        <v>0</v>
      </c>
      <c r="U23" s="4">
        <f t="shared" si="8"/>
        <v>0</v>
      </c>
      <c r="V23" s="4"/>
      <c r="W23" s="4">
        <f t="shared" si="9"/>
        <v>0</v>
      </c>
      <c r="X23" s="4"/>
      <c r="Y23" s="4"/>
      <c r="Z23" s="3"/>
      <c r="AA23" s="3">
        <v>810000</v>
      </c>
      <c r="AB23" s="3"/>
      <c r="AC23" s="3"/>
      <c r="AD23" s="3"/>
      <c r="AE23" s="3"/>
      <c r="AF23" s="3"/>
      <c r="AG23" s="3"/>
      <c r="AH23" s="3"/>
      <c r="AI23" s="3"/>
      <c r="AJ23" s="3"/>
      <c r="AK23" s="3">
        <f t="shared" si="11"/>
        <v>0</v>
      </c>
      <c r="AL23" s="4"/>
      <c r="AM23" s="4">
        <f t="shared" si="12"/>
        <v>0</v>
      </c>
      <c r="AN23" s="4">
        <f t="shared" si="13"/>
        <v>0</v>
      </c>
      <c r="AO23" s="3"/>
      <c r="AP23" s="4">
        <f t="shared" si="14"/>
        <v>0</v>
      </c>
      <c r="AQ23" s="3"/>
      <c r="AR23" s="4"/>
      <c r="AS23" s="3"/>
      <c r="AT23" s="3"/>
      <c r="AU23" s="4">
        <f t="shared" si="15"/>
        <v>0</v>
      </c>
      <c r="AV23" s="3"/>
      <c r="AW23" s="3"/>
      <c r="AX23" s="4"/>
      <c r="AY23" s="3"/>
      <c r="AZ23" s="4">
        <f t="shared" si="16"/>
        <v>0</v>
      </c>
      <c r="BA23" s="3"/>
      <c r="BB23" s="3"/>
      <c r="BC23" s="3"/>
    </row>
    <row r="24" spans="1:55" s="5" customFormat="1">
      <c r="A24" s="3">
        <f t="shared" si="10"/>
        <v>16</v>
      </c>
      <c r="B24" s="57">
        <v>1990</v>
      </c>
      <c r="C24" s="3" t="s">
        <v>331</v>
      </c>
      <c r="D24" s="4">
        <v>58800</v>
      </c>
      <c r="E24" s="4">
        <v>58800</v>
      </c>
      <c r="F24" s="4">
        <f t="shared" si="0"/>
        <v>0</v>
      </c>
      <c r="G24" s="4">
        <v>58800</v>
      </c>
      <c r="H24" s="4">
        <v>0</v>
      </c>
      <c r="I24" s="4"/>
      <c r="J24" s="4"/>
      <c r="K24" s="4">
        <f t="shared" si="1"/>
        <v>0</v>
      </c>
      <c r="L24" s="4">
        <f t="shared" si="2"/>
        <v>0</v>
      </c>
      <c r="M24" s="4">
        <f t="shared" si="3"/>
        <v>58800</v>
      </c>
      <c r="N24" s="4"/>
      <c r="O24" s="4">
        <f t="shared" si="4"/>
        <v>0</v>
      </c>
      <c r="P24" s="4">
        <f t="shared" si="5"/>
        <v>58800</v>
      </c>
      <c r="Q24" s="4"/>
      <c r="R24" s="4"/>
      <c r="S24" s="4">
        <f t="shared" si="6"/>
        <v>0</v>
      </c>
      <c r="T24" s="4">
        <f t="shared" si="7"/>
        <v>0</v>
      </c>
      <c r="U24" s="4">
        <f t="shared" si="8"/>
        <v>0</v>
      </c>
      <c r="V24" s="4"/>
      <c r="W24" s="4">
        <f t="shared" si="9"/>
        <v>0</v>
      </c>
      <c r="X24" s="4"/>
      <c r="Y24" s="4"/>
      <c r="Z24" s="3"/>
      <c r="AA24" s="3">
        <v>810000</v>
      </c>
      <c r="AB24" s="3"/>
      <c r="AC24" s="3"/>
      <c r="AD24" s="3"/>
      <c r="AE24" s="3"/>
      <c r="AF24" s="3"/>
      <c r="AG24" s="3"/>
      <c r="AH24" s="3"/>
      <c r="AI24" s="3"/>
      <c r="AJ24" s="3"/>
      <c r="AK24" s="3">
        <f t="shared" si="11"/>
        <v>0</v>
      </c>
      <c r="AL24" s="4"/>
      <c r="AM24" s="4">
        <f t="shared" si="12"/>
        <v>0</v>
      </c>
      <c r="AN24" s="4">
        <f t="shared" si="13"/>
        <v>0</v>
      </c>
      <c r="AO24" s="3"/>
      <c r="AP24" s="4">
        <f t="shared" si="14"/>
        <v>0</v>
      </c>
      <c r="AQ24" s="3"/>
      <c r="AR24" s="4"/>
      <c r="AS24" s="3"/>
      <c r="AT24" s="3"/>
      <c r="AU24" s="4">
        <f t="shared" si="15"/>
        <v>0</v>
      </c>
      <c r="AV24" s="3"/>
      <c r="AW24" s="3"/>
      <c r="AX24" s="4"/>
      <c r="AY24" s="3"/>
      <c r="AZ24" s="4">
        <f t="shared" si="16"/>
        <v>0</v>
      </c>
      <c r="BA24" s="3"/>
      <c r="BB24" s="3"/>
      <c r="BC24" s="3"/>
    </row>
    <row r="25" spans="1:55" s="5" customFormat="1">
      <c r="A25" s="3">
        <f t="shared" si="10"/>
        <v>17</v>
      </c>
      <c r="B25" s="57">
        <v>2003</v>
      </c>
      <c r="C25" s="3" t="s">
        <v>332</v>
      </c>
      <c r="D25" s="4">
        <f>150000+65000-65000</f>
        <v>150000</v>
      </c>
      <c r="E25" s="4">
        <v>150000</v>
      </c>
      <c r="F25" s="4">
        <f t="shared" si="0"/>
        <v>0</v>
      </c>
      <c r="G25" s="4">
        <v>150000</v>
      </c>
      <c r="H25" s="4">
        <v>0</v>
      </c>
      <c r="I25" s="4"/>
      <c r="J25" s="4"/>
      <c r="K25" s="4">
        <f t="shared" si="1"/>
        <v>0</v>
      </c>
      <c r="L25" s="4">
        <f t="shared" si="2"/>
        <v>0</v>
      </c>
      <c r="M25" s="4">
        <f t="shared" si="3"/>
        <v>150000</v>
      </c>
      <c r="N25" s="4"/>
      <c r="O25" s="4">
        <f t="shared" si="4"/>
        <v>0</v>
      </c>
      <c r="P25" s="4">
        <f t="shared" si="5"/>
        <v>150000</v>
      </c>
      <c r="Q25" s="4"/>
      <c r="R25" s="4"/>
      <c r="S25" s="4">
        <f t="shared" si="6"/>
        <v>0</v>
      </c>
      <c r="T25" s="4">
        <f t="shared" si="7"/>
        <v>0</v>
      </c>
      <c r="U25" s="4">
        <f t="shared" si="8"/>
        <v>0</v>
      </c>
      <c r="V25" s="4"/>
      <c r="W25" s="4">
        <f t="shared" si="9"/>
        <v>0</v>
      </c>
      <c r="X25" s="4"/>
      <c r="Y25" s="4"/>
      <c r="Z25" s="3"/>
      <c r="AA25" s="3">
        <v>810000</v>
      </c>
      <c r="AB25" s="3"/>
      <c r="AC25" s="3"/>
      <c r="AD25" s="3"/>
      <c r="AE25" s="3"/>
      <c r="AF25" s="3"/>
      <c r="AG25" s="3"/>
      <c r="AH25" s="3"/>
      <c r="AI25" s="3"/>
      <c r="AJ25" s="3"/>
      <c r="AK25" s="3">
        <f t="shared" si="11"/>
        <v>0</v>
      </c>
      <c r="AL25" s="4"/>
      <c r="AM25" s="4">
        <f t="shared" si="12"/>
        <v>0</v>
      </c>
      <c r="AN25" s="4">
        <f t="shared" si="13"/>
        <v>0</v>
      </c>
      <c r="AO25" s="3"/>
      <c r="AP25" s="4">
        <f t="shared" si="14"/>
        <v>0</v>
      </c>
      <c r="AQ25" s="3"/>
      <c r="AR25" s="4"/>
      <c r="AS25" s="3"/>
      <c r="AT25" s="3"/>
      <c r="AU25" s="4">
        <f t="shared" si="15"/>
        <v>0</v>
      </c>
      <c r="AV25" s="3"/>
      <c r="AW25" s="3"/>
      <c r="AX25" s="4"/>
      <c r="AY25" s="3"/>
      <c r="AZ25" s="4">
        <f t="shared" si="16"/>
        <v>0</v>
      </c>
      <c r="BA25" s="3"/>
      <c r="BB25" s="3"/>
      <c r="BC25" s="3"/>
    </row>
    <row r="26" spans="1:55" s="5" customFormat="1">
      <c r="A26" s="3">
        <f t="shared" si="10"/>
        <v>18</v>
      </c>
      <c r="B26" s="57">
        <v>2033</v>
      </c>
      <c r="C26" s="3" t="s">
        <v>360</v>
      </c>
      <c r="D26" s="4">
        <v>950000</v>
      </c>
      <c r="E26" s="4"/>
      <c r="F26" s="4">
        <f t="shared" si="0"/>
        <v>950000</v>
      </c>
      <c r="G26" s="4"/>
      <c r="H26" s="4"/>
      <c r="I26" s="4"/>
      <c r="J26" s="4"/>
      <c r="K26" s="4"/>
      <c r="L26" s="4"/>
      <c r="M26" s="4">
        <f>P26+S26</f>
        <v>0</v>
      </c>
      <c r="N26" s="4">
        <v>950000</v>
      </c>
      <c r="O26" s="4">
        <f>D26-L26-M26-N26</f>
        <v>0</v>
      </c>
      <c r="P26" s="4">
        <f>G26-L26</f>
        <v>0</v>
      </c>
      <c r="Q26" s="4"/>
      <c r="R26" s="4"/>
      <c r="S26" s="4">
        <f>SUM(Q26:R26)</f>
        <v>0</v>
      </c>
      <c r="T26" s="4">
        <f t="shared" si="7"/>
        <v>0</v>
      </c>
      <c r="U26" s="4">
        <f t="shared" si="8"/>
        <v>950000</v>
      </c>
      <c r="V26" s="4"/>
      <c r="W26" s="4">
        <f t="shared" si="9"/>
        <v>950000</v>
      </c>
      <c r="X26" s="4"/>
      <c r="Y26" s="4"/>
      <c r="Z26" s="3"/>
      <c r="AA26" s="3">
        <v>810000</v>
      </c>
      <c r="AB26" s="3"/>
      <c r="AC26" s="3"/>
      <c r="AD26" s="3"/>
      <c r="AE26" s="4"/>
      <c r="AF26" s="4">
        <v>500000</v>
      </c>
      <c r="AG26" s="4"/>
      <c r="AH26" s="4"/>
      <c r="AI26" s="4"/>
      <c r="AJ26" s="4"/>
      <c r="AK26" s="4">
        <f t="shared" si="11"/>
        <v>500000</v>
      </c>
      <c r="AL26" s="4"/>
      <c r="AM26" s="4">
        <f t="shared" si="12"/>
        <v>500000</v>
      </c>
      <c r="AN26" s="4">
        <f t="shared" si="13"/>
        <v>450000</v>
      </c>
      <c r="AO26" s="3"/>
      <c r="AP26" s="4">
        <f t="shared" si="14"/>
        <v>500000</v>
      </c>
      <c r="AQ26" s="3"/>
      <c r="AR26" s="4"/>
      <c r="AS26" s="3"/>
      <c r="AT26" s="4"/>
      <c r="AU26" s="4">
        <f t="shared" si="15"/>
        <v>0</v>
      </c>
      <c r="AV26" s="3"/>
      <c r="AW26" s="3"/>
      <c r="AX26" s="4"/>
      <c r="AY26" s="3"/>
      <c r="AZ26" s="4">
        <f t="shared" si="16"/>
        <v>450000</v>
      </c>
      <c r="BA26" s="3"/>
      <c r="BB26" s="3"/>
      <c r="BC26" s="3"/>
    </row>
    <row r="27" spans="1:55" s="5" customFormat="1">
      <c r="A27" s="3">
        <f t="shared" si="10"/>
        <v>19</v>
      </c>
      <c r="B27" s="57">
        <v>2034</v>
      </c>
      <c r="C27" s="3" t="s">
        <v>561</v>
      </c>
      <c r="D27" s="4">
        <v>1700000</v>
      </c>
      <c r="E27" s="4"/>
      <c r="F27" s="4">
        <f t="shared" si="0"/>
        <v>1700000</v>
      </c>
      <c r="G27" s="4"/>
      <c r="H27" s="4"/>
      <c r="I27" s="4"/>
      <c r="J27" s="4"/>
      <c r="K27" s="4"/>
      <c r="L27" s="4"/>
      <c r="M27" s="4">
        <f>P27+S27</f>
        <v>0</v>
      </c>
      <c r="N27" s="4">
        <f>1200000-500000</f>
        <v>700000</v>
      </c>
      <c r="O27" s="4">
        <f>D27-L27-M27-N27</f>
        <v>1000000</v>
      </c>
      <c r="P27" s="4">
        <f>G27-L27</f>
        <v>0</v>
      </c>
      <c r="Q27" s="4"/>
      <c r="R27" s="4"/>
      <c r="S27" s="4">
        <f>SUM(Q27:R27)</f>
        <v>0</v>
      </c>
      <c r="T27" s="4">
        <f t="shared" si="7"/>
        <v>0</v>
      </c>
      <c r="U27" s="4">
        <f t="shared" si="8"/>
        <v>700000</v>
      </c>
      <c r="V27" s="4"/>
      <c r="W27" s="4">
        <f t="shared" si="9"/>
        <v>700000</v>
      </c>
      <c r="X27" s="4"/>
      <c r="Y27" s="4"/>
      <c r="Z27" s="3"/>
      <c r="AA27" s="3">
        <v>810000</v>
      </c>
      <c r="AB27" s="3"/>
      <c r="AC27" s="3"/>
      <c r="AD27" s="3"/>
      <c r="AE27" s="4"/>
      <c r="AF27" s="4">
        <v>700000</v>
      </c>
      <c r="AG27" s="4"/>
      <c r="AH27" s="4"/>
      <c r="AI27" s="4"/>
      <c r="AJ27" s="4"/>
      <c r="AK27" s="4">
        <f t="shared" si="11"/>
        <v>700000</v>
      </c>
      <c r="AL27" s="4"/>
      <c r="AM27" s="4">
        <f t="shared" si="12"/>
        <v>700000</v>
      </c>
      <c r="AN27" s="4">
        <f t="shared" si="13"/>
        <v>0</v>
      </c>
      <c r="AO27" s="3"/>
      <c r="AP27" s="4">
        <f t="shared" si="14"/>
        <v>700000</v>
      </c>
      <c r="AQ27" s="3"/>
      <c r="AR27" s="4"/>
      <c r="AS27" s="3"/>
      <c r="AT27" s="4"/>
      <c r="AU27" s="4">
        <f t="shared" si="15"/>
        <v>0</v>
      </c>
      <c r="AV27" s="3"/>
      <c r="AW27" s="3"/>
      <c r="AX27" s="4"/>
      <c r="AY27" s="3"/>
      <c r="AZ27" s="4">
        <f t="shared" si="16"/>
        <v>0</v>
      </c>
      <c r="BA27" s="3"/>
      <c r="BB27" s="3"/>
      <c r="BC27" s="3"/>
    </row>
    <row r="28" spans="1:55" s="338" customFormat="1" ht="15.5">
      <c r="A28" s="99">
        <f>A27</f>
        <v>19</v>
      </c>
      <c r="B28" s="133"/>
      <c r="C28" s="99" t="s">
        <v>907</v>
      </c>
      <c r="D28" s="100">
        <f t="shared" ref="D28:BC28" si="17">SUM(D9:D27)</f>
        <v>11125500</v>
      </c>
      <c r="E28" s="100">
        <f t="shared" si="17"/>
        <v>7610500</v>
      </c>
      <c r="F28" s="100">
        <f t="shared" si="17"/>
        <v>3515000</v>
      </c>
      <c r="G28" s="100">
        <f t="shared" si="17"/>
        <v>6570363</v>
      </c>
      <c r="H28" s="100">
        <f t="shared" si="17"/>
        <v>3919803.55</v>
      </c>
      <c r="I28" s="100">
        <f t="shared" si="17"/>
        <v>0</v>
      </c>
      <c r="J28" s="100">
        <f t="shared" si="17"/>
        <v>726080</v>
      </c>
      <c r="K28" s="100">
        <f t="shared" si="17"/>
        <v>726080</v>
      </c>
      <c r="L28" s="100">
        <f t="shared" si="17"/>
        <v>4645883.55</v>
      </c>
      <c r="M28" s="100">
        <f t="shared" si="17"/>
        <v>1924479.4500000002</v>
      </c>
      <c r="N28" s="100">
        <f t="shared" si="17"/>
        <v>2580137</v>
      </c>
      <c r="O28" s="100">
        <f t="shared" si="17"/>
        <v>1975000</v>
      </c>
      <c r="P28" s="100">
        <f t="shared" si="17"/>
        <v>1924479.4500000002</v>
      </c>
      <c r="Q28" s="100">
        <f t="shared" si="17"/>
        <v>0</v>
      </c>
      <c r="R28" s="100">
        <f t="shared" si="17"/>
        <v>0</v>
      </c>
      <c r="S28" s="100">
        <f t="shared" si="17"/>
        <v>0</v>
      </c>
      <c r="T28" s="100">
        <f t="shared" si="17"/>
        <v>0</v>
      </c>
      <c r="U28" s="100">
        <f t="shared" si="17"/>
        <v>2580137</v>
      </c>
      <c r="V28" s="100">
        <f t="shared" si="17"/>
        <v>0</v>
      </c>
      <c r="W28" s="100">
        <f t="shared" si="17"/>
        <v>2515000</v>
      </c>
      <c r="X28" s="100">
        <f t="shared" si="17"/>
        <v>0</v>
      </c>
      <c r="Y28" s="100">
        <f t="shared" si="17"/>
        <v>0</v>
      </c>
      <c r="Z28" s="100">
        <f t="shared" si="17"/>
        <v>65137</v>
      </c>
      <c r="AA28" s="100">
        <f t="shared" si="17"/>
        <v>15340000</v>
      </c>
      <c r="AB28" s="100">
        <f t="shared" si="17"/>
        <v>0</v>
      </c>
      <c r="AC28" s="100">
        <f t="shared" si="17"/>
        <v>0</v>
      </c>
      <c r="AD28" s="100">
        <f t="shared" si="17"/>
        <v>0</v>
      </c>
      <c r="AE28" s="100">
        <f t="shared" si="17"/>
        <v>0</v>
      </c>
      <c r="AF28" s="100">
        <f t="shared" si="17"/>
        <v>1765000</v>
      </c>
      <c r="AG28" s="100">
        <f t="shared" si="17"/>
        <v>0</v>
      </c>
      <c r="AH28" s="100">
        <f t="shared" si="17"/>
        <v>0</v>
      </c>
      <c r="AI28" s="100">
        <f t="shared" si="17"/>
        <v>0</v>
      </c>
      <c r="AJ28" s="100">
        <f t="shared" si="17"/>
        <v>0</v>
      </c>
      <c r="AK28" s="100">
        <f t="shared" si="17"/>
        <v>1765000</v>
      </c>
      <c r="AL28" s="100">
        <f t="shared" si="17"/>
        <v>0</v>
      </c>
      <c r="AM28" s="100">
        <f t="shared" si="17"/>
        <v>1765000</v>
      </c>
      <c r="AN28" s="100">
        <f t="shared" si="17"/>
        <v>815137</v>
      </c>
      <c r="AO28" s="100">
        <f t="shared" si="17"/>
        <v>0</v>
      </c>
      <c r="AP28" s="100">
        <f t="shared" si="17"/>
        <v>1765000</v>
      </c>
      <c r="AQ28" s="100">
        <f t="shared" si="17"/>
        <v>0</v>
      </c>
      <c r="AR28" s="100">
        <f t="shared" si="17"/>
        <v>0</v>
      </c>
      <c r="AS28" s="100">
        <f t="shared" si="17"/>
        <v>0</v>
      </c>
      <c r="AT28" s="100">
        <f t="shared" si="17"/>
        <v>0</v>
      </c>
      <c r="AU28" s="100">
        <f t="shared" si="17"/>
        <v>0</v>
      </c>
      <c r="AV28" s="100">
        <f t="shared" si="17"/>
        <v>0</v>
      </c>
      <c r="AW28" s="100">
        <f t="shared" si="17"/>
        <v>0</v>
      </c>
      <c r="AX28" s="100">
        <f t="shared" si="17"/>
        <v>0</v>
      </c>
      <c r="AY28" s="100">
        <f t="shared" si="17"/>
        <v>0</v>
      </c>
      <c r="AZ28" s="100">
        <f t="shared" si="17"/>
        <v>750000</v>
      </c>
      <c r="BA28" s="100">
        <f t="shared" si="17"/>
        <v>0</v>
      </c>
      <c r="BB28" s="100">
        <f t="shared" si="17"/>
        <v>0</v>
      </c>
      <c r="BC28" s="100">
        <f t="shared" si="17"/>
        <v>65137</v>
      </c>
    </row>
    <row r="29" spans="1:55" s="5" customFormat="1">
      <c r="A29" s="31"/>
      <c r="B29" s="15"/>
      <c r="C29" s="15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5"/>
      <c r="V29" s="15"/>
      <c r="W29" s="15"/>
      <c r="X29" s="15"/>
      <c r="Y29" s="15"/>
      <c r="Z29" s="15"/>
      <c r="AA29" s="15"/>
    </row>
    <row r="30" spans="1:55" s="5" customFormat="1">
      <c r="A30" s="31"/>
      <c r="B30" s="15"/>
      <c r="C30" s="15"/>
      <c r="D30" s="27"/>
      <c r="E30" s="524"/>
      <c r="F30" s="17"/>
      <c r="G30" s="17"/>
      <c r="H30" s="17"/>
      <c r="I30" s="17"/>
      <c r="J30" s="17"/>
      <c r="K30" s="17"/>
      <c r="L30" s="17"/>
      <c r="M30" s="27"/>
      <c r="O30" s="27"/>
      <c r="P30" s="27"/>
      <c r="Q30" s="27"/>
      <c r="R30" s="27"/>
      <c r="S30" s="27"/>
      <c r="T30" s="27"/>
      <c r="U30" s="27"/>
      <c r="V30" s="27"/>
      <c r="W30" s="15"/>
      <c r="X30" s="15"/>
      <c r="Y30" s="15"/>
      <c r="Z30" s="15"/>
      <c r="AA30" s="15"/>
    </row>
    <row r="31" spans="1:55" s="5" customFormat="1">
      <c r="A31" s="31"/>
      <c r="B31" s="15"/>
      <c r="C31" s="15"/>
      <c r="D31" s="27"/>
      <c r="E31" s="524"/>
      <c r="F31" s="17"/>
      <c r="G31" s="17"/>
      <c r="H31" s="17"/>
      <c r="I31" s="17"/>
      <c r="J31" s="17"/>
      <c r="K31" s="17"/>
      <c r="L31" s="17"/>
      <c r="M31" s="27"/>
      <c r="O31" s="27"/>
      <c r="P31" s="27"/>
      <c r="Q31" s="27"/>
      <c r="R31" s="27"/>
      <c r="S31" s="27"/>
      <c r="T31" s="27"/>
      <c r="U31" s="27"/>
      <c r="V31" s="27"/>
      <c r="W31" s="15"/>
      <c r="X31" s="15"/>
      <c r="Y31" s="15"/>
      <c r="Z31" s="15"/>
      <c r="AA31" s="15"/>
    </row>
    <row r="32" spans="1:55" s="5" customFormat="1">
      <c r="A32" s="31"/>
      <c r="B32" s="15"/>
      <c r="C32" s="15"/>
      <c r="D32" s="17"/>
      <c r="E32" s="524"/>
      <c r="F32" s="17"/>
      <c r="G32" s="17"/>
      <c r="H32" s="17"/>
      <c r="I32" s="17"/>
      <c r="J32" s="17"/>
      <c r="K32" s="17"/>
      <c r="L32" s="17"/>
      <c r="M32" s="27"/>
      <c r="O32" s="27"/>
      <c r="P32" s="27"/>
      <c r="Q32" s="27"/>
      <c r="R32" s="27"/>
      <c r="S32" s="27"/>
      <c r="T32" s="27"/>
      <c r="U32" s="27"/>
      <c r="V32" s="27"/>
      <c r="W32" s="15"/>
      <c r="X32" s="15"/>
      <c r="Y32" s="15"/>
      <c r="Z32" s="15"/>
      <c r="AA32" s="15"/>
    </row>
    <row r="33" spans="1:27" s="5" customFormat="1">
      <c r="A33" s="31"/>
      <c r="B33" s="15"/>
      <c r="C33" s="15"/>
      <c r="D33" s="17"/>
      <c r="E33" s="31"/>
      <c r="F33" s="17"/>
      <c r="G33" s="17"/>
      <c r="H33" s="17"/>
      <c r="I33" s="17"/>
      <c r="J33" s="17"/>
      <c r="K33" s="17"/>
      <c r="L33" s="1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15"/>
      <c r="X33" s="15"/>
      <c r="Y33" s="15"/>
      <c r="Z33" s="15"/>
      <c r="AA33" s="15"/>
    </row>
    <row r="34" spans="1:27" s="5" customFormat="1">
      <c r="A34" s="31"/>
      <c r="B34" s="15"/>
      <c r="C34" s="15"/>
      <c r="D34" s="17"/>
      <c r="E34" s="31"/>
      <c r="F34" s="17"/>
      <c r="G34" s="17"/>
      <c r="H34" s="17"/>
      <c r="I34" s="17"/>
      <c r="J34" s="17"/>
      <c r="K34" s="17"/>
      <c r="L34" s="17"/>
      <c r="M34" s="27"/>
      <c r="N34" s="27"/>
      <c r="O34" s="27"/>
      <c r="P34" s="31"/>
      <c r="Q34" s="27"/>
      <c r="R34" s="27"/>
      <c r="S34" s="27"/>
      <c r="T34" s="17"/>
      <c r="U34" s="15"/>
      <c r="V34" s="15"/>
      <c r="W34" s="15"/>
      <c r="X34" s="15"/>
      <c r="Y34" s="15"/>
      <c r="Z34" s="15"/>
      <c r="AA34" s="15"/>
    </row>
    <row r="35" spans="1:27">
      <c r="E35" s="20"/>
      <c r="M35" s="27"/>
      <c r="N35" s="27"/>
      <c r="O35" s="27"/>
      <c r="P35" s="31"/>
      <c r="Q35" s="27"/>
      <c r="R35" s="27"/>
      <c r="S35" s="27"/>
    </row>
    <row r="36" spans="1:27">
      <c r="E36" s="20"/>
      <c r="M36" s="27"/>
      <c r="N36" s="27"/>
      <c r="O36" s="27"/>
      <c r="P36" s="31"/>
      <c r="Q36" s="27"/>
      <c r="R36" s="27"/>
      <c r="S36" s="27"/>
    </row>
    <row r="37" spans="1:27">
      <c r="E37" s="524"/>
      <c r="M37" s="27"/>
      <c r="N37" s="27"/>
      <c r="O37" s="27"/>
      <c r="P37" s="27"/>
      <c r="Q37" s="27"/>
      <c r="R37" s="27"/>
      <c r="S37" s="27"/>
    </row>
    <row r="38" spans="1:27">
      <c r="E38" s="524"/>
      <c r="M38" s="27"/>
      <c r="N38" s="27"/>
      <c r="O38" s="27"/>
      <c r="P38" s="27"/>
      <c r="Q38" s="27"/>
      <c r="R38" s="27"/>
      <c r="S38" s="27"/>
    </row>
    <row r="39" spans="1:27">
      <c r="E39" s="524"/>
      <c r="M39" s="27"/>
      <c r="N39" s="27"/>
      <c r="O39" s="27"/>
      <c r="P39" s="27"/>
      <c r="Q39" s="27"/>
      <c r="R39" s="27"/>
      <c r="S39" s="27"/>
    </row>
    <row r="40" spans="1:27">
      <c r="E40" s="524"/>
      <c r="M40" s="27"/>
      <c r="N40" s="27"/>
      <c r="O40" s="27"/>
      <c r="P40" s="27"/>
      <c r="Q40" s="27"/>
      <c r="R40" s="27"/>
      <c r="S40" s="27"/>
    </row>
    <row r="41" spans="1:27">
      <c r="E41" s="524"/>
      <c r="M41" s="27"/>
      <c r="N41" s="27"/>
      <c r="O41" s="27"/>
      <c r="P41" s="27"/>
      <c r="Q41" s="27"/>
      <c r="R41" s="27"/>
      <c r="S41" s="27"/>
    </row>
    <row r="42" spans="1:27">
      <c r="E42" s="524"/>
      <c r="M42" s="27"/>
      <c r="N42" s="27"/>
      <c r="O42" s="27"/>
      <c r="P42" s="27"/>
      <c r="Q42" s="27"/>
      <c r="R42" s="27"/>
      <c r="S42" s="27"/>
    </row>
    <row r="43" spans="1:27">
      <c r="E43" s="524"/>
      <c r="M43" s="27"/>
      <c r="N43" s="27"/>
      <c r="O43" s="27"/>
      <c r="P43" s="27"/>
      <c r="Q43" s="27"/>
      <c r="R43" s="27"/>
      <c r="S43" s="27"/>
    </row>
    <row r="44" spans="1:27">
      <c r="E44" s="524"/>
      <c r="M44" s="27"/>
      <c r="N44" s="27"/>
      <c r="O44" s="27"/>
      <c r="P44" s="27"/>
      <c r="Q44" s="27"/>
      <c r="R44" s="27"/>
      <c r="S44" s="27"/>
    </row>
    <row r="45" spans="1:27">
      <c r="E45" s="15"/>
      <c r="M45" s="27"/>
      <c r="N45" s="27"/>
      <c r="O45" s="27"/>
      <c r="P45" s="27"/>
      <c r="Q45" s="27"/>
      <c r="R45" s="27"/>
      <c r="S45" s="27"/>
    </row>
    <row r="46" spans="1:27">
      <c r="E46" s="15"/>
      <c r="M46" s="27"/>
      <c r="N46" s="27"/>
      <c r="O46" s="27"/>
      <c r="P46" s="27"/>
      <c r="Q46" s="27"/>
      <c r="R46" s="27"/>
      <c r="S46" s="27"/>
    </row>
    <row r="47" spans="1:27">
      <c r="E47" s="15"/>
      <c r="M47" s="27"/>
      <c r="N47" s="27"/>
      <c r="O47" s="27"/>
      <c r="P47" s="27"/>
      <c r="Q47" s="27"/>
      <c r="R47" s="27"/>
      <c r="S47" s="27"/>
    </row>
    <row r="48" spans="1:27">
      <c r="E48" s="15"/>
      <c r="M48" s="27"/>
      <c r="N48" s="27"/>
      <c r="O48" s="27"/>
      <c r="P48" s="27"/>
      <c r="Q48" s="27"/>
      <c r="R48" s="27"/>
      <c r="S48" s="27"/>
    </row>
  </sheetData>
  <sheetProtection formatCells="0" formatColumns="0" formatRows="0" insertColumns="0" insertRows="0" insertHyperlinks="0" deleteColumns="0" deleteRows="0" sort="0" autoFilter="0" pivotTables="0"/>
  <mergeCells count="5">
    <mergeCell ref="AB6:AK6"/>
    <mergeCell ref="AT6:AX6"/>
    <mergeCell ref="AY6:BC6"/>
    <mergeCell ref="AO6:AS6"/>
    <mergeCell ref="U6:Z6"/>
  </mergeCells>
  <conditionalFormatting sqref="AB4:AB5 AJ4:AQ5 BD4:XFD5 B4:Z5">
    <cfRule type="cellIs" dxfId="159" priority="18" operator="equal">
      <formula>0</formula>
    </cfRule>
  </conditionalFormatting>
  <conditionalFormatting sqref="AA4:AA5">
    <cfRule type="cellIs" dxfId="158" priority="17" operator="equal">
      <formula>0</formula>
    </cfRule>
  </conditionalFormatting>
  <conditionalFormatting sqref="AC4:AC5">
    <cfRule type="cellIs" dxfId="157" priority="16" operator="equal">
      <formula>0</formula>
    </cfRule>
  </conditionalFormatting>
  <conditionalFormatting sqref="AD4:AD5">
    <cfRule type="cellIs" dxfId="156" priority="15" operator="equal">
      <formula>0</formula>
    </cfRule>
  </conditionalFormatting>
  <conditionalFormatting sqref="AD7">
    <cfRule type="cellIs" dxfId="155" priority="14" operator="equal">
      <formula>0</formula>
    </cfRule>
  </conditionalFormatting>
  <conditionalFormatting sqref="AE4:AE5">
    <cfRule type="cellIs" dxfId="154" priority="13" operator="equal">
      <formula>0</formula>
    </cfRule>
  </conditionalFormatting>
  <conditionalFormatting sqref="AE7">
    <cfRule type="cellIs" dxfId="153" priority="12" operator="equal">
      <formula>0</formula>
    </cfRule>
  </conditionalFormatting>
  <conditionalFormatting sqref="AF4:AF5">
    <cfRule type="cellIs" dxfId="152" priority="11" operator="equal">
      <formula>0</formula>
    </cfRule>
  </conditionalFormatting>
  <conditionalFormatting sqref="AF7">
    <cfRule type="cellIs" dxfId="151" priority="10" operator="equal">
      <formula>0</formula>
    </cfRule>
  </conditionalFormatting>
  <conditionalFormatting sqref="AG4:AG5">
    <cfRule type="cellIs" dxfId="150" priority="9" operator="equal">
      <formula>0</formula>
    </cfRule>
  </conditionalFormatting>
  <conditionalFormatting sqref="AG7">
    <cfRule type="cellIs" dxfId="149" priority="8" operator="equal">
      <formula>0</formula>
    </cfRule>
  </conditionalFormatting>
  <conditionalFormatting sqref="AH4:AH5">
    <cfRule type="cellIs" dxfId="148" priority="7" operator="equal">
      <formula>0</formula>
    </cfRule>
  </conditionalFormatting>
  <conditionalFormatting sqref="AH7">
    <cfRule type="cellIs" dxfId="147" priority="6" operator="equal">
      <formula>0</formula>
    </cfRule>
  </conditionalFormatting>
  <conditionalFormatting sqref="AI4:AI5">
    <cfRule type="cellIs" dxfId="146" priority="5" operator="equal">
      <formula>0</formula>
    </cfRule>
  </conditionalFormatting>
  <conditionalFormatting sqref="AI7">
    <cfRule type="cellIs" dxfId="145" priority="4" operator="equal">
      <formula>0</formula>
    </cfRule>
  </conditionalFormatting>
  <conditionalFormatting sqref="AJ7">
    <cfRule type="cellIs" dxfId="144" priority="3" operator="equal">
      <formula>0</formula>
    </cfRule>
  </conditionalFormatting>
  <conditionalFormatting sqref="AR4:AW5">
    <cfRule type="cellIs" dxfId="143" priority="2" operator="equal">
      <formula>0</formula>
    </cfRule>
  </conditionalFormatting>
  <conditionalFormatting sqref="AX4:BC5">
    <cfRule type="cellIs" dxfId="142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4:BC41"/>
  <sheetViews>
    <sheetView showZeros="0" rightToLeft="1" zoomScaleNormal="100" workbookViewId="0">
      <pane xSplit="3" ySplit="7" topLeftCell="D14" activePane="bottomRight" state="frozen"/>
      <selection activeCell="T20" sqref="T20"/>
      <selection pane="topRight" activeCell="T20" sqref="T20"/>
      <selection pane="bottomLeft" activeCell="T20" sqref="T20"/>
      <selection pane="bottomRight" activeCell="T20" sqref="T20"/>
    </sheetView>
  </sheetViews>
  <sheetFormatPr defaultColWidth="9.1796875" defaultRowHeight="14"/>
  <cols>
    <col min="1" max="1" width="5.26953125" style="40" customWidth="1"/>
    <col min="2" max="2" width="6.7265625" style="15" customWidth="1"/>
    <col min="3" max="3" width="31.54296875" style="15" customWidth="1"/>
    <col min="4" max="4" width="10.453125" style="17" hidden="1" customWidth="1"/>
    <col min="5" max="5" width="12.7265625" style="17" hidden="1" customWidth="1"/>
    <col min="6" max="6" width="10" style="17" hidden="1" customWidth="1"/>
    <col min="7" max="10" width="12.7265625" style="17" hidden="1" customWidth="1"/>
    <col min="11" max="11" width="11.26953125" style="17" hidden="1" customWidth="1"/>
    <col min="12" max="12" width="10.7265625" style="17" hidden="1" customWidth="1"/>
    <col min="13" max="13" width="11.81640625" style="17" hidden="1" customWidth="1"/>
    <col min="14" max="14" width="11.1796875" style="17" hidden="1" customWidth="1"/>
    <col min="15" max="15" width="10.81640625" style="17" hidden="1" customWidth="1"/>
    <col min="16" max="17" width="11.1796875" style="17" hidden="1" customWidth="1"/>
    <col min="18" max="19" width="12" style="17" hidden="1" customWidth="1"/>
    <col min="20" max="20" width="7.7265625" style="17" customWidth="1"/>
    <col min="21" max="21" width="10.7265625" style="15" customWidth="1"/>
    <col min="22" max="22" width="8.7265625" style="15" customWidth="1"/>
    <col min="23" max="23" width="10.7265625" style="15" customWidth="1"/>
    <col min="24" max="26" width="8.7265625" style="15" customWidth="1"/>
    <col min="27" max="27" width="7.81640625" style="15" hidden="1" customWidth="1"/>
    <col min="28" max="28" width="13.26953125" style="15" hidden="1" customWidth="1"/>
    <col min="29" max="38" width="9.1796875" style="15" hidden="1" customWidth="1"/>
    <col min="39" max="39" width="11.7265625" style="15" customWidth="1"/>
    <col min="40" max="41" width="8.7265625" style="15" customWidth="1"/>
    <col min="42" max="42" width="10.7265625" style="15" customWidth="1"/>
    <col min="43" max="45" width="8.7265625" style="15" customWidth="1"/>
    <col min="46" max="55" width="9.1796875" style="15" hidden="1" customWidth="1"/>
    <col min="56" max="16384" width="9.1796875" style="15"/>
  </cols>
  <sheetData>
    <row r="4" spans="1:55" s="503" customFormat="1" ht="18">
      <c r="A4" s="122" t="s">
        <v>1007</v>
      </c>
      <c r="B4" s="501"/>
      <c r="C4" s="501"/>
      <c r="D4" s="501"/>
      <c r="E4" s="501"/>
      <c r="F4" s="501"/>
      <c r="G4" s="501"/>
      <c r="H4" s="501"/>
      <c r="I4" s="501"/>
      <c r="J4" s="501"/>
      <c r="K4" s="501"/>
      <c r="L4" s="501"/>
      <c r="M4" s="501"/>
      <c r="N4" s="501"/>
      <c r="O4" s="501"/>
      <c r="P4" s="501"/>
      <c r="Q4" s="501"/>
      <c r="R4" s="501"/>
      <c r="S4" s="501"/>
      <c r="T4" s="501"/>
      <c r="U4" s="501"/>
      <c r="V4" s="501"/>
      <c r="W4" s="501"/>
      <c r="X4" s="502"/>
      <c r="Y4" s="502"/>
      <c r="Z4" s="502"/>
      <c r="AA4" s="502"/>
      <c r="AB4" s="502"/>
      <c r="AC4" s="502"/>
      <c r="AD4" s="502"/>
      <c r="AE4" s="502"/>
      <c r="AF4" s="502"/>
      <c r="AG4" s="502"/>
      <c r="AH4" s="502"/>
      <c r="AI4" s="502"/>
      <c r="AJ4" s="502"/>
      <c r="AK4" s="502"/>
    </row>
    <row r="5" spans="1:55" s="503" customFormat="1" ht="18">
      <c r="B5" s="501"/>
      <c r="C5" s="501"/>
      <c r="D5" s="501"/>
      <c r="E5" s="501"/>
      <c r="F5" s="501"/>
      <c r="G5" s="501"/>
      <c r="H5" s="501"/>
      <c r="I5" s="501"/>
      <c r="J5" s="501"/>
      <c r="K5" s="501"/>
      <c r="L5" s="501"/>
      <c r="M5" s="501"/>
      <c r="N5" s="501"/>
      <c r="O5" s="501"/>
      <c r="P5" s="501"/>
      <c r="Q5" s="501"/>
      <c r="R5" s="501"/>
      <c r="S5" s="501"/>
      <c r="T5" s="501"/>
      <c r="U5" s="501"/>
      <c r="V5" s="501"/>
      <c r="W5" s="501"/>
      <c r="X5" s="502"/>
      <c r="Y5" s="502"/>
      <c r="Z5" s="502"/>
      <c r="AA5" s="502"/>
      <c r="AB5" s="502"/>
      <c r="AC5" s="502"/>
      <c r="AD5" s="502"/>
      <c r="AE5" s="502"/>
      <c r="AF5" s="502"/>
      <c r="AG5" s="502"/>
      <c r="AH5" s="502"/>
      <c r="AI5" s="502"/>
      <c r="AJ5" s="502"/>
      <c r="AK5" s="502"/>
    </row>
    <row r="6" spans="1:55">
      <c r="A6" s="530"/>
      <c r="B6" s="531"/>
      <c r="C6" s="531"/>
      <c r="D6" s="531"/>
      <c r="E6" s="531"/>
      <c r="F6" s="531"/>
      <c r="G6" s="531"/>
      <c r="H6" s="531"/>
      <c r="I6" s="531"/>
      <c r="J6" s="531"/>
      <c r="K6" s="531"/>
      <c r="L6" s="531"/>
      <c r="M6" s="531"/>
      <c r="N6" s="531"/>
      <c r="O6" s="531"/>
      <c r="P6" s="531"/>
      <c r="Q6" s="531"/>
      <c r="R6" s="531"/>
      <c r="S6" s="531"/>
      <c r="T6" s="531"/>
      <c r="U6" s="738" t="s">
        <v>146</v>
      </c>
      <c r="V6" s="739"/>
      <c r="W6" s="739"/>
      <c r="X6" s="739"/>
      <c r="Y6" s="739"/>
      <c r="Z6" s="740"/>
      <c r="AB6" s="735" t="s">
        <v>489</v>
      </c>
      <c r="AC6" s="736"/>
      <c r="AD6" s="736"/>
      <c r="AE6" s="736"/>
      <c r="AF6" s="736"/>
      <c r="AG6" s="736"/>
      <c r="AH6" s="736"/>
      <c r="AI6" s="736"/>
      <c r="AJ6" s="736"/>
      <c r="AK6" s="737"/>
      <c r="AL6" s="110"/>
      <c r="AM6" s="675" t="s">
        <v>489</v>
      </c>
      <c r="AN6" s="496"/>
      <c r="AO6" s="735" t="s">
        <v>834</v>
      </c>
      <c r="AP6" s="736"/>
      <c r="AQ6" s="736"/>
      <c r="AR6" s="736"/>
      <c r="AS6" s="737"/>
      <c r="AT6" s="735" t="s">
        <v>835</v>
      </c>
      <c r="AU6" s="736"/>
      <c r="AV6" s="736"/>
      <c r="AW6" s="736"/>
      <c r="AX6" s="737"/>
      <c r="AY6" s="735" t="s">
        <v>836</v>
      </c>
      <c r="AZ6" s="736"/>
      <c r="BA6" s="736"/>
      <c r="BB6" s="736"/>
      <c r="BC6" s="737"/>
    </row>
    <row r="7" spans="1:55" s="34" customFormat="1" ht="70">
      <c r="A7" s="19" t="s">
        <v>0</v>
      </c>
      <c r="B7" s="19" t="s">
        <v>1</v>
      </c>
      <c r="C7" s="19" t="s">
        <v>2</v>
      </c>
      <c r="D7" s="19" t="s">
        <v>3</v>
      </c>
      <c r="E7" s="19" t="s">
        <v>4</v>
      </c>
      <c r="F7" s="19" t="s">
        <v>5</v>
      </c>
      <c r="G7" s="19" t="s">
        <v>6</v>
      </c>
      <c r="H7" s="19" t="s">
        <v>7</v>
      </c>
      <c r="I7" s="19" t="s">
        <v>9</v>
      </c>
      <c r="J7" s="19" t="s">
        <v>318</v>
      </c>
      <c r="K7" s="19" t="s">
        <v>10</v>
      </c>
      <c r="L7" s="19" t="s">
        <v>11</v>
      </c>
      <c r="M7" s="11" t="s">
        <v>309</v>
      </c>
      <c r="N7" s="19" t="s">
        <v>310</v>
      </c>
      <c r="O7" s="19" t="s">
        <v>311</v>
      </c>
      <c r="P7" s="19" t="s">
        <v>12</v>
      </c>
      <c r="Q7" s="19" t="s">
        <v>312</v>
      </c>
      <c r="R7" s="19" t="s">
        <v>313</v>
      </c>
      <c r="S7" s="19" t="s">
        <v>314</v>
      </c>
      <c r="T7" s="19" t="s">
        <v>315</v>
      </c>
      <c r="U7" s="19" t="s">
        <v>316</v>
      </c>
      <c r="V7" s="19" t="s">
        <v>13</v>
      </c>
      <c r="W7" s="19" t="s">
        <v>14</v>
      </c>
      <c r="X7" s="19" t="s">
        <v>15</v>
      </c>
      <c r="Y7" s="19" t="s">
        <v>523</v>
      </c>
      <c r="Z7" s="19" t="s">
        <v>140</v>
      </c>
      <c r="AA7" s="55" t="s">
        <v>16</v>
      </c>
      <c r="AB7" s="107" t="s">
        <v>490</v>
      </c>
      <c r="AC7" s="107" t="s">
        <v>491</v>
      </c>
      <c r="AD7" s="107" t="s">
        <v>492</v>
      </c>
      <c r="AE7" s="107" t="s">
        <v>493</v>
      </c>
      <c r="AF7" s="107" t="s">
        <v>842</v>
      </c>
      <c r="AG7" s="107" t="s">
        <v>495</v>
      </c>
      <c r="AH7" s="107" t="s">
        <v>496</v>
      </c>
      <c r="AI7" s="107" t="s">
        <v>497</v>
      </c>
      <c r="AJ7" s="107" t="s">
        <v>498</v>
      </c>
      <c r="AK7" s="498" t="s">
        <v>837</v>
      </c>
      <c r="AL7" s="498" t="s">
        <v>838</v>
      </c>
      <c r="AM7" s="498" t="s">
        <v>839</v>
      </c>
      <c r="AN7" s="498" t="s">
        <v>840</v>
      </c>
      <c r="AO7" s="498" t="s">
        <v>13</v>
      </c>
      <c r="AP7" s="498" t="s">
        <v>14</v>
      </c>
      <c r="AQ7" s="498" t="s">
        <v>15</v>
      </c>
      <c r="AR7" s="498" t="s">
        <v>523</v>
      </c>
      <c r="AS7" s="498" t="s">
        <v>140</v>
      </c>
      <c r="AT7" s="498" t="s">
        <v>13</v>
      </c>
      <c r="AU7" s="498" t="s">
        <v>14</v>
      </c>
      <c r="AV7" s="498" t="s">
        <v>15</v>
      </c>
      <c r="AW7" s="498" t="s">
        <v>523</v>
      </c>
      <c r="AX7" s="498" t="s">
        <v>140</v>
      </c>
      <c r="AY7" s="107" t="s">
        <v>13</v>
      </c>
      <c r="AZ7" s="107" t="s">
        <v>14</v>
      </c>
      <c r="BA7" s="107" t="s">
        <v>15</v>
      </c>
      <c r="BB7" s="107" t="s">
        <v>523</v>
      </c>
      <c r="BC7" s="107" t="s">
        <v>140</v>
      </c>
    </row>
    <row r="8" spans="1:55" s="5" customFormat="1" ht="15.5">
      <c r="A8" s="3"/>
      <c r="B8" s="3"/>
      <c r="C8" s="48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>
        <f>P8-M8+R8</f>
        <v>0</v>
      </c>
      <c r="U8" s="4">
        <f t="shared" ref="U8:U20" si="0">N8-T8</f>
        <v>0</v>
      </c>
      <c r="V8" s="4"/>
      <c r="W8" s="4"/>
      <c r="X8" s="4"/>
      <c r="Y8" s="4"/>
      <c r="Z8" s="3"/>
      <c r="AA8" s="58"/>
      <c r="AB8" s="57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</row>
    <row r="9" spans="1:55" s="5" customFormat="1">
      <c r="A9" s="3">
        <f>A8+1</f>
        <v>1</v>
      </c>
      <c r="B9" s="244">
        <v>1350</v>
      </c>
      <c r="C9" s="244" t="s">
        <v>1049</v>
      </c>
      <c r="D9" s="4">
        <v>1300000</v>
      </c>
      <c r="E9" s="4">
        <v>1300000</v>
      </c>
      <c r="F9" s="4">
        <f t="shared" ref="F9:F20" si="1">D9-E9</f>
        <v>0</v>
      </c>
      <c r="G9" s="4">
        <v>900000</v>
      </c>
      <c r="H9" s="4">
        <v>505118.71999999997</v>
      </c>
      <c r="I9" s="4"/>
      <c r="J9" s="4">
        <v>382006.99</v>
      </c>
      <c r="K9" s="4">
        <f t="shared" ref="K9:K20" si="2">I9+J9</f>
        <v>382006.99</v>
      </c>
      <c r="L9" s="4">
        <f t="shared" ref="L9:L20" si="3">H9+K9</f>
        <v>887125.71</v>
      </c>
      <c r="M9" s="4">
        <f>P9+S9</f>
        <v>12874.290000000037</v>
      </c>
      <c r="N9" s="4"/>
      <c r="O9" s="4">
        <f>D9-L9-M9-N9</f>
        <v>400000</v>
      </c>
      <c r="P9" s="4">
        <f>G9-L9</f>
        <v>12874.290000000037</v>
      </c>
      <c r="Q9" s="4"/>
      <c r="R9" s="4"/>
      <c r="S9" s="4">
        <f>SUM(Q9:R9)</f>
        <v>0</v>
      </c>
      <c r="T9" s="4">
        <f t="shared" ref="T9:T20" si="4">P9-M9+S9</f>
        <v>0</v>
      </c>
      <c r="U9" s="4">
        <f t="shared" si="0"/>
        <v>0</v>
      </c>
      <c r="V9" s="4"/>
      <c r="W9" s="4">
        <f>U9-V9-X9-Y9-Z9</f>
        <v>0</v>
      </c>
      <c r="X9" s="4"/>
      <c r="Y9" s="4"/>
      <c r="Z9" s="3"/>
      <c r="AA9" s="58">
        <v>828900</v>
      </c>
      <c r="AB9" s="4"/>
      <c r="AC9" s="4"/>
      <c r="AD9" s="4"/>
      <c r="AE9" s="4"/>
      <c r="AF9" s="4"/>
      <c r="AG9" s="4"/>
      <c r="AH9" s="4"/>
      <c r="AI9" s="4"/>
      <c r="AJ9" s="4"/>
      <c r="AK9" s="4">
        <f t="shared" ref="AK9:AK20" si="5">SUM(AB9:AJ9)</f>
        <v>0</v>
      </c>
      <c r="AL9" s="4"/>
      <c r="AM9" s="4"/>
      <c r="AN9" s="4"/>
      <c r="AO9" s="4"/>
      <c r="AP9" s="4">
        <f>AM9</f>
        <v>0</v>
      </c>
      <c r="AQ9" s="4"/>
      <c r="AR9" s="4"/>
      <c r="AS9" s="4"/>
      <c r="AT9" s="4"/>
      <c r="AU9" s="4">
        <f>AL9</f>
        <v>0</v>
      </c>
      <c r="AV9" s="4"/>
      <c r="AW9" s="4"/>
      <c r="AX9" s="4"/>
      <c r="AY9" s="4"/>
      <c r="AZ9" s="4">
        <f>AN10</f>
        <v>0</v>
      </c>
      <c r="BA9" s="4"/>
      <c r="BB9" s="4"/>
      <c r="BC9" s="4"/>
    </row>
    <row r="10" spans="1:55" s="5" customFormat="1">
      <c r="A10" s="3">
        <f>A9+1</f>
        <v>2</v>
      </c>
      <c r="B10" s="3">
        <v>1486</v>
      </c>
      <c r="C10" s="3" t="s">
        <v>361</v>
      </c>
      <c r="D10" s="4">
        <v>5700000</v>
      </c>
      <c r="E10" s="4">
        <v>3400000</v>
      </c>
      <c r="F10" s="4">
        <f t="shared" si="1"/>
        <v>2300000</v>
      </c>
      <c r="G10" s="4">
        <v>3400000</v>
      </c>
      <c r="H10" s="4">
        <v>3012924.43</v>
      </c>
      <c r="I10" s="4"/>
      <c r="J10" s="4">
        <v>370941.05</v>
      </c>
      <c r="K10" s="4">
        <f t="shared" si="2"/>
        <v>370941.05</v>
      </c>
      <c r="L10" s="4">
        <f t="shared" si="3"/>
        <v>3383865.48</v>
      </c>
      <c r="M10" s="4">
        <f>P10+S10</f>
        <v>16134.520000000019</v>
      </c>
      <c r="N10" s="4">
        <v>1000000</v>
      </c>
      <c r="O10" s="4">
        <f>D10-L10-M10-N10</f>
        <v>1300000</v>
      </c>
      <c r="P10" s="4">
        <f>G10-L10</f>
        <v>16134.520000000019</v>
      </c>
      <c r="Q10" s="4"/>
      <c r="R10" s="4"/>
      <c r="S10" s="4">
        <f t="shared" ref="S10:S20" si="6">SUM(Q10:R10)</f>
        <v>0</v>
      </c>
      <c r="T10" s="4">
        <f t="shared" si="4"/>
        <v>0</v>
      </c>
      <c r="U10" s="4">
        <f t="shared" si="0"/>
        <v>1000000</v>
      </c>
      <c r="V10" s="4"/>
      <c r="W10" s="4">
        <f t="shared" ref="W10:W20" si="7">U10-V10-X10-Y10-Z10</f>
        <v>1000000</v>
      </c>
      <c r="X10" s="4"/>
      <c r="Y10" s="4"/>
      <c r="Z10" s="3"/>
      <c r="AA10" s="58">
        <v>930000</v>
      </c>
      <c r="AB10" s="4">
        <v>300000</v>
      </c>
      <c r="AC10" s="4"/>
      <c r="AD10" s="4"/>
      <c r="AE10" s="4">
        <v>200000</v>
      </c>
      <c r="AF10" s="4"/>
      <c r="AG10" s="4">
        <v>100000</v>
      </c>
      <c r="AH10" s="4"/>
      <c r="AI10" s="4">
        <f>150000</f>
        <v>150000</v>
      </c>
      <c r="AJ10" s="4">
        <v>250000</v>
      </c>
      <c r="AK10" s="4">
        <f t="shared" si="5"/>
        <v>1000000</v>
      </c>
      <c r="AL10" s="4"/>
      <c r="AM10" s="4">
        <f>AK10+AL10</f>
        <v>1000000</v>
      </c>
      <c r="AN10" s="4">
        <f>U10-AM10</f>
        <v>0</v>
      </c>
      <c r="AO10" s="4"/>
      <c r="AP10" s="4">
        <f t="shared" ref="AP10:AP20" si="8">AM10</f>
        <v>1000000</v>
      </c>
      <c r="AQ10" s="4"/>
      <c r="AR10" s="4"/>
      <c r="AS10" s="4"/>
      <c r="AT10" s="4"/>
      <c r="AU10" s="4">
        <f t="shared" ref="AU10:AU20" si="9">AL10</f>
        <v>0</v>
      </c>
      <c r="AV10" s="4"/>
      <c r="AW10" s="4"/>
      <c r="AX10" s="4"/>
      <c r="AY10" s="4"/>
      <c r="AZ10" s="4">
        <f t="shared" ref="AZ10:AZ20" si="10">AN11</f>
        <v>0</v>
      </c>
      <c r="BA10" s="4"/>
      <c r="BB10" s="4"/>
      <c r="BC10" s="4"/>
    </row>
    <row r="11" spans="1:55" s="5" customFormat="1">
      <c r="A11" s="3">
        <f t="shared" ref="A11:A20" si="11">A10+1</f>
        <v>3</v>
      </c>
      <c r="B11" s="3">
        <v>1582</v>
      </c>
      <c r="C11" s="3" t="s">
        <v>87</v>
      </c>
      <c r="D11" s="4">
        <f>1600000-837000</f>
        <v>763000</v>
      </c>
      <c r="E11" s="4">
        <v>1600000</v>
      </c>
      <c r="F11" s="4">
        <f t="shared" si="1"/>
        <v>-837000</v>
      </c>
      <c r="G11" s="4">
        <v>763000</v>
      </c>
      <c r="H11" s="4">
        <v>618241.97</v>
      </c>
      <c r="I11" s="4"/>
      <c r="J11" s="4"/>
      <c r="K11" s="4">
        <f t="shared" si="2"/>
        <v>0</v>
      </c>
      <c r="L11" s="4">
        <f t="shared" si="3"/>
        <v>618241.97</v>
      </c>
      <c r="M11" s="4">
        <f t="shared" ref="M11:M19" si="12">P11+S11</f>
        <v>144758.03000000003</v>
      </c>
      <c r="N11" s="4"/>
      <c r="O11" s="4">
        <f t="shared" ref="O11:O20" si="13">D11-L11-M11-N11</f>
        <v>0</v>
      </c>
      <c r="P11" s="4">
        <f t="shared" ref="P11:P20" si="14">G11-L11</f>
        <v>144758.03000000003</v>
      </c>
      <c r="Q11" s="4"/>
      <c r="R11" s="4"/>
      <c r="S11" s="4">
        <f t="shared" si="6"/>
        <v>0</v>
      </c>
      <c r="T11" s="4">
        <f t="shared" si="4"/>
        <v>0</v>
      </c>
      <c r="U11" s="4">
        <f t="shared" si="0"/>
        <v>0</v>
      </c>
      <c r="V11" s="4"/>
      <c r="W11" s="4">
        <f t="shared" si="7"/>
        <v>0</v>
      </c>
      <c r="X11" s="4"/>
      <c r="Y11" s="4"/>
      <c r="Z11" s="3"/>
      <c r="AA11" s="58">
        <v>829000</v>
      </c>
      <c r="AB11" s="4"/>
      <c r="AC11" s="4"/>
      <c r="AD11" s="4"/>
      <c r="AE11" s="4"/>
      <c r="AF11" s="4"/>
      <c r="AG11" s="4"/>
      <c r="AH11" s="4"/>
      <c r="AI11" s="4"/>
      <c r="AJ11" s="4"/>
      <c r="AK11" s="4">
        <f t="shared" si="5"/>
        <v>0</v>
      </c>
      <c r="AL11" s="4"/>
      <c r="AM11" s="4">
        <f t="shared" ref="AM11:AM20" si="15">AK11+AL11</f>
        <v>0</v>
      </c>
      <c r="AN11" s="4">
        <f t="shared" ref="AN11:AN20" si="16">U11-AM11</f>
        <v>0</v>
      </c>
      <c r="AO11" s="4"/>
      <c r="AP11" s="4">
        <f t="shared" si="8"/>
        <v>0</v>
      </c>
      <c r="AQ11" s="4"/>
      <c r="AR11" s="4"/>
      <c r="AS11" s="4"/>
      <c r="AT11" s="4"/>
      <c r="AU11" s="4">
        <f t="shared" si="9"/>
        <v>0</v>
      </c>
      <c r="AV11" s="4"/>
      <c r="AW11" s="4"/>
      <c r="AX11" s="4"/>
      <c r="AY11" s="4"/>
      <c r="AZ11" s="4">
        <f t="shared" si="10"/>
        <v>0</v>
      </c>
      <c r="BA11" s="4"/>
      <c r="BB11" s="4"/>
      <c r="BC11" s="4"/>
    </row>
    <row r="12" spans="1:55" s="5" customFormat="1">
      <c r="A12" s="3">
        <f t="shared" si="11"/>
        <v>4</v>
      </c>
      <c r="B12" s="3">
        <v>1678</v>
      </c>
      <c r="C12" s="3" t="s">
        <v>84</v>
      </c>
      <c r="D12" s="4">
        <v>1100000</v>
      </c>
      <c r="E12" s="4">
        <v>1100000</v>
      </c>
      <c r="F12" s="4">
        <f t="shared" si="1"/>
        <v>0</v>
      </c>
      <c r="G12" s="4">
        <v>800000</v>
      </c>
      <c r="H12" s="4">
        <v>687892.8</v>
      </c>
      <c r="I12" s="4"/>
      <c r="J12" s="4">
        <v>78912.990000000005</v>
      </c>
      <c r="K12" s="4">
        <f t="shared" si="2"/>
        <v>78912.990000000005</v>
      </c>
      <c r="L12" s="4">
        <f t="shared" si="3"/>
        <v>766805.79</v>
      </c>
      <c r="M12" s="4">
        <f t="shared" si="12"/>
        <v>33194.209999999963</v>
      </c>
      <c r="N12" s="4">
        <v>250000</v>
      </c>
      <c r="O12" s="4">
        <f>D12-L12-M12-N12</f>
        <v>50000</v>
      </c>
      <c r="P12" s="4">
        <f t="shared" si="14"/>
        <v>33194.209999999963</v>
      </c>
      <c r="Q12" s="4"/>
      <c r="R12" s="4"/>
      <c r="S12" s="4">
        <f t="shared" si="6"/>
        <v>0</v>
      </c>
      <c r="T12" s="4">
        <f t="shared" si="4"/>
        <v>0</v>
      </c>
      <c r="U12" s="4">
        <f t="shared" si="0"/>
        <v>250000</v>
      </c>
      <c r="V12" s="4"/>
      <c r="W12" s="4">
        <f t="shared" si="7"/>
        <v>250000</v>
      </c>
      <c r="X12" s="4"/>
      <c r="Y12" s="4"/>
      <c r="Z12" s="3"/>
      <c r="AA12" s="58">
        <v>829000</v>
      </c>
      <c r="AB12" s="4"/>
      <c r="AC12" s="4">
        <v>50000</v>
      </c>
      <c r="AD12" s="4"/>
      <c r="AE12" s="4">
        <v>200000</v>
      </c>
      <c r="AF12" s="4"/>
      <c r="AG12" s="4"/>
      <c r="AH12" s="4"/>
      <c r="AI12" s="4"/>
      <c r="AJ12" s="4"/>
      <c r="AK12" s="4">
        <f t="shared" si="5"/>
        <v>250000</v>
      </c>
      <c r="AL12" s="4"/>
      <c r="AM12" s="4">
        <f t="shared" si="15"/>
        <v>250000</v>
      </c>
      <c r="AN12" s="4">
        <f t="shared" si="16"/>
        <v>0</v>
      </c>
      <c r="AO12" s="4"/>
      <c r="AP12" s="4">
        <f t="shared" si="8"/>
        <v>250000</v>
      </c>
      <c r="AQ12" s="4"/>
      <c r="AR12" s="4"/>
      <c r="AS12" s="4"/>
      <c r="AT12" s="4"/>
      <c r="AU12" s="4">
        <f t="shared" si="9"/>
        <v>0</v>
      </c>
      <c r="AV12" s="4"/>
      <c r="AW12" s="4"/>
      <c r="AX12" s="4"/>
      <c r="AY12" s="4"/>
      <c r="AZ12" s="4">
        <f t="shared" si="10"/>
        <v>0</v>
      </c>
      <c r="BA12" s="4"/>
      <c r="BB12" s="4"/>
      <c r="BC12" s="4"/>
    </row>
    <row r="13" spans="1:55" s="5" customFormat="1">
      <c r="A13" s="3">
        <f t="shared" si="11"/>
        <v>5</v>
      </c>
      <c r="B13" s="3">
        <v>1705</v>
      </c>
      <c r="C13" s="3" t="s">
        <v>88</v>
      </c>
      <c r="D13" s="4">
        <v>220000</v>
      </c>
      <c r="E13" s="4">
        <v>220000</v>
      </c>
      <c r="F13" s="4">
        <f t="shared" si="1"/>
        <v>0</v>
      </c>
      <c r="G13" s="4">
        <v>220000</v>
      </c>
      <c r="H13" s="4">
        <v>193134.34</v>
      </c>
      <c r="I13" s="4"/>
      <c r="J13" s="4">
        <v>4563</v>
      </c>
      <c r="K13" s="4">
        <f t="shared" si="2"/>
        <v>4563</v>
      </c>
      <c r="L13" s="4">
        <f t="shared" si="3"/>
        <v>197697.34</v>
      </c>
      <c r="M13" s="4">
        <f t="shared" si="12"/>
        <v>22302.660000000003</v>
      </c>
      <c r="N13" s="4"/>
      <c r="O13" s="4">
        <f t="shared" si="13"/>
        <v>0</v>
      </c>
      <c r="P13" s="4">
        <f t="shared" si="14"/>
        <v>22302.660000000003</v>
      </c>
      <c r="Q13" s="4"/>
      <c r="R13" s="4"/>
      <c r="S13" s="4">
        <f t="shared" si="6"/>
        <v>0</v>
      </c>
      <c r="T13" s="4">
        <f t="shared" si="4"/>
        <v>0</v>
      </c>
      <c r="U13" s="4">
        <f t="shared" si="0"/>
        <v>0</v>
      </c>
      <c r="V13" s="4"/>
      <c r="W13" s="4">
        <f t="shared" si="7"/>
        <v>0</v>
      </c>
      <c r="X13" s="4"/>
      <c r="Y13" s="4"/>
      <c r="Z13" s="3"/>
      <c r="AA13" s="58">
        <v>828000</v>
      </c>
      <c r="AB13" s="4"/>
      <c r="AC13" s="4"/>
      <c r="AD13" s="4"/>
      <c r="AE13" s="4"/>
      <c r="AF13" s="4"/>
      <c r="AG13" s="4"/>
      <c r="AH13" s="4"/>
      <c r="AI13" s="4"/>
      <c r="AJ13" s="4"/>
      <c r="AK13" s="4">
        <f t="shared" si="5"/>
        <v>0</v>
      </c>
      <c r="AL13" s="4"/>
      <c r="AM13" s="4">
        <f t="shared" si="15"/>
        <v>0</v>
      </c>
      <c r="AN13" s="4">
        <f t="shared" si="16"/>
        <v>0</v>
      </c>
      <c r="AO13" s="4"/>
      <c r="AP13" s="4">
        <f t="shared" si="8"/>
        <v>0</v>
      </c>
      <c r="AQ13" s="4"/>
      <c r="AR13" s="4"/>
      <c r="AS13" s="4"/>
      <c r="AT13" s="4"/>
      <c r="AU13" s="4">
        <f t="shared" si="9"/>
        <v>0</v>
      </c>
      <c r="AV13" s="4"/>
      <c r="AW13" s="4"/>
      <c r="AX13" s="4"/>
      <c r="AY13" s="4"/>
      <c r="AZ13" s="4">
        <f t="shared" si="10"/>
        <v>0</v>
      </c>
      <c r="BA13" s="4"/>
      <c r="BB13" s="4"/>
      <c r="BC13" s="4"/>
    </row>
    <row r="14" spans="1:55" s="5" customFormat="1">
      <c r="A14" s="3">
        <f t="shared" si="11"/>
        <v>6</v>
      </c>
      <c r="B14" s="3">
        <v>1777</v>
      </c>
      <c r="C14" s="3" t="s">
        <v>93</v>
      </c>
      <c r="D14" s="4">
        <v>270000</v>
      </c>
      <c r="E14" s="4">
        <v>270000</v>
      </c>
      <c r="F14" s="4">
        <f t="shared" si="1"/>
        <v>0</v>
      </c>
      <c r="G14" s="4">
        <v>270000</v>
      </c>
      <c r="H14" s="4">
        <v>119709.72</v>
      </c>
      <c r="I14" s="4"/>
      <c r="J14" s="4"/>
      <c r="K14" s="4">
        <f t="shared" si="2"/>
        <v>0</v>
      </c>
      <c r="L14" s="4">
        <f t="shared" si="3"/>
        <v>119709.72</v>
      </c>
      <c r="M14" s="4">
        <f t="shared" si="12"/>
        <v>150290.28</v>
      </c>
      <c r="N14" s="4"/>
      <c r="O14" s="4">
        <f t="shared" si="13"/>
        <v>0</v>
      </c>
      <c r="P14" s="4">
        <f t="shared" si="14"/>
        <v>150290.28</v>
      </c>
      <c r="Q14" s="4"/>
      <c r="R14" s="4"/>
      <c r="S14" s="4">
        <f t="shared" si="6"/>
        <v>0</v>
      </c>
      <c r="T14" s="4">
        <f t="shared" si="4"/>
        <v>0</v>
      </c>
      <c r="U14" s="4">
        <f t="shared" si="0"/>
        <v>0</v>
      </c>
      <c r="V14" s="4"/>
      <c r="W14" s="4">
        <f t="shared" si="7"/>
        <v>0</v>
      </c>
      <c r="X14" s="4"/>
      <c r="Y14" s="4"/>
      <c r="Z14" s="3"/>
      <c r="AA14" s="58">
        <v>829000</v>
      </c>
      <c r="AB14" s="4"/>
      <c r="AC14" s="4"/>
      <c r="AD14" s="4"/>
      <c r="AE14" s="4"/>
      <c r="AF14" s="4"/>
      <c r="AG14" s="4"/>
      <c r="AH14" s="4"/>
      <c r="AI14" s="4"/>
      <c r="AJ14" s="4"/>
      <c r="AK14" s="4">
        <f t="shared" si="5"/>
        <v>0</v>
      </c>
      <c r="AL14" s="4"/>
      <c r="AM14" s="4">
        <f t="shared" si="15"/>
        <v>0</v>
      </c>
      <c r="AN14" s="4">
        <f t="shared" si="16"/>
        <v>0</v>
      </c>
      <c r="AO14" s="4"/>
      <c r="AP14" s="4">
        <f t="shared" si="8"/>
        <v>0</v>
      </c>
      <c r="AQ14" s="4"/>
      <c r="AR14" s="4"/>
      <c r="AS14" s="4"/>
      <c r="AT14" s="4"/>
      <c r="AU14" s="4">
        <f t="shared" si="9"/>
        <v>0</v>
      </c>
      <c r="AV14" s="4"/>
      <c r="AW14" s="4"/>
      <c r="AX14" s="4"/>
      <c r="AY14" s="4"/>
      <c r="AZ14" s="4">
        <f t="shared" si="10"/>
        <v>0</v>
      </c>
      <c r="BA14" s="4"/>
      <c r="BB14" s="4"/>
      <c r="BC14" s="4"/>
    </row>
    <row r="15" spans="1:55" s="5" customFormat="1">
      <c r="A15" s="3">
        <f t="shared" si="11"/>
        <v>7</v>
      </c>
      <c r="B15" s="244">
        <v>1822</v>
      </c>
      <c r="C15" s="244" t="s">
        <v>987</v>
      </c>
      <c r="D15" s="4">
        <v>565000</v>
      </c>
      <c r="E15" s="4">
        <v>565000</v>
      </c>
      <c r="F15" s="4">
        <f t="shared" si="1"/>
        <v>0</v>
      </c>
      <c r="G15" s="4">
        <v>565000</v>
      </c>
      <c r="H15" s="4">
        <v>470348.77</v>
      </c>
      <c r="I15" s="4"/>
      <c r="J15" s="4">
        <v>52509.08</v>
      </c>
      <c r="K15" s="4">
        <f t="shared" si="2"/>
        <v>52509.08</v>
      </c>
      <c r="L15" s="4">
        <f t="shared" si="3"/>
        <v>522857.85000000003</v>
      </c>
      <c r="M15" s="4">
        <f t="shared" si="12"/>
        <v>42142.149999999965</v>
      </c>
      <c r="N15" s="4"/>
      <c r="O15" s="4">
        <f t="shared" si="13"/>
        <v>0</v>
      </c>
      <c r="P15" s="4">
        <f t="shared" si="14"/>
        <v>42142.149999999965</v>
      </c>
      <c r="Q15" s="4"/>
      <c r="R15" s="4"/>
      <c r="S15" s="4">
        <f t="shared" si="6"/>
        <v>0</v>
      </c>
      <c r="T15" s="4">
        <f t="shared" si="4"/>
        <v>0</v>
      </c>
      <c r="U15" s="4">
        <f t="shared" si="0"/>
        <v>0</v>
      </c>
      <c r="V15" s="4"/>
      <c r="W15" s="4">
        <f t="shared" si="7"/>
        <v>0</v>
      </c>
      <c r="X15" s="4"/>
      <c r="Y15" s="4"/>
      <c r="Z15" s="4"/>
      <c r="AA15" s="58">
        <v>829000</v>
      </c>
      <c r="AB15" s="4"/>
      <c r="AC15" s="4"/>
      <c r="AD15" s="4"/>
      <c r="AE15" s="4"/>
      <c r="AF15" s="4"/>
      <c r="AG15" s="4"/>
      <c r="AH15" s="4"/>
      <c r="AI15" s="4"/>
      <c r="AJ15" s="4"/>
      <c r="AK15" s="4">
        <f t="shared" si="5"/>
        <v>0</v>
      </c>
      <c r="AL15" s="4"/>
      <c r="AM15" s="4">
        <f t="shared" si="15"/>
        <v>0</v>
      </c>
      <c r="AN15" s="4">
        <f t="shared" si="16"/>
        <v>0</v>
      </c>
      <c r="AO15" s="4"/>
      <c r="AP15" s="4">
        <f t="shared" si="8"/>
        <v>0</v>
      </c>
      <c r="AQ15" s="4"/>
      <c r="AR15" s="4"/>
      <c r="AS15" s="4"/>
      <c r="AT15" s="4"/>
      <c r="AU15" s="4">
        <f t="shared" si="9"/>
        <v>0</v>
      </c>
      <c r="AV15" s="4"/>
      <c r="AW15" s="4"/>
      <c r="AX15" s="4"/>
      <c r="AY15" s="4"/>
      <c r="AZ15" s="4">
        <f t="shared" si="10"/>
        <v>0</v>
      </c>
      <c r="BA15" s="4"/>
      <c r="BB15" s="4"/>
      <c r="BC15" s="4"/>
    </row>
    <row r="16" spans="1:55" s="5" customFormat="1">
      <c r="A16" s="3">
        <f t="shared" si="11"/>
        <v>8</v>
      </c>
      <c r="B16" s="57">
        <v>1890</v>
      </c>
      <c r="C16" s="3" t="s">
        <v>271</v>
      </c>
      <c r="D16" s="4">
        <v>800000</v>
      </c>
      <c r="E16" s="4">
        <v>800000</v>
      </c>
      <c r="F16" s="4"/>
      <c r="G16" s="4">
        <f>600000+200000</f>
        <v>800000</v>
      </c>
      <c r="H16" s="4">
        <v>599720.38</v>
      </c>
      <c r="I16" s="4"/>
      <c r="J16" s="4"/>
      <c r="K16" s="4">
        <f t="shared" si="2"/>
        <v>0</v>
      </c>
      <c r="L16" s="4">
        <f t="shared" si="3"/>
        <v>599720.38</v>
      </c>
      <c r="M16" s="4">
        <f>P16+S16</f>
        <v>200279.62</v>
      </c>
      <c r="N16" s="4"/>
      <c r="O16" s="4">
        <f t="shared" si="13"/>
        <v>0</v>
      </c>
      <c r="P16" s="4">
        <f t="shared" si="14"/>
        <v>200279.62</v>
      </c>
      <c r="Q16" s="4"/>
      <c r="R16" s="4"/>
      <c r="S16" s="4">
        <f>SUM(Q16:R16)</f>
        <v>0</v>
      </c>
      <c r="T16" s="4">
        <f t="shared" si="4"/>
        <v>0</v>
      </c>
      <c r="U16" s="4">
        <f t="shared" si="0"/>
        <v>0</v>
      </c>
      <c r="V16" s="4"/>
      <c r="W16" s="4">
        <f t="shared" si="7"/>
        <v>0</v>
      </c>
      <c r="X16" s="4"/>
      <c r="Y16" s="4"/>
      <c r="Z16" s="3"/>
      <c r="AA16" s="58">
        <v>829000</v>
      </c>
      <c r="AB16" s="4"/>
      <c r="AC16" s="4"/>
      <c r="AD16" s="4"/>
      <c r="AE16" s="4"/>
      <c r="AF16" s="4"/>
      <c r="AG16" s="4"/>
      <c r="AH16" s="4"/>
      <c r="AI16" s="4"/>
      <c r="AJ16" s="4"/>
      <c r="AK16" s="4">
        <f t="shared" si="5"/>
        <v>0</v>
      </c>
      <c r="AL16" s="4"/>
      <c r="AM16" s="4">
        <f t="shared" si="15"/>
        <v>0</v>
      </c>
      <c r="AN16" s="4">
        <f t="shared" si="16"/>
        <v>0</v>
      </c>
      <c r="AO16" s="4"/>
      <c r="AP16" s="4">
        <f t="shared" si="8"/>
        <v>0</v>
      </c>
      <c r="AQ16" s="4"/>
      <c r="AR16" s="4"/>
      <c r="AS16" s="4"/>
      <c r="AT16" s="4"/>
      <c r="AU16" s="4">
        <f t="shared" si="9"/>
        <v>0</v>
      </c>
      <c r="AV16" s="4"/>
      <c r="AW16" s="4"/>
      <c r="AX16" s="4"/>
      <c r="AY16" s="4"/>
      <c r="AZ16" s="4">
        <f t="shared" si="10"/>
        <v>0</v>
      </c>
      <c r="BA16" s="4"/>
      <c r="BB16" s="4"/>
      <c r="BC16" s="4"/>
    </row>
    <row r="17" spans="1:55" s="5" customFormat="1" ht="28">
      <c r="A17" s="3">
        <f t="shared" si="11"/>
        <v>9</v>
      </c>
      <c r="B17" s="244">
        <v>1901</v>
      </c>
      <c r="C17" s="244" t="s">
        <v>959</v>
      </c>
      <c r="D17" s="4">
        <v>130000</v>
      </c>
      <c r="E17" s="4">
        <v>130000</v>
      </c>
      <c r="F17" s="4">
        <f t="shared" si="1"/>
        <v>0</v>
      </c>
      <c r="G17" s="4">
        <v>130000</v>
      </c>
      <c r="H17" s="4">
        <v>126415.56</v>
      </c>
      <c r="I17" s="4"/>
      <c r="J17" s="4"/>
      <c r="K17" s="4">
        <f t="shared" si="2"/>
        <v>0</v>
      </c>
      <c r="L17" s="4">
        <f t="shared" si="3"/>
        <v>126415.56</v>
      </c>
      <c r="M17" s="4">
        <f t="shared" si="12"/>
        <v>3584.4400000000023</v>
      </c>
      <c r="N17" s="4"/>
      <c r="O17" s="4">
        <f t="shared" si="13"/>
        <v>0</v>
      </c>
      <c r="P17" s="4">
        <f t="shared" si="14"/>
        <v>3584.4400000000023</v>
      </c>
      <c r="Q17" s="4"/>
      <c r="R17" s="4"/>
      <c r="S17" s="4">
        <f t="shared" si="6"/>
        <v>0</v>
      </c>
      <c r="T17" s="4">
        <f t="shared" si="4"/>
        <v>0</v>
      </c>
      <c r="U17" s="4">
        <f t="shared" si="0"/>
        <v>0</v>
      </c>
      <c r="V17" s="4"/>
      <c r="W17" s="4">
        <f t="shared" si="7"/>
        <v>0</v>
      </c>
      <c r="X17" s="4"/>
      <c r="Y17" s="4"/>
      <c r="Z17" s="3"/>
      <c r="AA17" s="58">
        <v>810000</v>
      </c>
      <c r="AB17" s="4"/>
      <c r="AC17" s="4"/>
      <c r="AD17" s="4"/>
      <c r="AE17" s="4"/>
      <c r="AF17" s="4"/>
      <c r="AG17" s="4"/>
      <c r="AH17" s="4"/>
      <c r="AI17" s="4"/>
      <c r="AJ17" s="4"/>
      <c r="AK17" s="4">
        <f t="shared" si="5"/>
        <v>0</v>
      </c>
      <c r="AL17" s="4"/>
      <c r="AM17" s="4">
        <f t="shared" si="15"/>
        <v>0</v>
      </c>
      <c r="AN17" s="4">
        <f t="shared" si="16"/>
        <v>0</v>
      </c>
      <c r="AO17" s="4"/>
      <c r="AP17" s="4">
        <f t="shared" si="8"/>
        <v>0</v>
      </c>
      <c r="AQ17" s="4"/>
      <c r="AR17" s="4"/>
      <c r="AS17" s="4"/>
      <c r="AT17" s="4"/>
      <c r="AU17" s="4">
        <f t="shared" si="9"/>
        <v>0</v>
      </c>
      <c r="AV17" s="4"/>
      <c r="AW17" s="4"/>
      <c r="AX17" s="4"/>
      <c r="AY17" s="4"/>
      <c r="AZ17" s="4">
        <f t="shared" si="10"/>
        <v>0</v>
      </c>
      <c r="BA17" s="4"/>
      <c r="BB17" s="4"/>
      <c r="BC17" s="4"/>
    </row>
    <row r="18" spans="1:55" s="5" customFormat="1" ht="28">
      <c r="A18" s="3">
        <f t="shared" si="11"/>
        <v>10</v>
      </c>
      <c r="B18" s="244">
        <v>1902</v>
      </c>
      <c r="C18" s="244" t="s">
        <v>960</v>
      </c>
      <c r="D18" s="4">
        <v>255000</v>
      </c>
      <c r="E18" s="4">
        <v>255000</v>
      </c>
      <c r="F18" s="4">
        <f t="shared" si="1"/>
        <v>0</v>
      </c>
      <c r="G18" s="4">
        <v>255000</v>
      </c>
      <c r="H18" s="4">
        <v>0</v>
      </c>
      <c r="I18" s="4"/>
      <c r="J18" s="4"/>
      <c r="K18" s="4">
        <f t="shared" si="2"/>
        <v>0</v>
      </c>
      <c r="L18" s="4">
        <f t="shared" si="3"/>
        <v>0</v>
      </c>
      <c r="M18" s="4">
        <f t="shared" si="12"/>
        <v>255000</v>
      </c>
      <c r="N18" s="4"/>
      <c r="O18" s="4">
        <f t="shared" si="13"/>
        <v>0</v>
      </c>
      <c r="P18" s="4">
        <f t="shared" si="14"/>
        <v>255000</v>
      </c>
      <c r="Q18" s="4"/>
      <c r="R18" s="4"/>
      <c r="S18" s="4">
        <f t="shared" si="6"/>
        <v>0</v>
      </c>
      <c r="T18" s="4">
        <f t="shared" si="4"/>
        <v>0</v>
      </c>
      <c r="U18" s="4">
        <f t="shared" si="0"/>
        <v>0</v>
      </c>
      <c r="V18" s="4"/>
      <c r="W18" s="4">
        <f t="shared" si="7"/>
        <v>0</v>
      </c>
      <c r="X18" s="4"/>
      <c r="Y18" s="4"/>
      <c r="Z18" s="3"/>
      <c r="AA18" s="58">
        <v>810000</v>
      </c>
      <c r="AB18" s="4"/>
      <c r="AC18" s="4"/>
      <c r="AD18" s="4"/>
      <c r="AE18" s="4"/>
      <c r="AF18" s="4"/>
      <c r="AG18" s="4"/>
      <c r="AH18" s="4"/>
      <c r="AI18" s="4"/>
      <c r="AJ18" s="4"/>
      <c r="AK18" s="4">
        <f t="shared" si="5"/>
        <v>0</v>
      </c>
      <c r="AL18" s="4"/>
      <c r="AM18" s="4">
        <f t="shared" si="15"/>
        <v>0</v>
      </c>
      <c r="AN18" s="4">
        <f t="shared" si="16"/>
        <v>0</v>
      </c>
      <c r="AO18" s="4"/>
      <c r="AP18" s="4">
        <f t="shared" si="8"/>
        <v>0</v>
      </c>
      <c r="AQ18" s="4"/>
      <c r="AR18" s="4"/>
      <c r="AS18" s="4"/>
      <c r="AT18" s="4"/>
      <c r="AU18" s="4">
        <f t="shared" si="9"/>
        <v>0</v>
      </c>
      <c r="AV18" s="4"/>
      <c r="AW18" s="4"/>
      <c r="AX18" s="4"/>
      <c r="AY18" s="4"/>
      <c r="AZ18" s="4">
        <f t="shared" si="10"/>
        <v>0</v>
      </c>
      <c r="BA18" s="4"/>
      <c r="BB18" s="4"/>
      <c r="BC18" s="4"/>
    </row>
    <row r="19" spans="1:55" s="5" customFormat="1" ht="28">
      <c r="A19" s="3">
        <f t="shared" si="11"/>
        <v>11</v>
      </c>
      <c r="B19" s="244">
        <v>1938</v>
      </c>
      <c r="C19" s="244" t="s">
        <v>958</v>
      </c>
      <c r="D19" s="4">
        <v>260000</v>
      </c>
      <c r="E19" s="4">
        <v>260000</v>
      </c>
      <c r="F19" s="4">
        <f t="shared" si="1"/>
        <v>0</v>
      </c>
      <c r="G19" s="4">
        <v>260000</v>
      </c>
      <c r="H19" s="4">
        <v>250518</v>
      </c>
      <c r="I19" s="4"/>
      <c r="J19" s="4">
        <v>9360</v>
      </c>
      <c r="K19" s="4">
        <f t="shared" si="2"/>
        <v>9360</v>
      </c>
      <c r="L19" s="4">
        <f t="shared" si="3"/>
        <v>259878</v>
      </c>
      <c r="M19" s="4">
        <f t="shared" si="12"/>
        <v>122</v>
      </c>
      <c r="N19" s="4"/>
      <c r="O19" s="4">
        <f t="shared" si="13"/>
        <v>0</v>
      </c>
      <c r="P19" s="4">
        <f t="shared" si="14"/>
        <v>122</v>
      </c>
      <c r="Q19" s="4"/>
      <c r="R19" s="4"/>
      <c r="S19" s="4">
        <f t="shared" si="6"/>
        <v>0</v>
      </c>
      <c r="T19" s="4">
        <f t="shared" si="4"/>
        <v>0</v>
      </c>
      <c r="U19" s="4">
        <f t="shared" si="0"/>
        <v>0</v>
      </c>
      <c r="V19" s="4"/>
      <c r="W19" s="4">
        <f t="shared" si="7"/>
        <v>0</v>
      </c>
      <c r="X19" s="4"/>
      <c r="Y19" s="4"/>
      <c r="Z19" s="3"/>
      <c r="AA19" s="58">
        <v>829000</v>
      </c>
      <c r="AB19" s="4"/>
      <c r="AC19" s="4"/>
      <c r="AD19" s="4"/>
      <c r="AE19" s="4"/>
      <c r="AF19" s="4"/>
      <c r="AG19" s="4"/>
      <c r="AH19" s="4"/>
      <c r="AI19" s="4"/>
      <c r="AJ19" s="4"/>
      <c r="AK19" s="4">
        <f t="shared" si="5"/>
        <v>0</v>
      </c>
      <c r="AL19" s="4"/>
      <c r="AM19" s="4">
        <f t="shared" si="15"/>
        <v>0</v>
      </c>
      <c r="AN19" s="4">
        <f t="shared" si="16"/>
        <v>0</v>
      </c>
      <c r="AO19" s="4"/>
      <c r="AP19" s="4">
        <f t="shared" si="8"/>
        <v>0</v>
      </c>
      <c r="AQ19" s="4"/>
      <c r="AR19" s="4"/>
      <c r="AS19" s="4"/>
      <c r="AT19" s="4"/>
      <c r="AU19" s="4">
        <f t="shared" si="9"/>
        <v>0</v>
      </c>
      <c r="AV19" s="4"/>
      <c r="AW19" s="4"/>
      <c r="AX19" s="4"/>
      <c r="AY19" s="4"/>
      <c r="AZ19" s="4">
        <f t="shared" si="10"/>
        <v>0</v>
      </c>
      <c r="BA19" s="4"/>
      <c r="BB19" s="4"/>
      <c r="BC19" s="4"/>
    </row>
    <row r="20" spans="1:55" s="5" customFormat="1">
      <c r="A20" s="3">
        <f t="shared" si="11"/>
        <v>12</v>
      </c>
      <c r="B20" s="57">
        <v>2004</v>
      </c>
      <c r="C20" s="3" t="s">
        <v>333</v>
      </c>
      <c r="D20" s="4">
        <v>735000</v>
      </c>
      <c r="E20" s="4">
        <v>735000</v>
      </c>
      <c r="F20" s="4">
        <f t="shared" si="1"/>
        <v>0</v>
      </c>
      <c r="G20" s="4">
        <v>185000</v>
      </c>
      <c r="H20" s="4">
        <v>0</v>
      </c>
      <c r="I20" s="4"/>
      <c r="J20" s="4"/>
      <c r="K20" s="4">
        <f t="shared" si="2"/>
        <v>0</v>
      </c>
      <c r="L20" s="4">
        <f t="shared" si="3"/>
        <v>0</v>
      </c>
      <c r="M20" s="4">
        <f>P20+S20</f>
        <v>185000</v>
      </c>
      <c r="N20" s="4">
        <v>230000</v>
      </c>
      <c r="O20" s="4">
        <f t="shared" si="13"/>
        <v>320000</v>
      </c>
      <c r="P20" s="4">
        <f t="shared" si="14"/>
        <v>185000</v>
      </c>
      <c r="Q20" s="4"/>
      <c r="R20" s="4"/>
      <c r="S20" s="4">
        <f t="shared" si="6"/>
        <v>0</v>
      </c>
      <c r="T20" s="4">
        <f t="shared" si="4"/>
        <v>0</v>
      </c>
      <c r="U20" s="4">
        <f t="shared" si="0"/>
        <v>230000</v>
      </c>
      <c r="V20" s="4"/>
      <c r="W20" s="4">
        <f t="shared" si="7"/>
        <v>230000</v>
      </c>
      <c r="X20" s="4"/>
      <c r="Y20" s="4"/>
      <c r="Z20" s="3"/>
      <c r="AA20" s="58">
        <v>829000</v>
      </c>
      <c r="AB20" s="4"/>
      <c r="AC20" s="4">
        <v>50000</v>
      </c>
      <c r="AD20" s="4"/>
      <c r="AE20" s="4"/>
      <c r="AF20" s="4"/>
      <c r="AG20" s="4"/>
      <c r="AH20" s="4"/>
      <c r="AI20" s="4">
        <v>180000</v>
      </c>
      <c r="AJ20" s="4"/>
      <c r="AK20" s="4">
        <f t="shared" si="5"/>
        <v>230000</v>
      </c>
      <c r="AL20" s="4"/>
      <c r="AM20" s="4">
        <f t="shared" si="15"/>
        <v>230000</v>
      </c>
      <c r="AN20" s="4">
        <f t="shared" si="16"/>
        <v>0</v>
      </c>
      <c r="AO20" s="4"/>
      <c r="AP20" s="4">
        <f t="shared" si="8"/>
        <v>230000</v>
      </c>
      <c r="AQ20" s="4"/>
      <c r="AR20" s="4"/>
      <c r="AS20" s="4"/>
      <c r="AT20" s="4"/>
      <c r="AU20" s="4">
        <f t="shared" si="9"/>
        <v>0</v>
      </c>
      <c r="AV20" s="4"/>
      <c r="AW20" s="4"/>
      <c r="AX20" s="4"/>
      <c r="AY20" s="4"/>
      <c r="AZ20" s="4">
        <f t="shared" si="10"/>
        <v>0</v>
      </c>
      <c r="BA20" s="4"/>
      <c r="BB20" s="4"/>
      <c r="BC20" s="4"/>
    </row>
    <row r="21" spans="1:55" s="339" customFormat="1" ht="15.5">
      <c r="A21" s="99">
        <f>A20</f>
        <v>12</v>
      </c>
      <c r="B21" s="99" t="s">
        <v>67</v>
      </c>
      <c r="C21" s="99" t="s">
        <v>1194</v>
      </c>
      <c r="D21" s="100">
        <f t="shared" ref="D21:BC21" si="17">SUM(D9:D20)</f>
        <v>12098000</v>
      </c>
      <c r="E21" s="100">
        <f t="shared" si="17"/>
        <v>10635000</v>
      </c>
      <c r="F21" s="100">
        <f t="shared" si="17"/>
        <v>1463000</v>
      </c>
      <c r="G21" s="100">
        <f t="shared" si="17"/>
        <v>8548000</v>
      </c>
      <c r="H21" s="100">
        <f t="shared" si="17"/>
        <v>6584024.6899999995</v>
      </c>
      <c r="I21" s="100">
        <f t="shared" si="17"/>
        <v>0</v>
      </c>
      <c r="J21" s="100">
        <f t="shared" si="17"/>
        <v>898293.11</v>
      </c>
      <c r="K21" s="100">
        <f t="shared" si="17"/>
        <v>898293.11</v>
      </c>
      <c r="L21" s="100">
        <f t="shared" si="17"/>
        <v>7482317.799999998</v>
      </c>
      <c r="M21" s="100">
        <f t="shared" si="17"/>
        <v>1065682.2</v>
      </c>
      <c r="N21" s="100">
        <f t="shared" si="17"/>
        <v>1480000</v>
      </c>
      <c r="O21" s="100">
        <f t="shared" si="17"/>
        <v>2070000</v>
      </c>
      <c r="P21" s="100">
        <f t="shared" si="17"/>
        <v>1065682.2</v>
      </c>
      <c r="Q21" s="100">
        <f t="shared" si="17"/>
        <v>0</v>
      </c>
      <c r="R21" s="100">
        <f t="shared" si="17"/>
        <v>0</v>
      </c>
      <c r="S21" s="100">
        <f t="shared" si="17"/>
        <v>0</v>
      </c>
      <c r="T21" s="100">
        <f t="shared" si="17"/>
        <v>0</v>
      </c>
      <c r="U21" s="100">
        <f t="shared" si="17"/>
        <v>1480000</v>
      </c>
      <c r="V21" s="100">
        <f t="shared" si="17"/>
        <v>0</v>
      </c>
      <c r="W21" s="100">
        <f t="shared" si="17"/>
        <v>1480000</v>
      </c>
      <c r="X21" s="100">
        <f t="shared" si="17"/>
        <v>0</v>
      </c>
      <c r="Y21" s="100">
        <f t="shared" si="17"/>
        <v>0</v>
      </c>
      <c r="Z21" s="100">
        <f t="shared" si="17"/>
        <v>0</v>
      </c>
      <c r="AA21" s="100">
        <f t="shared" si="17"/>
        <v>10009900</v>
      </c>
      <c r="AB21" s="100">
        <f t="shared" si="17"/>
        <v>300000</v>
      </c>
      <c r="AC21" s="100">
        <f t="shared" si="17"/>
        <v>100000</v>
      </c>
      <c r="AD21" s="100">
        <f t="shared" si="17"/>
        <v>0</v>
      </c>
      <c r="AE21" s="100">
        <f t="shared" si="17"/>
        <v>400000</v>
      </c>
      <c r="AF21" s="100">
        <f t="shared" si="17"/>
        <v>0</v>
      </c>
      <c r="AG21" s="100">
        <f t="shared" si="17"/>
        <v>100000</v>
      </c>
      <c r="AH21" s="100">
        <f t="shared" si="17"/>
        <v>0</v>
      </c>
      <c r="AI21" s="100">
        <f t="shared" si="17"/>
        <v>330000</v>
      </c>
      <c r="AJ21" s="100">
        <f t="shared" si="17"/>
        <v>250000</v>
      </c>
      <c r="AK21" s="100">
        <f t="shared" si="17"/>
        <v>1480000</v>
      </c>
      <c r="AL21" s="100">
        <f t="shared" si="17"/>
        <v>0</v>
      </c>
      <c r="AM21" s="100">
        <f t="shared" si="17"/>
        <v>1480000</v>
      </c>
      <c r="AN21" s="100">
        <f t="shared" si="17"/>
        <v>0</v>
      </c>
      <c r="AO21" s="100">
        <f t="shared" si="17"/>
        <v>0</v>
      </c>
      <c r="AP21" s="100">
        <f t="shared" si="17"/>
        <v>1480000</v>
      </c>
      <c r="AQ21" s="100">
        <f t="shared" si="17"/>
        <v>0</v>
      </c>
      <c r="AR21" s="100">
        <f t="shared" si="17"/>
        <v>0</v>
      </c>
      <c r="AS21" s="100">
        <f t="shared" si="17"/>
        <v>0</v>
      </c>
      <c r="AT21" s="100">
        <f t="shared" si="17"/>
        <v>0</v>
      </c>
      <c r="AU21" s="100">
        <f t="shared" si="17"/>
        <v>0</v>
      </c>
      <c r="AV21" s="100">
        <f t="shared" si="17"/>
        <v>0</v>
      </c>
      <c r="AW21" s="100">
        <f t="shared" si="17"/>
        <v>0</v>
      </c>
      <c r="AX21" s="100">
        <f t="shared" si="17"/>
        <v>0</v>
      </c>
      <c r="AY21" s="100">
        <f t="shared" si="17"/>
        <v>0</v>
      </c>
      <c r="AZ21" s="100">
        <f t="shared" si="17"/>
        <v>0</v>
      </c>
      <c r="BA21" s="100">
        <f t="shared" si="17"/>
        <v>0</v>
      </c>
      <c r="BB21" s="100">
        <f t="shared" si="17"/>
        <v>0</v>
      </c>
      <c r="BC21" s="100">
        <f t="shared" si="17"/>
        <v>0</v>
      </c>
    </row>
    <row r="22" spans="1:55" s="5" customFormat="1">
      <c r="A22" s="31"/>
      <c r="B22" s="15"/>
      <c r="C22" s="15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5"/>
      <c r="V22" s="15"/>
      <c r="W22" s="15"/>
      <c r="X22" s="15"/>
      <c r="Y22" s="15"/>
      <c r="Z22" s="15"/>
      <c r="AA22" s="15"/>
      <c r="AB22" s="15"/>
    </row>
    <row r="23" spans="1:55" s="5" customFormat="1">
      <c r="A23" s="31"/>
      <c r="B23" s="15"/>
      <c r="C23" s="15"/>
      <c r="D23" s="17"/>
      <c r="E23" s="17"/>
      <c r="F23" s="17"/>
      <c r="G23" s="17"/>
      <c r="H23" s="17"/>
      <c r="I23" s="17"/>
      <c r="J23" s="17"/>
      <c r="K23" s="17"/>
      <c r="L23" s="17"/>
      <c r="M23" s="27"/>
      <c r="N23" s="27"/>
      <c r="O23" s="27"/>
      <c r="P23" s="31"/>
      <c r="Q23" s="31"/>
      <c r="R23" s="27"/>
      <c r="S23" s="31"/>
      <c r="T23" s="17"/>
      <c r="U23" s="15"/>
      <c r="V23" s="15"/>
      <c r="W23" s="15"/>
      <c r="X23" s="15"/>
      <c r="Y23" s="15"/>
      <c r="Z23" s="15"/>
      <c r="AA23" s="15"/>
      <c r="AB23" s="15"/>
      <c r="AJ23" s="5" t="s">
        <v>843</v>
      </c>
    </row>
    <row r="24" spans="1:55" s="5" customFormat="1">
      <c r="A24" s="31"/>
      <c r="B24" s="15"/>
      <c r="C24" s="15"/>
      <c r="D24" s="17"/>
      <c r="E24" s="17"/>
      <c r="F24" s="17"/>
      <c r="G24" s="17"/>
      <c r="H24" s="17"/>
      <c r="I24" s="17"/>
      <c r="J24" s="17"/>
      <c r="K24" s="17"/>
      <c r="L24" s="17"/>
      <c r="M24" s="27"/>
      <c r="N24" s="27"/>
      <c r="O24" s="59"/>
      <c r="P24" s="31"/>
      <c r="Q24" s="30"/>
      <c r="R24" s="27"/>
      <c r="S24" s="31"/>
      <c r="T24" s="17"/>
      <c r="U24" s="15"/>
      <c r="V24" s="15"/>
      <c r="W24" s="15"/>
      <c r="X24" s="15"/>
      <c r="Y24" s="15"/>
      <c r="Z24" s="15"/>
      <c r="AA24" s="15"/>
      <c r="AB24" s="15"/>
    </row>
    <row r="25" spans="1:55" s="5" customFormat="1">
      <c r="A25" s="31"/>
      <c r="B25" s="15"/>
      <c r="C25" s="15"/>
      <c r="D25" s="17"/>
      <c r="E25" s="17"/>
      <c r="F25" s="17"/>
      <c r="G25" s="17"/>
      <c r="H25" s="17"/>
      <c r="I25" s="17"/>
      <c r="J25" s="17"/>
      <c r="K25" s="17"/>
      <c r="L25" s="17"/>
      <c r="M25" s="27"/>
      <c r="N25" s="27"/>
      <c r="O25" s="59"/>
      <c r="P25" s="31"/>
      <c r="Q25" s="30"/>
      <c r="R25" s="31"/>
      <c r="S25" s="27"/>
      <c r="T25" s="17"/>
      <c r="U25" s="15"/>
      <c r="V25" s="15"/>
      <c r="W25" s="15"/>
      <c r="X25" s="15"/>
      <c r="Y25" s="15"/>
      <c r="Z25" s="15"/>
      <c r="AA25" s="15"/>
      <c r="AB25" s="15"/>
    </row>
    <row r="26" spans="1:55" s="5" customFormat="1">
      <c r="A26" s="31"/>
      <c r="B26" s="15"/>
      <c r="C26" s="15"/>
      <c r="D26" s="17"/>
      <c r="E26" s="17"/>
      <c r="F26" s="17"/>
      <c r="G26" s="17"/>
      <c r="H26" s="17"/>
      <c r="I26" s="17"/>
      <c r="J26" s="17"/>
      <c r="K26" s="17"/>
      <c r="L26" s="17"/>
      <c r="M26" s="27"/>
      <c r="N26" s="27"/>
      <c r="O26" s="31"/>
      <c r="P26" s="31"/>
      <c r="Q26" s="30"/>
      <c r="R26" s="31"/>
      <c r="S26" s="27"/>
      <c r="T26" s="17"/>
      <c r="U26" s="15"/>
      <c r="V26" s="15"/>
      <c r="W26" s="15"/>
      <c r="X26" s="15"/>
      <c r="Y26" s="15"/>
      <c r="Z26" s="15"/>
      <c r="AA26" s="15"/>
      <c r="AB26" s="15"/>
    </row>
    <row r="27" spans="1:55" s="5" customFormat="1">
      <c r="A27" s="31"/>
      <c r="B27" s="15"/>
      <c r="C27" s="15"/>
      <c r="D27" s="17"/>
      <c r="E27" s="17"/>
      <c r="F27" s="17"/>
      <c r="G27" s="17"/>
      <c r="H27" s="17"/>
      <c r="I27" s="17"/>
      <c r="J27" s="17"/>
      <c r="K27" s="17"/>
      <c r="L27" s="17"/>
      <c r="M27" s="27"/>
      <c r="N27" s="27"/>
      <c r="O27" s="27"/>
      <c r="P27" s="31"/>
      <c r="Q27" s="27"/>
      <c r="R27" s="27"/>
      <c r="S27" s="27"/>
      <c r="T27" s="17"/>
      <c r="U27" s="15"/>
      <c r="V27" s="15"/>
      <c r="W27" s="15"/>
      <c r="X27" s="15"/>
      <c r="Y27" s="15"/>
      <c r="Z27" s="15"/>
      <c r="AA27" s="15"/>
      <c r="AB27" s="15"/>
    </row>
    <row r="28" spans="1:55">
      <c r="M28" s="27"/>
      <c r="N28" s="27"/>
      <c r="O28" s="27"/>
      <c r="P28" s="31"/>
      <c r="Q28" s="27"/>
      <c r="R28" s="27"/>
      <c r="S28" s="27"/>
    </row>
    <row r="29" spans="1:55">
      <c r="M29" s="27"/>
      <c r="N29" s="27"/>
      <c r="O29" s="27"/>
      <c r="P29" s="31"/>
      <c r="Q29" s="27"/>
      <c r="R29" s="27"/>
      <c r="S29" s="27"/>
    </row>
    <row r="30" spans="1:55">
      <c r="M30" s="27"/>
      <c r="N30" s="27"/>
      <c r="O30" s="27"/>
      <c r="P30" s="27"/>
      <c r="Q30" s="27"/>
      <c r="R30" s="27"/>
      <c r="S30" s="27"/>
    </row>
    <row r="31" spans="1:55">
      <c r="M31" s="27"/>
      <c r="N31" s="27"/>
      <c r="O31" s="27"/>
      <c r="P31" s="27"/>
      <c r="Q31" s="27"/>
      <c r="R31" s="27"/>
      <c r="S31" s="27"/>
    </row>
    <row r="32" spans="1:55">
      <c r="M32" s="27"/>
      <c r="N32" s="27"/>
      <c r="O32" s="27"/>
      <c r="P32" s="27"/>
      <c r="Q32" s="27"/>
      <c r="R32" s="27"/>
      <c r="S32" s="27"/>
    </row>
    <row r="33" spans="8:19">
      <c r="M33" s="27"/>
      <c r="N33" s="27"/>
      <c r="O33" s="27"/>
      <c r="P33" s="27"/>
      <c r="Q33" s="27"/>
      <c r="R33" s="27"/>
      <c r="S33" s="27"/>
    </row>
    <row r="34" spans="8:19">
      <c r="M34" s="27"/>
      <c r="N34" s="27"/>
      <c r="O34" s="27"/>
      <c r="P34" s="27"/>
      <c r="Q34" s="27"/>
      <c r="R34" s="27"/>
      <c r="S34" s="27"/>
    </row>
    <row r="35" spans="8:19">
      <c r="M35" s="27"/>
      <c r="N35" s="27"/>
      <c r="O35" s="27"/>
      <c r="P35" s="27"/>
      <c r="Q35" s="27"/>
      <c r="R35" s="27"/>
      <c r="S35" s="27"/>
    </row>
    <row r="36" spans="8:19">
      <c r="H36" s="17">
        <v>0</v>
      </c>
      <c r="M36" s="27"/>
      <c r="N36" s="27"/>
      <c r="O36" s="27"/>
      <c r="P36" s="27"/>
      <c r="Q36" s="27"/>
      <c r="R36" s="27"/>
      <c r="S36" s="27"/>
    </row>
    <row r="37" spans="8:19">
      <c r="M37" s="27"/>
      <c r="N37" s="27"/>
      <c r="O37" s="27"/>
      <c r="P37" s="27"/>
      <c r="Q37" s="27"/>
      <c r="R37" s="27"/>
      <c r="S37" s="27"/>
    </row>
    <row r="38" spans="8:19">
      <c r="M38" s="27"/>
      <c r="N38" s="27"/>
      <c r="O38" s="27"/>
      <c r="P38" s="27"/>
      <c r="Q38" s="27"/>
      <c r="R38" s="27"/>
      <c r="S38" s="27"/>
    </row>
    <row r="39" spans="8:19">
      <c r="M39" s="27"/>
      <c r="N39" s="27"/>
      <c r="O39" s="27"/>
      <c r="P39" s="27"/>
      <c r="Q39" s="27"/>
      <c r="R39" s="27"/>
      <c r="S39" s="27"/>
    </row>
    <row r="40" spans="8:19">
      <c r="M40" s="27"/>
      <c r="N40" s="27"/>
      <c r="O40" s="27"/>
      <c r="P40" s="27"/>
      <c r="Q40" s="27"/>
      <c r="R40" s="27"/>
      <c r="S40" s="27"/>
    </row>
    <row r="41" spans="8:19">
      <c r="M41" s="27"/>
      <c r="N41" s="27"/>
      <c r="O41" s="27"/>
      <c r="P41" s="27"/>
      <c r="Q41" s="27"/>
      <c r="R41" s="27"/>
      <c r="S41" s="27"/>
    </row>
  </sheetData>
  <sheetProtection formatCells="0" formatColumns="0" formatRows="0" insertColumns="0" insertRows="0" insertHyperlinks="0" deleteColumns="0" deleteRows="0" sort="0" autoFilter="0" pivotTables="0"/>
  <mergeCells count="5">
    <mergeCell ref="AB6:AK6"/>
    <mergeCell ref="AT6:AX6"/>
    <mergeCell ref="AY6:BC6"/>
    <mergeCell ref="AO6:AS6"/>
    <mergeCell ref="U6:Z6"/>
  </mergeCells>
  <conditionalFormatting sqref="AB4:AB5 AJ4:AQ5 BD4:XFD5 B4:Z5">
    <cfRule type="cellIs" dxfId="141" priority="18" operator="equal">
      <formula>0</formula>
    </cfRule>
  </conditionalFormatting>
  <conditionalFormatting sqref="AA4:AA5">
    <cfRule type="cellIs" dxfId="140" priority="17" operator="equal">
      <formula>0</formula>
    </cfRule>
  </conditionalFormatting>
  <conditionalFormatting sqref="AC4:AC5">
    <cfRule type="cellIs" dxfId="139" priority="16" operator="equal">
      <formula>0</formula>
    </cfRule>
  </conditionalFormatting>
  <conditionalFormatting sqref="AD4:AD5">
    <cfRule type="cellIs" dxfId="138" priority="15" operator="equal">
      <formula>0</formula>
    </cfRule>
  </conditionalFormatting>
  <conditionalFormatting sqref="AD7">
    <cfRule type="cellIs" dxfId="137" priority="14" operator="equal">
      <formula>0</formula>
    </cfRule>
  </conditionalFormatting>
  <conditionalFormatting sqref="AE4:AE5">
    <cfRule type="cellIs" dxfId="136" priority="13" operator="equal">
      <formula>0</formula>
    </cfRule>
  </conditionalFormatting>
  <conditionalFormatting sqref="AE7">
    <cfRule type="cellIs" dxfId="135" priority="12" operator="equal">
      <formula>0</formula>
    </cfRule>
  </conditionalFormatting>
  <conditionalFormatting sqref="AF4:AF5">
    <cfRule type="cellIs" dxfId="134" priority="11" operator="equal">
      <formula>0</formula>
    </cfRule>
  </conditionalFormatting>
  <conditionalFormatting sqref="AF7">
    <cfRule type="cellIs" dxfId="133" priority="10" operator="equal">
      <formula>0</formula>
    </cfRule>
  </conditionalFormatting>
  <conditionalFormatting sqref="AG4:AG5">
    <cfRule type="cellIs" dxfId="132" priority="9" operator="equal">
      <formula>0</formula>
    </cfRule>
  </conditionalFormatting>
  <conditionalFormatting sqref="AG7">
    <cfRule type="cellIs" dxfId="131" priority="8" operator="equal">
      <formula>0</formula>
    </cfRule>
  </conditionalFormatting>
  <conditionalFormatting sqref="AH4:AH5">
    <cfRule type="cellIs" dxfId="130" priority="7" operator="equal">
      <formula>0</formula>
    </cfRule>
  </conditionalFormatting>
  <conditionalFormatting sqref="AH7">
    <cfRule type="cellIs" dxfId="129" priority="6" operator="equal">
      <formula>0</formula>
    </cfRule>
  </conditionalFormatting>
  <conditionalFormatting sqref="AI4:AI5">
    <cfRule type="cellIs" dxfId="128" priority="5" operator="equal">
      <formula>0</formula>
    </cfRule>
  </conditionalFormatting>
  <conditionalFormatting sqref="AI7">
    <cfRule type="cellIs" dxfId="127" priority="4" operator="equal">
      <formula>0</formula>
    </cfRule>
  </conditionalFormatting>
  <conditionalFormatting sqref="AJ7">
    <cfRule type="cellIs" dxfId="126" priority="3" operator="equal">
      <formula>0</formula>
    </cfRule>
  </conditionalFormatting>
  <conditionalFormatting sqref="AR4:AW5">
    <cfRule type="cellIs" dxfId="125" priority="2" operator="equal">
      <formula>0</formula>
    </cfRule>
  </conditionalFormatting>
  <conditionalFormatting sqref="AX4:BC5">
    <cfRule type="cellIs" dxfId="124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4:BC65"/>
  <sheetViews>
    <sheetView showZeros="0" rightToLeft="1" zoomScaleNormal="100" workbookViewId="0">
      <pane xSplit="5" ySplit="8" topLeftCell="T9" activePane="bottomRight" state="frozen"/>
      <selection activeCell="T20" sqref="T20"/>
      <selection pane="topRight" activeCell="T20" sqref="T20"/>
      <selection pane="bottomLeft" activeCell="T20" sqref="T20"/>
      <selection pane="bottomRight" activeCell="T20" sqref="T20"/>
    </sheetView>
  </sheetViews>
  <sheetFormatPr defaultColWidth="9.1796875" defaultRowHeight="14"/>
  <cols>
    <col min="1" max="1" width="5.26953125" style="40" customWidth="1"/>
    <col min="2" max="2" width="6.7265625" style="15" customWidth="1"/>
    <col min="3" max="3" width="35.7265625" style="15" customWidth="1"/>
    <col min="4" max="4" width="11.54296875" style="17" hidden="1" customWidth="1"/>
    <col min="5" max="5" width="11.1796875" style="17" hidden="1" customWidth="1"/>
    <col min="6" max="6" width="10.54296875" style="17" hidden="1" customWidth="1"/>
    <col min="7" max="7" width="11.1796875" style="17" hidden="1" customWidth="1"/>
    <col min="8" max="10" width="12.7265625" style="17" hidden="1" customWidth="1"/>
    <col min="11" max="11" width="11.26953125" style="17" hidden="1" customWidth="1"/>
    <col min="12" max="12" width="10.54296875" style="17" hidden="1" customWidth="1"/>
    <col min="13" max="13" width="9" style="17" hidden="1" customWidth="1"/>
    <col min="14" max="14" width="10.453125" style="17" hidden="1" customWidth="1"/>
    <col min="15" max="15" width="10.7265625" style="17" hidden="1" customWidth="1"/>
    <col min="16" max="17" width="11.1796875" style="17" hidden="1" customWidth="1"/>
    <col min="18" max="18" width="9.7265625" style="17" hidden="1" customWidth="1"/>
    <col min="19" max="19" width="10.26953125" style="17" hidden="1" customWidth="1"/>
    <col min="20" max="20" width="8.453125" style="17" customWidth="1"/>
    <col min="21" max="23" width="10.26953125" style="15" customWidth="1"/>
    <col min="24" max="25" width="7.26953125" style="15" customWidth="1"/>
    <col min="26" max="26" width="8.7265625" style="17" customWidth="1"/>
    <col min="27" max="27" width="12.7265625" style="15" hidden="1" customWidth="1"/>
    <col min="28" max="28" width="11.7265625" style="45" hidden="1" customWidth="1"/>
    <col min="29" max="36" width="10.81640625" style="20" hidden="1" customWidth="1"/>
    <col min="37" max="37" width="14" style="20" hidden="1" customWidth="1"/>
    <col min="38" max="38" width="14.26953125" style="20" hidden="1" customWidth="1"/>
    <col min="39" max="39" width="10.7265625" style="20" customWidth="1"/>
    <col min="40" max="40" width="9.7265625" style="20" customWidth="1"/>
    <col min="41" max="41" width="10.7265625" style="15" customWidth="1"/>
    <col min="42" max="42" width="9.7265625" style="15" customWidth="1"/>
    <col min="43" max="43" width="7.26953125" style="15" customWidth="1"/>
    <col min="44" max="45" width="7.26953125" style="20" customWidth="1"/>
    <col min="46" max="46" width="9.1796875" style="20" hidden="1" customWidth="1"/>
    <col min="47" max="49" width="9.1796875" style="15" hidden="1" customWidth="1"/>
    <col min="50" max="50" width="14.26953125" style="20" hidden="1" customWidth="1"/>
    <col min="51" max="51" width="11" style="20" hidden="1" customWidth="1"/>
    <col min="52" max="52" width="9.1796875" style="20" hidden="1" customWidth="1"/>
    <col min="53" max="55" width="9.1796875" style="15" hidden="1" customWidth="1"/>
    <col min="56" max="16384" width="9.1796875" style="15"/>
  </cols>
  <sheetData>
    <row r="4" spans="1:55" s="39" customFormat="1" ht="15" customHeight="1">
      <c r="A4" s="122" t="s">
        <v>1004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B4" s="66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R4" s="33"/>
      <c r="AS4" s="33"/>
      <c r="AT4" s="33"/>
      <c r="AX4" s="33"/>
      <c r="AY4" s="33"/>
      <c r="AZ4" s="33"/>
    </row>
    <row r="5" spans="1:55" s="39" customFormat="1" ht="15" customHeight="1"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B5" s="66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R5" s="33"/>
      <c r="AS5" s="33"/>
      <c r="AT5" s="33"/>
      <c r="AX5" s="33"/>
      <c r="AY5" s="33"/>
      <c r="AZ5" s="33"/>
    </row>
    <row r="6" spans="1:55">
      <c r="A6" s="530"/>
      <c r="B6" s="531"/>
      <c r="C6" s="531"/>
      <c r="D6" s="531"/>
      <c r="E6" s="531"/>
      <c r="F6" s="531"/>
      <c r="G6" s="531"/>
      <c r="H6" s="531"/>
      <c r="I6" s="531"/>
      <c r="J6" s="531"/>
      <c r="K6" s="531"/>
      <c r="L6" s="531"/>
      <c r="M6" s="531"/>
      <c r="N6" s="531"/>
      <c r="O6" s="531"/>
      <c r="P6" s="531"/>
      <c r="Q6" s="531"/>
      <c r="R6" s="531"/>
      <c r="S6" s="531"/>
      <c r="T6" s="531"/>
      <c r="U6" s="738" t="s">
        <v>146</v>
      </c>
      <c r="V6" s="739"/>
      <c r="W6" s="739"/>
      <c r="X6" s="739"/>
      <c r="Y6" s="739"/>
      <c r="Z6" s="740"/>
      <c r="AB6" s="735" t="s">
        <v>489</v>
      </c>
      <c r="AC6" s="736"/>
      <c r="AD6" s="736"/>
      <c r="AE6" s="736"/>
      <c r="AF6" s="736"/>
      <c r="AG6" s="736"/>
      <c r="AH6" s="736"/>
      <c r="AI6" s="736"/>
      <c r="AJ6" s="736"/>
      <c r="AK6" s="737"/>
      <c r="AL6" s="110"/>
      <c r="AM6" s="675" t="s">
        <v>489</v>
      </c>
      <c r="AN6" s="496"/>
      <c r="AO6" s="735" t="s">
        <v>834</v>
      </c>
      <c r="AP6" s="736"/>
      <c r="AQ6" s="736"/>
      <c r="AR6" s="736"/>
      <c r="AS6" s="737"/>
      <c r="AT6" s="495" t="s">
        <v>835</v>
      </c>
      <c r="AU6" s="496"/>
      <c r="AV6" s="496"/>
      <c r="AW6" s="496"/>
      <c r="AX6" s="497"/>
      <c r="AY6" s="495" t="s">
        <v>836</v>
      </c>
      <c r="AZ6" s="496"/>
      <c r="BA6" s="496"/>
      <c r="BB6" s="496"/>
      <c r="BC6" s="497"/>
    </row>
    <row r="7" spans="1:55" s="34" customFormat="1" ht="86.25" customHeight="1">
      <c r="A7" s="19" t="s">
        <v>0</v>
      </c>
      <c r="B7" s="19" t="s">
        <v>1</v>
      </c>
      <c r="C7" s="19" t="s">
        <v>2</v>
      </c>
      <c r="D7" s="19" t="s">
        <v>3</v>
      </c>
      <c r="E7" s="19" t="s">
        <v>4</v>
      </c>
      <c r="F7" s="19" t="s">
        <v>5</v>
      </c>
      <c r="G7" s="19" t="s">
        <v>6</v>
      </c>
      <c r="H7" s="19" t="s">
        <v>7</v>
      </c>
      <c r="I7" s="19" t="s">
        <v>9</v>
      </c>
      <c r="J7" s="19" t="s">
        <v>318</v>
      </c>
      <c r="K7" s="19" t="s">
        <v>10</v>
      </c>
      <c r="L7" s="19" t="s">
        <v>11</v>
      </c>
      <c r="M7" s="11" t="s">
        <v>309</v>
      </c>
      <c r="N7" s="19" t="s">
        <v>310</v>
      </c>
      <c r="O7" s="19" t="s">
        <v>311</v>
      </c>
      <c r="P7" s="19" t="s">
        <v>12</v>
      </c>
      <c r="Q7" s="19" t="s">
        <v>312</v>
      </c>
      <c r="R7" s="19" t="s">
        <v>313</v>
      </c>
      <c r="S7" s="19" t="s">
        <v>314</v>
      </c>
      <c r="T7" s="19" t="s">
        <v>315</v>
      </c>
      <c r="U7" s="19" t="s">
        <v>316</v>
      </c>
      <c r="V7" s="19" t="s">
        <v>13</v>
      </c>
      <c r="W7" s="19" t="s">
        <v>14</v>
      </c>
      <c r="X7" s="19" t="s">
        <v>15</v>
      </c>
      <c r="Y7" s="19" t="s">
        <v>523</v>
      </c>
      <c r="Z7" s="11" t="s">
        <v>140</v>
      </c>
      <c r="AA7" s="55" t="s">
        <v>16</v>
      </c>
      <c r="AB7" s="107" t="s">
        <v>490</v>
      </c>
      <c r="AC7" s="107" t="s">
        <v>491</v>
      </c>
      <c r="AD7" s="107" t="s">
        <v>492</v>
      </c>
      <c r="AE7" s="107" t="s">
        <v>493</v>
      </c>
      <c r="AF7" s="107" t="s">
        <v>494</v>
      </c>
      <c r="AG7" s="107" t="s">
        <v>495</v>
      </c>
      <c r="AH7" s="107" t="s">
        <v>496</v>
      </c>
      <c r="AI7" s="107" t="s">
        <v>497</v>
      </c>
      <c r="AJ7" s="107" t="s">
        <v>498</v>
      </c>
      <c r="AK7" s="498" t="s">
        <v>837</v>
      </c>
      <c r="AL7" s="498" t="s">
        <v>838</v>
      </c>
      <c r="AM7" s="498" t="s">
        <v>839</v>
      </c>
      <c r="AN7" s="498" t="s">
        <v>840</v>
      </c>
      <c r="AO7" s="498" t="s">
        <v>13</v>
      </c>
      <c r="AP7" s="498" t="s">
        <v>14</v>
      </c>
      <c r="AQ7" s="498" t="s">
        <v>15</v>
      </c>
      <c r="AR7" s="498" t="s">
        <v>523</v>
      </c>
      <c r="AS7" s="498" t="s">
        <v>140</v>
      </c>
      <c r="AT7" s="498" t="s">
        <v>13</v>
      </c>
      <c r="AU7" s="498" t="s">
        <v>14</v>
      </c>
      <c r="AV7" s="498" t="s">
        <v>15</v>
      </c>
      <c r="AW7" s="498" t="s">
        <v>523</v>
      </c>
      <c r="AX7" s="498" t="s">
        <v>140</v>
      </c>
      <c r="AY7" s="107" t="s">
        <v>13</v>
      </c>
      <c r="AZ7" s="107" t="s">
        <v>14</v>
      </c>
      <c r="BA7" s="107" t="s">
        <v>15</v>
      </c>
      <c r="BB7" s="107" t="s">
        <v>523</v>
      </c>
      <c r="BC7" s="107" t="s">
        <v>140</v>
      </c>
    </row>
    <row r="8" spans="1:55" s="5" customFormat="1" ht="15.5">
      <c r="A8" s="3"/>
      <c r="B8" s="3"/>
      <c r="C8" s="48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58"/>
      <c r="AB8" s="326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</row>
    <row r="9" spans="1:55" s="5" customFormat="1">
      <c r="A9" s="3">
        <v>1</v>
      </c>
      <c r="B9" s="3">
        <v>1165</v>
      </c>
      <c r="C9" s="3" t="s">
        <v>142</v>
      </c>
      <c r="D9" s="4">
        <v>16300000</v>
      </c>
      <c r="E9" s="4">
        <v>14550000</v>
      </c>
      <c r="F9" s="4">
        <f t="shared" ref="F9:F38" si="0">D9-E9</f>
        <v>1750000</v>
      </c>
      <c r="G9" s="4">
        <v>11050000</v>
      </c>
      <c r="H9" s="4">
        <v>10281933.279999999</v>
      </c>
      <c r="I9" s="4"/>
      <c r="J9" s="4">
        <v>768032.43</v>
      </c>
      <c r="K9" s="4">
        <f>I9+J9</f>
        <v>768032.43</v>
      </c>
      <c r="L9" s="4">
        <f>H9+K9</f>
        <v>11049965.709999999</v>
      </c>
      <c r="M9" s="4">
        <f>P9+S9</f>
        <v>34.290000000968575</v>
      </c>
      <c r="N9" s="4">
        <v>1000000</v>
      </c>
      <c r="O9" s="4">
        <f>D9-L9-M9-N9</f>
        <v>4250000</v>
      </c>
      <c r="P9" s="4">
        <f>G9-L9</f>
        <v>34.290000000968575</v>
      </c>
      <c r="Q9" s="4"/>
      <c r="R9" s="4"/>
      <c r="S9" s="4">
        <f>SUM(Q9:R9)</f>
        <v>0</v>
      </c>
      <c r="T9" s="4">
        <f>P9-M9+S9</f>
        <v>0</v>
      </c>
      <c r="U9" s="4">
        <f>N9-T9</f>
        <v>1000000</v>
      </c>
      <c r="V9" s="4">
        <f>U9*0.9</f>
        <v>900000</v>
      </c>
      <c r="W9" s="4">
        <f>U9-V9-Y9-Z9</f>
        <v>100000</v>
      </c>
      <c r="X9" s="4"/>
      <c r="Y9" s="4"/>
      <c r="Z9" s="4"/>
      <c r="AA9" s="58">
        <v>746000</v>
      </c>
      <c r="AB9" s="3"/>
      <c r="AC9" s="4">
        <v>1000000</v>
      </c>
      <c r="AD9" s="4"/>
      <c r="AE9" s="4"/>
      <c r="AF9" s="4"/>
      <c r="AG9" s="4"/>
      <c r="AH9" s="4"/>
      <c r="AI9" s="4"/>
      <c r="AJ9" s="4"/>
      <c r="AK9" s="4">
        <f>SUM(AB9:AJ9)</f>
        <v>1000000</v>
      </c>
      <c r="AL9" s="4"/>
      <c r="AM9" s="4">
        <f>AL9+AK9</f>
        <v>1000000</v>
      </c>
      <c r="AN9" s="4">
        <f>U9-AM9</f>
        <v>0</v>
      </c>
      <c r="AO9" s="4">
        <f>AM9-AP9-AQ9-AR9-AS9</f>
        <v>900000</v>
      </c>
      <c r="AP9" s="4">
        <v>100000</v>
      </c>
      <c r="AQ9" s="3"/>
      <c r="AR9" s="4"/>
      <c r="AS9" s="4"/>
      <c r="AT9" s="4">
        <f>AL9-AU9</f>
        <v>0</v>
      </c>
      <c r="AU9" s="3"/>
      <c r="AV9" s="3"/>
      <c r="AW9" s="3"/>
      <c r="AX9" s="4"/>
      <c r="AY9" s="4">
        <f>AN9-AZ9</f>
        <v>0</v>
      </c>
      <c r="AZ9" s="4"/>
      <c r="BA9" s="3"/>
      <c r="BB9" s="3"/>
      <c r="BC9" s="3"/>
    </row>
    <row r="10" spans="1:55" s="5" customFormat="1">
      <c r="A10" s="3">
        <f t="shared" ref="A10:A38" si="1">A9+1</f>
        <v>2</v>
      </c>
      <c r="B10" s="3">
        <v>1166</v>
      </c>
      <c r="C10" s="3" t="s">
        <v>570</v>
      </c>
      <c r="D10" s="4">
        <f>9215000+1400000</f>
        <v>10615000</v>
      </c>
      <c r="E10" s="4">
        <v>9215000</v>
      </c>
      <c r="F10" s="4">
        <f t="shared" si="0"/>
        <v>1400000</v>
      </c>
      <c r="G10" s="4">
        <v>8115000</v>
      </c>
      <c r="H10" s="4">
        <v>7117813.4500000002</v>
      </c>
      <c r="I10" s="4"/>
      <c r="J10" s="4">
        <v>840603.28</v>
      </c>
      <c r="K10" s="4">
        <f t="shared" ref="K10:K29" si="2">I10+J10</f>
        <v>840603.28</v>
      </c>
      <c r="L10" s="4">
        <f t="shared" ref="L10:L29" si="3">H10+K10</f>
        <v>7958416.7300000004</v>
      </c>
      <c r="M10" s="4">
        <f t="shared" ref="M10:M29" si="4">P10+S10</f>
        <v>156583.26999999955</v>
      </c>
      <c r="N10" s="4">
        <v>1000000</v>
      </c>
      <c r="O10" s="4">
        <f t="shared" ref="O10:O29" si="5">D10-L10-M10-N10</f>
        <v>1500000</v>
      </c>
      <c r="P10" s="4">
        <f t="shared" ref="P10:P29" si="6">G10-L10</f>
        <v>156583.26999999955</v>
      </c>
      <c r="Q10" s="4"/>
      <c r="R10" s="4"/>
      <c r="S10" s="4">
        <f t="shared" ref="S10:S29" si="7">SUM(Q10:R10)</f>
        <v>0</v>
      </c>
      <c r="T10" s="4">
        <f t="shared" ref="T10:T29" si="8">P10-M10+S10</f>
        <v>0</v>
      </c>
      <c r="U10" s="4">
        <f t="shared" ref="U10:U29" si="9">N10-T10</f>
        <v>1000000</v>
      </c>
      <c r="V10" s="4">
        <f>U10-W10-Z10</f>
        <v>1000000</v>
      </c>
      <c r="W10" s="4"/>
      <c r="X10" s="4"/>
      <c r="Y10" s="4"/>
      <c r="Z10" s="4"/>
      <c r="AA10" s="58">
        <v>746000</v>
      </c>
      <c r="AB10" s="3"/>
      <c r="AC10" s="4">
        <v>300000</v>
      </c>
      <c r="AD10" s="4">
        <v>500000</v>
      </c>
      <c r="AE10" s="4"/>
      <c r="AF10" s="520">
        <v>200000</v>
      </c>
      <c r="AG10" s="4"/>
      <c r="AH10" s="4"/>
      <c r="AI10" s="4"/>
      <c r="AJ10" s="4"/>
      <c r="AK10" s="4">
        <f t="shared" ref="AK10:AK38" si="10">SUM(AB10:AJ10)</f>
        <v>1000000</v>
      </c>
      <c r="AL10" s="4"/>
      <c r="AM10" s="4">
        <f t="shared" ref="AM10:AM38" si="11">AL10+AK10</f>
        <v>1000000</v>
      </c>
      <c r="AN10" s="4">
        <f t="shared" ref="AN10:AN38" si="12">U10-AM10</f>
        <v>0</v>
      </c>
      <c r="AO10" s="4">
        <f t="shared" ref="AO10:AO38" si="13">AM10-AP10-AQ10-AR10-AS10</f>
        <v>1000000</v>
      </c>
      <c r="AP10" s="3"/>
      <c r="AQ10" s="3"/>
      <c r="AR10" s="4"/>
      <c r="AS10" s="4"/>
      <c r="AT10" s="4">
        <f t="shared" ref="AT10:AT38" si="14">AL10-AU10</f>
        <v>0</v>
      </c>
      <c r="AU10" s="3"/>
      <c r="AV10" s="3"/>
      <c r="AW10" s="3"/>
      <c r="AX10" s="4"/>
      <c r="AY10" s="4">
        <f t="shared" ref="AY10:AY38" si="15">AN10-AZ10</f>
        <v>0</v>
      </c>
      <c r="AZ10" s="4"/>
      <c r="BA10" s="3"/>
      <c r="BB10" s="3"/>
      <c r="BC10" s="3"/>
    </row>
    <row r="11" spans="1:55" s="5" customFormat="1">
      <c r="A11" s="3">
        <f t="shared" si="1"/>
        <v>3</v>
      </c>
      <c r="B11" s="3">
        <v>1192</v>
      </c>
      <c r="C11" s="3" t="s">
        <v>119</v>
      </c>
      <c r="D11" s="4">
        <f>835000+250000</f>
        <v>1085000</v>
      </c>
      <c r="E11" s="4">
        <v>835000</v>
      </c>
      <c r="F11" s="4">
        <f t="shared" si="0"/>
        <v>250000</v>
      </c>
      <c r="G11" s="4">
        <v>485000</v>
      </c>
      <c r="H11" s="4">
        <v>405559.85</v>
      </c>
      <c r="I11" s="4"/>
      <c r="J11" s="4"/>
      <c r="K11" s="4">
        <f t="shared" si="2"/>
        <v>0</v>
      </c>
      <c r="L11" s="4">
        <f t="shared" si="3"/>
        <v>405559.85</v>
      </c>
      <c r="M11" s="4">
        <f t="shared" si="4"/>
        <v>79440.150000000023</v>
      </c>
      <c r="N11" s="4">
        <f>300000-300000</f>
        <v>0</v>
      </c>
      <c r="O11" s="4">
        <f t="shared" si="5"/>
        <v>600000</v>
      </c>
      <c r="P11" s="4">
        <f t="shared" si="6"/>
        <v>79440.150000000023</v>
      </c>
      <c r="Q11" s="4"/>
      <c r="R11" s="4"/>
      <c r="S11" s="4">
        <f t="shared" si="7"/>
        <v>0</v>
      </c>
      <c r="T11" s="4">
        <f t="shared" si="8"/>
        <v>0</v>
      </c>
      <c r="U11" s="4">
        <f t="shared" si="9"/>
        <v>0</v>
      </c>
      <c r="V11" s="4">
        <f>U11-W11-Z11</f>
        <v>0</v>
      </c>
      <c r="W11" s="4"/>
      <c r="X11" s="4"/>
      <c r="Y11" s="4"/>
      <c r="Z11" s="4"/>
      <c r="AA11" s="58">
        <v>810000</v>
      </c>
      <c r="AB11" s="3"/>
      <c r="AC11" s="4"/>
      <c r="AD11" s="4"/>
      <c r="AE11" s="4"/>
      <c r="AF11" s="4"/>
      <c r="AG11" s="4"/>
      <c r="AH11" s="4"/>
      <c r="AI11" s="4"/>
      <c r="AJ11" s="4"/>
      <c r="AK11" s="4">
        <f t="shared" si="10"/>
        <v>0</v>
      </c>
      <c r="AL11" s="4"/>
      <c r="AM11" s="4">
        <f t="shared" si="11"/>
        <v>0</v>
      </c>
      <c r="AN11" s="4">
        <f t="shared" si="12"/>
        <v>0</v>
      </c>
      <c r="AO11" s="4">
        <f t="shared" si="13"/>
        <v>0</v>
      </c>
      <c r="AP11" s="3"/>
      <c r="AQ11" s="3"/>
      <c r="AR11" s="4"/>
      <c r="AS11" s="4"/>
      <c r="AT11" s="4">
        <f t="shared" si="14"/>
        <v>0</v>
      </c>
      <c r="AU11" s="3"/>
      <c r="AV11" s="3"/>
      <c r="AW11" s="3"/>
      <c r="AX11" s="4"/>
      <c r="AY11" s="4">
        <f t="shared" si="15"/>
        <v>0</v>
      </c>
      <c r="AZ11" s="4"/>
      <c r="BA11" s="3"/>
      <c r="BB11" s="3"/>
      <c r="BC11" s="3"/>
    </row>
    <row r="12" spans="1:55" s="5" customFormat="1" ht="28">
      <c r="A12" s="3">
        <f t="shared" si="1"/>
        <v>4</v>
      </c>
      <c r="B12" s="3">
        <v>1254</v>
      </c>
      <c r="C12" s="3" t="s">
        <v>569</v>
      </c>
      <c r="D12" s="4">
        <v>37000000</v>
      </c>
      <c r="E12" s="4">
        <v>35440000</v>
      </c>
      <c r="F12" s="4">
        <f t="shared" si="0"/>
        <v>1560000</v>
      </c>
      <c r="G12" s="4">
        <v>29490000</v>
      </c>
      <c r="H12" s="4">
        <v>27379815.690000001</v>
      </c>
      <c r="I12" s="4"/>
      <c r="J12" s="4">
        <v>1860802.72</v>
      </c>
      <c r="K12" s="4">
        <f t="shared" si="2"/>
        <v>1860802.72</v>
      </c>
      <c r="L12" s="4">
        <f t="shared" si="3"/>
        <v>29240618.41</v>
      </c>
      <c r="M12" s="4">
        <f t="shared" si="4"/>
        <v>249381.58999999985</v>
      </c>
      <c r="N12" s="4">
        <f>2500000-200000+200000</f>
        <v>2500000</v>
      </c>
      <c r="O12" s="4">
        <f t="shared" si="5"/>
        <v>5010000</v>
      </c>
      <c r="P12" s="4">
        <f t="shared" si="6"/>
        <v>249381.58999999985</v>
      </c>
      <c r="Q12" s="4"/>
      <c r="R12" s="4"/>
      <c r="S12" s="4">
        <f t="shared" si="7"/>
        <v>0</v>
      </c>
      <c r="T12" s="4">
        <f t="shared" si="8"/>
        <v>0</v>
      </c>
      <c r="U12" s="4">
        <f t="shared" si="9"/>
        <v>2500000</v>
      </c>
      <c r="V12" s="4">
        <f>U12-W12-Z12</f>
        <v>2500000</v>
      </c>
      <c r="W12" s="4"/>
      <c r="X12" s="4"/>
      <c r="Y12" s="4"/>
      <c r="Z12" s="4"/>
      <c r="AA12" s="58">
        <v>746000</v>
      </c>
      <c r="AB12" s="3"/>
      <c r="AC12" s="4">
        <v>1000000</v>
      </c>
      <c r="AD12" s="4">
        <v>500000</v>
      </c>
      <c r="AE12" s="4"/>
      <c r="AF12" s="520">
        <v>400000</v>
      </c>
      <c r="AG12" s="4"/>
      <c r="AH12" s="4"/>
      <c r="AI12" s="4">
        <v>600000</v>
      </c>
      <c r="AJ12" s="4"/>
      <c r="AK12" s="4">
        <f t="shared" si="10"/>
        <v>2500000</v>
      </c>
      <c r="AL12" s="4"/>
      <c r="AM12" s="4">
        <f t="shared" si="11"/>
        <v>2500000</v>
      </c>
      <c r="AN12" s="4">
        <f t="shared" si="12"/>
        <v>0</v>
      </c>
      <c r="AO12" s="4">
        <f t="shared" si="13"/>
        <v>2500000</v>
      </c>
      <c r="AP12" s="3"/>
      <c r="AQ12" s="3"/>
      <c r="AR12" s="4"/>
      <c r="AS12" s="4"/>
      <c r="AT12" s="4">
        <f t="shared" si="14"/>
        <v>0</v>
      </c>
      <c r="AU12" s="3"/>
      <c r="AV12" s="3"/>
      <c r="AW12" s="3"/>
      <c r="AX12" s="4"/>
      <c r="AY12" s="4">
        <f t="shared" si="15"/>
        <v>0</v>
      </c>
      <c r="AZ12" s="4"/>
      <c r="BA12" s="3"/>
      <c r="BB12" s="3"/>
      <c r="BC12" s="3"/>
    </row>
    <row r="13" spans="1:55" s="5" customFormat="1">
      <c r="A13" s="3">
        <f t="shared" si="1"/>
        <v>5</v>
      </c>
      <c r="B13" s="244">
        <v>1292</v>
      </c>
      <c r="C13" s="42" t="s">
        <v>961</v>
      </c>
      <c r="D13" s="4">
        <f>2480000-300000</f>
        <v>2180000</v>
      </c>
      <c r="E13" s="4">
        <v>2180000</v>
      </c>
      <c r="F13" s="4">
        <f t="shared" si="0"/>
        <v>0</v>
      </c>
      <c r="G13" s="4">
        <v>2180000</v>
      </c>
      <c r="H13" s="4">
        <v>2175474.5099999998</v>
      </c>
      <c r="I13" s="4"/>
      <c r="J13" s="4">
        <v>3673.04</v>
      </c>
      <c r="K13" s="4">
        <f t="shared" si="2"/>
        <v>3673.04</v>
      </c>
      <c r="L13" s="4">
        <f t="shared" si="3"/>
        <v>2179147.5499999998</v>
      </c>
      <c r="M13" s="4">
        <f t="shared" si="4"/>
        <v>852.45000000018626</v>
      </c>
      <c r="N13" s="4"/>
      <c r="O13" s="4">
        <f t="shared" si="5"/>
        <v>0</v>
      </c>
      <c r="P13" s="4">
        <f t="shared" si="6"/>
        <v>852.45000000018626</v>
      </c>
      <c r="Q13" s="4"/>
      <c r="R13" s="4"/>
      <c r="S13" s="4">
        <f t="shared" si="7"/>
        <v>0</v>
      </c>
      <c r="T13" s="4">
        <f t="shared" si="8"/>
        <v>0</v>
      </c>
      <c r="U13" s="4">
        <f t="shared" si="9"/>
        <v>0</v>
      </c>
      <c r="V13" s="4"/>
      <c r="W13" s="4">
        <f>U13-V13-Y13-Z13</f>
        <v>0</v>
      </c>
      <c r="X13" s="4"/>
      <c r="Y13" s="4"/>
      <c r="Z13" s="4"/>
      <c r="AA13" s="58">
        <v>746400</v>
      </c>
      <c r="AB13" s="3"/>
      <c r="AC13" s="4"/>
      <c r="AD13" s="4"/>
      <c r="AE13" s="4"/>
      <c r="AF13" s="4"/>
      <c r="AG13" s="4"/>
      <c r="AH13" s="4"/>
      <c r="AI13" s="4"/>
      <c r="AJ13" s="4"/>
      <c r="AK13" s="4">
        <f t="shared" si="10"/>
        <v>0</v>
      </c>
      <c r="AL13" s="4"/>
      <c r="AM13" s="4">
        <f t="shared" si="11"/>
        <v>0</v>
      </c>
      <c r="AN13" s="4">
        <f t="shared" si="12"/>
        <v>0</v>
      </c>
      <c r="AO13" s="4">
        <f t="shared" si="13"/>
        <v>0</v>
      </c>
      <c r="AP13" s="3"/>
      <c r="AQ13" s="3"/>
      <c r="AR13" s="4"/>
      <c r="AS13" s="4"/>
      <c r="AT13" s="4">
        <f t="shared" si="14"/>
        <v>0</v>
      </c>
      <c r="AU13" s="3"/>
      <c r="AV13" s="3"/>
      <c r="AW13" s="3"/>
      <c r="AX13" s="4"/>
      <c r="AY13" s="4">
        <f t="shared" si="15"/>
        <v>0</v>
      </c>
      <c r="AZ13" s="4"/>
      <c r="BA13" s="3"/>
      <c r="BB13" s="3"/>
      <c r="BC13" s="3"/>
    </row>
    <row r="14" spans="1:55" s="5" customFormat="1">
      <c r="A14" s="3">
        <f t="shared" si="1"/>
        <v>6</v>
      </c>
      <c r="B14" s="3">
        <v>1341</v>
      </c>
      <c r="C14" s="3" t="s">
        <v>120</v>
      </c>
      <c r="D14" s="4">
        <v>550000</v>
      </c>
      <c r="E14" s="4">
        <v>550000</v>
      </c>
      <c r="F14" s="4">
        <f t="shared" si="0"/>
        <v>0</v>
      </c>
      <c r="G14" s="4">
        <v>550000</v>
      </c>
      <c r="H14" s="4">
        <v>461176.73</v>
      </c>
      <c r="I14" s="4"/>
      <c r="J14" s="4">
        <v>5769.07</v>
      </c>
      <c r="K14" s="4">
        <f t="shared" si="2"/>
        <v>5769.07</v>
      </c>
      <c r="L14" s="4">
        <f t="shared" si="3"/>
        <v>466945.8</v>
      </c>
      <c r="M14" s="4">
        <f t="shared" si="4"/>
        <v>83054.200000000012</v>
      </c>
      <c r="N14" s="4"/>
      <c r="O14" s="4">
        <f t="shared" si="5"/>
        <v>0</v>
      </c>
      <c r="P14" s="4">
        <f t="shared" si="6"/>
        <v>83054.200000000012</v>
      </c>
      <c r="Q14" s="4"/>
      <c r="R14" s="4"/>
      <c r="S14" s="4">
        <f t="shared" si="7"/>
        <v>0</v>
      </c>
      <c r="T14" s="4">
        <f t="shared" si="8"/>
        <v>0</v>
      </c>
      <c r="U14" s="4">
        <f t="shared" si="9"/>
        <v>0</v>
      </c>
      <c r="V14" s="4"/>
      <c r="W14" s="4">
        <f>U14-V14-Y14-Z14</f>
        <v>0</v>
      </c>
      <c r="X14" s="4"/>
      <c r="Y14" s="4"/>
      <c r="Z14" s="4"/>
      <c r="AA14" s="58">
        <v>746000</v>
      </c>
      <c r="AB14" s="3"/>
      <c r="AC14" s="4"/>
      <c r="AD14" s="4"/>
      <c r="AE14" s="4"/>
      <c r="AF14" s="4"/>
      <c r="AG14" s="4"/>
      <c r="AH14" s="4"/>
      <c r="AI14" s="4"/>
      <c r="AJ14" s="4"/>
      <c r="AK14" s="4">
        <f t="shared" si="10"/>
        <v>0</v>
      </c>
      <c r="AL14" s="4"/>
      <c r="AM14" s="4">
        <f t="shared" si="11"/>
        <v>0</v>
      </c>
      <c r="AN14" s="4">
        <f t="shared" si="12"/>
        <v>0</v>
      </c>
      <c r="AO14" s="4">
        <f t="shared" si="13"/>
        <v>0</v>
      </c>
      <c r="AP14" s="4"/>
      <c r="AQ14" s="3"/>
      <c r="AR14" s="4"/>
      <c r="AS14" s="4"/>
      <c r="AT14" s="4">
        <f t="shared" si="14"/>
        <v>0</v>
      </c>
      <c r="AU14" s="3"/>
      <c r="AV14" s="3"/>
      <c r="AW14" s="3"/>
      <c r="AX14" s="4"/>
      <c r="AY14" s="4">
        <f t="shared" si="15"/>
        <v>0</v>
      </c>
      <c r="AZ14" s="4"/>
      <c r="BA14" s="3"/>
      <c r="BB14" s="3"/>
      <c r="BC14" s="3"/>
    </row>
    <row r="15" spans="1:55" s="5" customFormat="1">
      <c r="A15" s="3">
        <f t="shared" si="1"/>
        <v>7</v>
      </c>
      <c r="B15" s="3">
        <v>1342</v>
      </c>
      <c r="C15" s="3" t="s">
        <v>121</v>
      </c>
      <c r="D15" s="4">
        <v>4000000</v>
      </c>
      <c r="E15" s="4">
        <v>3050000</v>
      </c>
      <c r="F15" s="4">
        <f t="shared" si="0"/>
        <v>950000</v>
      </c>
      <c r="G15" s="4">
        <v>2450000</v>
      </c>
      <c r="H15" s="4">
        <v>1845306.18</v>
      </c>
      <c r="I15" s="4"/>
      <c r="J15" s="4">
        <v>524344.86</v>
      </c>
      <c r="K15" s="4">
        <f t="shared" si="2"/>
        <v>524344.86</v>
      </c>
      <c r="L15" s="4">
        <f t="shared" si="3"/>
        <v>2369651.04</v>
      </c>
      <c r="M15" s="4">
        <f t="shared" si="4"/>
        <v>80348.959999999963</v>
      </c>
      <c r="N15" s="4">
        <v>500000</v>
      </c>
      <c r="O15" s="4">
        <f t="shared" si="5"/>
        <v>1050000</v>
      </c>
      <c r="P15" s="4">
        <f t="shared" si="6"/>
        <v>80348.959999999963</v>
      </c>
      <c r="Q15" s="4"/>
      <c r="R15" s="4"/>
      <c r="S15" s="4">
        <f t="shared" si="7"/>
        <v>0</v>
      </c>
      <c r="T15" s="4">
        <f t="shared" si="8"/>
        <v>0</v>
      </c>
      <c r="U15" s="4">
        <f t="shared" si="9"/>
        <v>500000</v>
      </c>
      <c r="V15" s="4">
        <f>U15*0.7+50000</f>
        <v>400000</v>
      </c>
      <c r="W15" s="4">
        <f>U15-V15-Y15-Z15</f>
        <v>100000</v>
      </c>
      <c r="X15" s="4"/>
      <c r="Y15" s="4"/>
      <c r="Z15" s="4"/>
      <c r="AA15" s="58">
        <v>746000</v>
      </c>
      <c r="AB15" s="3"/>
      <c r="AC15" s="4">
        <v>250000</v>
      </c>
      <c r="AD15" s="4"/>
      <c r="AE15" s="4"/>
      <c r="AF15" s="4"/>
      <c r="AG15" s="4"/>
      <c r="AH15" s="4"/>
      <c r="AI15" s="4"/>
      <c r="AJ15" s="4">
        <v>250000</v>
      </c>
      <c r="AK15" s="4">
        <f t="shared" si="10"/>
        <v>500000</v>
      </c>
      <c r="AL15" s="4"/>
      <c r="AM15" s="4">
        <f t="shared" si="11"/>
        <v>500000</v>
      </c>
      <c r="AN15" s="4">
        <f t="shared" si="12"/>
        <v>0</v>
      </c>
      <c r="AO15" s="4">
        <f t="shared" si="13"/>
        <v>400000</v>
      </c>
      <c r="AP15" s="4">
        <v>100000</v>
      </c>
      <c r="AQ15" s="3"/>
      <c r="AR15" s="4"/>
      <c r="AS15" s="4"/>
      <c r="AT15" s="4">
        <f t="shared" si="14"/>
        <v>0</v>
      </c>
      <c r="AU15" s="3"/>
      <c r="AV15" s="3"/>
      <c r="AW15" s="3"/>
      <c r="AX15" s="4"/>
      <c r="AY15" s="4">
        <f t="shared" si="15"/>
        <v>0</v>
      </c>
      <c r="AZ15" s="4"/>
      <c r="BA15" s="3"/>
      <c r="BB15" s="3"/>
      <c r="BC15" s="3"/>
    </row>
    <row r="16" spans="1:55" s="5" customFormat="1">
      <c r="A16" s="3">
        <f t="shared" si="1"/>
        <v>8</v>
      </c>
      <c r="B16" s="3">
        <v>1343</v>
      </c>
      <c r="C16" s="3" t="s">
        <v>122</v>
      </c>
      <c r="D16" s="4">
        <v>8320000</v>
      </c>
      <c r="E16" s="4">
        <v>8320000</v>
      </c>
      <c r="F16" s="4">
        <f t="shared" si="0"/>
        <v>0</v>
      </c>
      <c r="G16" s="4">
        <v>5120000</v>
      </c>
      <c r="H16" s="4">
        <v>3987302.49</v>
      </c>
      <c r="I16" s="4"/>
      <c r="J16" s="4">
        <v>893320.19</v>
      </c>
      <c r="K16" s="4">
        <f t="shared" si="2"/>
        <v>893320.19</v>
      </c>
      <c r="L16" s="4">
        <f t="shared" si="3"/>
        <v>4880622.68</v>
      </c>
      <c r="M16" s="4">
        <f t="shared" si="4"/>
        <v>239377.3200000003</v>
      </c>
      <c r="N16" s="4">
        <f>1000000-200000+200000-100000</f>
        <v>900000</v>
      </c>
      <c r="O16" s="4">
        <f t="shared" si="5"/>
        <v>2300000</v>
      </c>
      <c r="P16" s="4">
        <f t="shared" si="6"/>
        <v>239377.3200000003</v>
      </c>
      <c r="Q16" s="4"/>
      <c r="R16" s="4"/>
      <c r="S16" s="4">
        <f t="shared" si="7"/>
        <v>0</v>
      </c>
      <c r="T16" s="4">
        <f t="shared" si="8"/>
        <v>0</v>
      </c>
      <c r="U16" s="4">
        <f t="shared" si="9"/>
        <v>900000</v>
      </c>
      <c r="V16" s="4">
        <f>U16-W16-Z16</f>
        <v>900000</v>
      </c>
      <c r="W16" s="4"/>
      <c r="X16" s="4"/>
      <c r="Y16" s="4"/>
      <c r="Z16" s="4"/>
      <c r="AA16" s="58">
        <v>746000</v>
      </c>
      <c r="AB16" s="3"/>
      <c r="AC16" s="4"/>
      <c r="AD16" s="4">
        <v>500000</v>
      </c>
      <c r="AE16" s="4"/>
      <c r="AF16" s="520">
        <v>400000</v>
      </c>
      <c r="AG16" s="4"/>
      <c r="AH16" s="4"/>
      <c r="AI16" s="4"/>
      <c r="AJ16" s="4"/>
      <c r="AK16" s="4">
        <f t="shared" si="10"/>
        <v>900000</v>
      </c>
      <c r="AL16" s="4"/>
      <c r="AM16" s="4">
        <f t="shared" si="11"/>
        <v>900000</v>
      </c>
      <c r="AN16" s="4">
        <f t="shared" si="12"/>
        <v>0</v>
      </c>
      <c r="AO16" s="4">
        <f t="shared" si="13"/>
        <v>900000</v>
      </c>
      <c r="AP16" s="4"/>
      <c r="AQ16" s="3"/>
      <c r="AR16" s="4"/>
      <c r="AS16" s="4"/>
      <c r="AT16" s="4">
        <f t="shared" si="14"/>
        <v>0</v>
      </c>
      <c r="AU16" s="3"/>
      <c r="AV16" s="3"/>
      <c r="AW16" s="3"/>
      <c r="AX16" s="4"/>
      <c r="AY16" s="4">
        <f t="shared" si="15"/>
        <v>0</v>
      </c>
      <c r="AZ16" s="4"/>
      <c r="BA16" s="3"/>
      <c r="BB16" s="3"/>
      <c r="BC16" s="3"/>
    </row>
    <row r="17" spans="1:55" s="5" customFormat="1">
      <c r="A17" s="3">
        <f t="shared" si="1"/>
        <v>9</v>
      </c>
      <c r="B17" s="3">
        <v>1435</v>
      </c>
      <c r="C17" s="3" t="s">
        <v>243</v>
      </c>
      <c r="D17" s="4">
        <v>26300000</v>
      </c>
      <c r="E17" s="4">
        <v>19800000</v>
      </c>
      <c r="F17" s="4">
        <f t="shared" si="0"/>
        <v>6500000</v>
      </c>
      <c r="G17" s="4">
        <v>18774320</v>
      </c>
      <c r="H17" s="4">
        <v>15924296.5</v>
      </c>
      <c r="I17" s="4"/>
      <c r="J17" s="4">
        <v>2445844.85</v>
      </c>
      <c r="K17" s="4">
        <f t="shared" si="2"/>
        <v>2445844.85</v>
      </c>
      <c r="L17" s="4">
        <f t="shared" si="3"/>
        <v>18370141.350000001</v>
      </c>
      <c r="M17" s="4">
        <f t="shared" si="4"/>
        <v>404178.64999999851</v>
      </c>
      <c r="N17" s="4">
        <f>3500000-200000+200000</f>
        <v>3500000</v>
      </c>
      <c r="O17" s="4">
        <f t="shared" si="5"/>
        <v>4025680</v>
      </c>
      <c r="P17" s="4">
        <f t="shared" si="6"/>
        <v>404178.64999999851</v>
      </c>
      <c r="Q17" s="4"/>
      <c r="R17" s="4"/>
      <c r="S17" s="4">
        <f t="shared" si="7"/>
        <v>0</v>
      </c>
      <c r="T17" s="4">
        <f t="shared" si="8"/>
        <v>0</v>
      </c>
      <c r="U17" s="4">
        <f t="shared" si="9"/>
        <v>3500000</v>
      </c>
      <c r="V17" s="4">
        <v>1000000</v>
      </c>
      <c r="W17" s="4">
        <f>U17-V17-Y17-Z17</f>
        <v>2500000</v>
      </c>
      <c r="X17" s="4"/>
      <c r="Y17" s="4"/>
      <c r="Z17" s="4"/>
      <c r="AA17" s="58">
        <v>848500</v>
      </c>
      <c r="AB17" s="3"/>
      <c r="AC17" s="4">
        <v>700000</v>
      </c>
      <c r="AD17" s="4">
        <v>700000</v>
      </c>
      <c r="AE17" s="4"/>
      <c r="AF17" s="4">
        <v>1000000</v>
      </c>
      <c r="AG17" s="4">
        <v>500000</v>
      </c>
      <c r="AH17" s="4">
        <v>400000</v>
      </c>
      <c r="AI17" s="4">
        <v>200000</v>
      </c>
      <c r="AJ17" s="4"/>
      <c r="AK17" s="4">
        <f t="shared" si="10"/>
        <v>3500000</v>
      </c>
      <c r="AL17" s="4"/>
      <c r="AM17" s="4">
        <f t="shared" si="11"/>
        <v>3500000</v>
      </c>
      <c r="AN17" s="4">
        <f t="shared" si="12"/>
        <v>0</v>
      </c>
      <c r="AO17" s="4">
        <f t="shared" si="13"/>
        <v>1000000</v>
      </c>
      <c r="AP17" s="4">
        <v>2500000</v>
      </c>
      <c r="AQ17" s="3"/>
      <c r="AR17" s="4"/>
      <c r="AS17" s="4"/>
      <c r="AT17" s="4">
        <f t="shared" si="14"/>
        <v>0</v>
      </c>
      <c r="AU17" s="3"/>
      <c r="AV17" s="3"/>
      <c r="AW17" s="3"/>
      <c r="AX17" s="4"/>
      <c r="AY17" s="4">
        <f t="shared" si="15"/>
        <v>0</v>
      </c>
      <c r="AZ17" s="4"/>
      <c r="BA17" s="3"/>
      <c r="BB17" s="3"/>
      <c r="BC17" s="3"/>
    </row>
    <row r="18" spans="1:55" s="5" customFormat="1">
      <c r="A18" s="3">
        <f t="shared" si="1"/>
        <v>10</v>
      </c>
      <c r="B18" s="3">
        <v>1491</v>
      </c>
      <c r="C18" s="3" t="s">
        <v>123</v>
      </c>
      <c r="D18" s="4">
        <v>13700000</v>
      </c>
      <c r="E18" s="4">
        <v>13700000</v>
      </c>
      <c r="F18" s="4">
        <f t="shared" si="0"/>
        <v>0</v>
      </c>
      <c r="G18" s="4">
        <v>5670000</v>
      </c>
      <c r="H18" s="4">
        <v>4372387.8</v>
      </c>
      <c r="I18" s="4"/>
      <c r="J18" s="4">
        <v>1041761.21</v>
      </c>
      <c r="K18" s="4">
        <f t="shared" si="2"/>
        <v>1041761.21</v>
      </c>
      <c r="L18" s="4">
        <f t="shared" si="3"/>
        <v>5414149.0099999998</v>
      </c>
      <c r="M18" s="4">
        <f t="shared" si="4"/>
        <v>255850.99000000022</v>
      </c>
      <c r="N18" s="4">
        <f>1200000-200000+200000</f>
        <v>1200000</v>
      </c>
      <c r="O18" s="4">
        <f t="shared" si="5"/>
        <v>6830000</v>
      </c>
      <c r="P18" s="4">
        <f t="shared" si="6"/>
        <v>255850.99000000022</v>
      </c>
      <c r="Q18" s="4"/>
      <c r="R18" s="4"/>
      <c r="S18" s="4">
        <f t="shared" si="7"/>
        <v>0</v>
      </c>
      <c r="T18" s="4">
        <f t="shared" si="8"/>
        <v>0</v>
      </c>
      <c r="U18" s="4">
        <f t="shared" si="9"/>
        <v>1200000</v>
      </c>
      <c r="V18" s="4">
        <f>U18-W18-Z18</f>
        <v>1200000</v>
      </c>
      <c r="W18" s="4"/>
      <c r="X18" s="4"/>
      <c r="Y18" s="4"/>
      <c r="Z18" s="4"/>
      <c r="AA18" s="58">
        <v>746000</v>
      </c>
      <c r="AB18" s="3"/>
      <c r="AC18" s="4">
        <v>750000</v>
      </c>
      <c r="AD18" s="4">
        <v>450000</v>
      </c>
      <c r="AE18" s="4"/>
      <c r="AF18" s="4"/>
      <c r="AG18" s="4"/>
      <c r="AH18" s="4"/>
      <c r="AI18" s="4"/>
      <c r="AJ18" s="4"/>
      <c r="AK18" s="4">
        <f t="shared" si="10"/>
        <v>1200000</v>
      </c>
      <c r="AL18" s="4"/>
      <c r="AM18" s="4">
        <f t="shared" si="11"/>
        <v>1200000</v>
      </c>
      <c r="AN18" s="4">
        <f t="shared" si="12"/>
        <v>0</v>
      </c>
      <c r="AO18" s="4">
        <f t="shared" si="13"/>
        <v>1200000</v>
      </c>
      <c r="AP18" s="4"/>
      <c r="AQ18" s="3"/>
      <c r="AR18" s="4"/>
      <c r="AS18" s="4"/>
      <c r="AT18" s="4">
        <f t="shared" si="14"/>
        <v>0</v>
      </c>
      <c r="AU18" s="3"/>
      <c r="AV18" s="3"/>
      <c r="AW18" s="3"/>
      <c r="AX18" s="4"/>
      <c r="AY18" s="4">
        <f t="shared" si="15"/>
        <v>0</v>
      </c>
      <c r="AZ18" s="4"/>
      <c r="BA18" s="3"/>
      <c r="BB18" s="3"/>
      <c r="BC18" s="3"/>
    </row>
    <row r="19" spans="1:55" s="5" customFormat="1">
      <c r="A19" s="3">
        <f t="shared" si="1"/>
        <v>11</v>
      </c>
      <c r="B19" s="3">
        <v>1504</v>
      </c>
      <c r="C19" s="3" t="s">
        <v>124</v>
      </c>
      <c r="D19" s="4">
        <v>1700000</v>
      </c>
      <c r="E19" s="4">
        <v>1700000</v>
      </c>
      <c r="F19" s="4">
        <f t="shared" si="0"/>
        <v>0</v>
      </c>
      <c r="G19" s="4">
        <v>1300000</v>
      </c>
      <c r="H19" s="4">
        <v>1249990.76</v>
      </c>
      <c r="I19" s="4"/>
      <c r="J19" s="4">
        <v>30945.3</v>
      </c>
      <c r="K19" s="4">
        <f t="shared" si="2"/>
        <v>30945.3</v>
      </c>
      <c r="L19" s="4">
        <f t="shared" si="3"/>
        <v>1280936.06</v>
      </c>
      <c r="M19" s="4">
        <f t="shared" si="4"/>
        <v>19063.939999999944</v>
      </c>
      <c r="N19" s="4">
        <v>100000</v>
      </c>
      <c r="O19" s="4">
        <f t="shared" si="5"/>
        <v>300000</v>
      </c>
      <c r="P19" s="4">
        <f t="shared" si="6"/>
        <v>19063.939999999944</v>
      </c>
      <c r="Q19" s="4"/>
      <c r="R19" s="4"/>
      <c r="S19" s="4">
        <f t="shared" si="7"/>
        <v>0</v>
      </c>
      <c r="T19" s="4">
        <f t="shared" si="8"/>
        <v>0</v>
      </c>
      <c r="U19" s="4">
        <f t="shared" si="9"/>
        <v>100000</v>
      </c>
      <c r="V19" s="4"/>
      <c r="W19" s="4">
        <f t="shared" ref="W19:W24" si="16">U19-V19-Y19-Z19</f>
        <v>100000</v>
      </c>
      <c r="X19" s="4"/>
      <c r="Y19" s="4"/>
      <c r="Z19" s="4"/>
      <c r="AA19" s="58">
        <v>746000</v>
      </c>
      <c r="AB19" s="3"/>
      <c r="AC19" s="4">
        <v>100000</v>
      </c>
      <c r="AD19" s="4"/>
      <c r="AE19" s="4"/>
      <c r="AF19" s="4"/>
      <c r="AG19" s="4"/>
      <c r="AH19" s="4"/>
      <c r="AI19" s="4"/>
      <c r="AJ19" s="4"/>
      <c r="AK19" s="4">
        <f t="shared" si="10"/>
        <v>100000</v>
      </c>
      <c r="AL19" s="4"/>
      <c r="AM19" s="4">
        <f t="shared" si="11"/>
        <v>100000</v>
      </c>
      <c r="AN19" s="4">
        <f t="shared" si="12"/>
        <v>0</v>
      </c>
      <c r="AO19" s="4">
        <f t="shared" si="13"/>
        <v>0</v>
      </c>
      <c r="AP19" s="4">
        <v>100000</v>
      </c>
      <c r="AQ19" s="3"/>
      <c r="AR19" s="4"/>
      <c r="AS19" s="4"/>
      <c r="AT19" s="4">
        <f t="shared" si="14"/>
        <v>0</v>
      </c>
      <c r="AU19" s="3"/>
      <c r="AV19" s="3"/>
      <c r="AW19" s="3"/>
      <c r="AX19" s="4"/>
      <c r="AY19" s="4">
        <f t="shared" si="15"/>
        <v>0</v>
      </c>
      <c r="AZ19" s="4"/>
      <c r="BA19" s="3"/>
      <c r="BB19" s="3"/>
      <c r="BC19" s="4"/>
    </row>
    <row r="20" spans="1:55" s="5" customFormat="1">
      <c r="A20" s="3">
        <f t="shared" si="1"/>
        <v>12</v>
      </c>
      <c r="B20" s="244">
        <v>1564</v>
      </c>
      <c r="C20" s="42" t="s">
        <v>962</v>
      </c>
      <c r="D20" s="4">
        <v>350000</v>
      </c>
      <c r="E20" s="4">
        <v>350000</v>
      </c>
      <c r="F20" s="4">
        <f t="shared" si="0"/>
        <v>0</v>
      </c>
      <c r="G20" s="4">
        <v>350000</v>
      </c>
      <c r="H20" s="4">
        <v>346999.99</v>
      </c>
      <c r="I20" s="4"/>
      <c r="J20" s="4"/>
      <c r="K20" s="4">
        <f t="shared" si="2"/>
        <v>0</v>
      </c>
      <c r="L20" s="4">
        <f t="shared" si="3"/>
        <v>346999.99</v>
      </c>
      <c r="M20" s="4">
        <f t="shared" si="4"/>
        <v>3000.0100000000093</v>
      </c>
      <c r="N20" s="4"/>
      <c r="O20" s="4">
        <f t="shared" si="5"/>
        <v>0</v>
      </c>
      <c r="P20" s="4">
        <f t="shared" si="6"/>
        <v>3000.0100000000093</v>
      </c>
      <c r="Q20" s="4"/>
      <c r="R20" s="4"/>
      <c r="S20" s="4">
        <f t="shared" si="7"/>
        <v>0</v>
      </c>
      <c r="T20" s="4">
        <f t="shared" si="8"/>
        <v>0</v>
      </c>
      <c r="U20" s="4">
        <f t="shared" si="9"/>
        <v>0</v>
      </c>
      <c r="V20" s="4"/>
      <c r="W20" s="4">
        <f t="shared" si="16"/>
        <v>0</v>
      </c>
      <c r="X20" s="4"/>
      <c r="Y20" s="4"/>
      <c r="Z20" s="4"/>
      <c r="AA20" s="58">
        <v>930000</v>
      </c>
      <c r="AB20" s="3"/>
      <c r="AC20" s="4"/>
      <c r="AD20" s="4"/>
      <c r="AE20" s="4"/>
      <c r="AF20" s="4"/>
      <c r="AG20" s="4"/>
      <c r="AH20" s="4"/>
      <c r="AI20" s="4"/>
      <c r="AJ20" s="4"/>
      <c r="AK20" s="4">
        <f t="shared" si="10"/>
        <v>0</v>
      </c>
      <c r="AL20" s="4"/>
      <c r="AM20" s="4">
        <f t="shared" si="11"/>
        <v>0</v>
      </c>
      <c r="AN20" s="4">
        <f t="shared" si="12"/>
        <v>0</v>
      </c>
      <c r="AO20" s="4">
        <f t="shared" si="13"/>
        <v>0</v>
      </c>
      <c r="AP20" s="4"/>
      <c r="AQ20" s="3"/>
      <c r="AR20" s="4"/>
      <c r="AS20" s="4"/>
      <c r="AT20" s="4">
        <f t="shared" si="14"/>
        <v>0</v>
      </c>
      <c r="AU20" s="3"/>
      <c r="AV20" s="3"/>
      <c r="AW20" s="3"/>
      <c r="AX20" s="4"/>
      <c r="AY20" s="4">
        <f t="shared" si="15"/>
        <v>0</v>
      </c>
      <c r="AZ20" s="3"/>
      <c r="BA20" s="3"/>
      <c r="BB20" s="3"/>
      <c r="BC20" s="4"/>
    </row>
    <row r="21" spans="1:55" s="5" customFormat="1">
      <c r="A21" s="3">
        <f t="shared" si="1"/>
        <v>13</v>
      </c>
      <c r="B21" s="3">
        <v>1629</v>
      </c>
      <c r="C21" s="3" t="s">
        <v>125</v>
      </c>
      <c r="D21" s="4">
        <v>1400000</v>
      </c>
      <c r="E21" s="4">
        <v>900000</v>
      </c>
      <c r="F21" s="4">
        <f t="shared" si="0"/>
        <v>500000</v>
      </c>
      <c r="G21" s="4">
        <v>350000</v>
      </c>
      <c r="H21" s="4">
        <v>230289.1</v>
      </c>
      <c r="I21" s="4"/>
      <c r="J21" s="4">
        <v>9832.2099999999991</v>
      </c>
      <c r="K21" s="4">
        <f t="shared" si="2"/>
        <v>9832.2099999999991</v>
      </c>
      <c r="L21" s="4">
        <f t="shared" si="3"/>
        <v>240121.31</v>
      </c>
      <c r="M21" s="4">
        <f t="shared" si="4"/>
        <v>109878.69</v>
      </c>
      <c r="N21" s="4">
        <v>100000</v>
      </c>
      <c r="O21" s="4">
        <f t="shared" si="5"/>
        <v>950000</v>
      </c>
      <c r="P21" s="4">
        <f t="shared" si="6"/>
        <v>109878.69</v>
      </c>
      <c r="Q21" s="4"/>
      <c r="R21" s="4"/>
      <c r="S21" s="4">
        <f t="shared" si="7"/>
        <v>0</v>
      </c>
      <c r="T21" s="4">
        <f t="shared" si="8"/>
        <v>0</v>
      </c>
      <c r="U21" s="4">
        <f t="shared" si="9"/>
        <v>100000</v>
      </c>
      <c r="V21" s="4"/>
      <c r="W21" s="4">
        <f t="shared" si="16"/>
        <v>100000</v>
      </c>
      <c r="X21" s="4"/>
      <c r="Y21" s="4"/>
      <c r="Z21" s="4"/>
      <c r="AA21" s="58">
        <v>746000</v>
      </c>
      <c r="AB21" s="3"/>
      <c r="AC21" s="4">
        <v>100000</v>
      </c>
      <c r="AD21" s="4"/>
      <c r="AE21" s="4"/>
      <c r="AF21" s="4"/>
      <c r="AG21" s="4"/>
      <c r="AH21" s="4"/>
      <c r="AI21" s="4"/>
      <c r="AJ21" s="4"/>
      <c r="AK21" s="4">
        <f t="shared" si="10"/>
        <v>100000</v>
      </c>
      <c r="AL21" s="4"/>
      <c r="AM21" s="4">
        <f t="shared" si="11"/>
        <v>100000</v>
      </c>
      <c r="AN21" s="4">
        <f t="shared" si="12"/>
        <v>0</v>
      </c>
      <c r="AO21" s="4">
        <f t="shared" si="13"/>
        <v>0</v>
      </c>
      <c r="AP21" s="4">
        <v>100000</v>
      </c>
      <c r="AQ21" s="3"/>
      <c r="AR21" s="4"/>
      <c r="AS21" s="4"/>
      <c r="AT21" s="4">
        <f t="shared" si="14"/>
        <v>0</v>
      </c>
      <c r="AU21" s="3"/>
      <c r="AV21" s="3"/>
      <c r="AW21" s="3"/>
      <c r="AX21" s="4"/>
      <c r="AY21" s="4">
        <f t="shared" si="15"/>
        <v>0</v>
      </c>
      <c r="AZ21" s="4"/>
      <c r="BA21" s="3"/>
      <c r="BB21" s="3"/>
      <c r="BC21" s="4"/>
    </row>
    <row r="22" spans="1:55" s="5" customFormat="1">
      <c r="A22" s="3">
        <f t="shared" si="1"/>
        <v>14</v>
      </c>
      <c r="B22" s="3">
        <v>1680</v>
      </c>
      <c r="C22" s="3" t="s">
        <v>126</v>
      </c>
      <c r="D22" s="4">
        <v>950000</v>
      </c>
      <c r="E22" s="4">
        <v>950000</v>
      </c>
      <c r="F22" s="4">
        <f t="shared" si="0"/>
        <v>0</v>
      </c>
      <c r="G22" s="4">
        <v>300000</v>
      </c>
      <c r="H22" s="4">
        <v>56511</v>
      </c>
      <c r="I22" s="4"/>
      <c r="J22" s="4">
        <v>44986.5</v>
      </c>
      <c r="K22" s="4">
        <f t="shared" si="2"/>
        <v>44986.5</v>
      </c>
      <c r="L22" s="4">
        <f t="shared" si="3"/>
        <v>101497.5</v>
      </c>
      <c r="M22" s="4">
        <f t="shared" si="4"/>
        <v>198502.5</v>
      </c>
      <c r="N22" s="4">
        <f>400000-200000+200000</f>
        <v>400000</v>
      </c>
      <c r="O22" s="4">
        <f t="shared" si="5"/>
        <v>250000</v>
      </c>
      <c r="P22" s="4">
        <f t="shared" si="6"/>
        <v>198502.5</v>
      </c>
      <c r="Q22" s="4"/>
      <c r="R22" s="4"/>
      <c r="S22" s="4">
        <f t="shared" si="7"/>
        <v>0</v>
      </c>
      <c r="T22" s="4">
        <f t="shared" si="8"/>
        <v>0</v>
      </c>
      <c r="U22" s="4">
        <f t="shared" si="9"/>
        <v>400000</v>
      </c>
      <c r="V22" s="4"/>
      <c r="W22" s="4">
        <f t="shared" si="16"/>
        <v>400000</v>
      </c>
      <c r="X22" s="4"/>
      <c r="Y22" s="4"/>
      <c r="Z22" s="4"/>
      <c r="AA22" s="58">
        <v>746000</v>
      </c>
      <c r="AB22" s="3"/>
      <c r="AC22" s="4"/>
      <c r="AD22" s="4"/>
      <c r="AE22" s="4"/>
      <c r="AF22" s="4"/>
      <c r="AG22" s="4"/>
      <c r="AH22" s="4"/>
      <c r="AI22" s="4"/>
      <c r="AJ22" s="4"/>
      <c r="AK22" s="4">
        <f t="shared" si="10"/>
        <v>0</v>
      </c>
      <c r="AL22" s="4"/>
      <c r="AM22" s="4">
        <f t="shared" si="11"/>
        <v>0</v>
      </c>
      <c r="AN22" s="4">
        <f t="shared" si="12"/>
        <v>400000</v>
      </c>
      <c r="AO22" s="4">
        <f t="shared" si="13"/>
        <v>0</v>
      </c>
      <c r="AP22" s="4"/>
      <c r="AQ22" s="3"/>
      <c r="AR22" s="4"/>
      <c r="AS22" s="4"/>
      <c r="AT22" s="4">
        <f t="shared" si="14"/>
        <v>0</v>
      </c>
      <c r="AU22" s="3"/>
      <c r="AV22" s="3"/>
      <c r="AW22" s="3"/>
      <c r="AX22" s="4"/>
      <c r="AY22" s="4">
        <f t="shared" si="15"/>
        <v>0</v>
      </c>
      <c r="AZ22" s="4">
        <v>400000</v>
      </c>
      <c r="BA22" s="3"/>
      <c r="BB22" s="3"/>
      <c r="BC22" s="4"/>
    </row>
    <row r="23" spans="1:55" s="5" customFormat="1">
      <c r="A23" s="3">
        <f t="shared" si="1"/>
        <v>15</v>
      </c>
      <c r="B23" s="3">
        <v>1861</v>
      </c>
      <c r="C23" s="3" t="s">
        <v>241</v>
      </c>
      <c r="D23" s="4">
        <v>270000</v>
      </c>
      <c r="E23" s="4">
        <v>270000</v>
      </c>
      <c r="F23" s="4">
        <f t="shared" si="0"/>
        <v>0</v>
      </c>
      <c r="G23" s="4">
        <v>270000</v>
      </c>
      <c r="H23" s="4">
        <v>0</v>
      </c>
      <c r="I23" s="4"/>
      <c r="J23" s="4">
        <v>120818.19</v>
      </c>
      <c r="K23" s="4">
        <f t="shared" si="2"/>
        <v>120818.19</v>
      </c>
      <c r="L23" s="4">
        <f t="shared" si="3"/>
        <v>120818.19</v>
      </c>
      <c r="M23" s="4">
        <f t="shared" si="4"/>
        <v>149181.81</v>
      </c>
      <c r="N23" s="4"/>
      <c r="O23" s="4">
        <f t="shared" si="5"/>
        <v>0</v>
      </c>
      <c r="P23" s="4">
        <f t="shared" si="6"/>
        <v>149181.81</v>
      </c>
      <c r="Q23" s="4"/>
      <c r="R23" s="4"/>
      <c r="S23" s="4">
        <f t="shared" si="7"/>
        <v>0</v>
      </c>
      <c r="T23" s="4">
        <f t="shared" si="8"/>
        <v>0</v>
      </c>
      <c r="U23" s="4">
        <f t="shared" si="9"/>
        <v>0</v>
      </c>
      <c r="V23" s="4"/>
      <c r="W23" s="4">
        <f t="shared" si="16"/>
        <v>0</v>
      </c>
      <c r="X23" s="4"/>
      <c r="Y23" s="4"/>
      <c r="Z23" s="4"/>
      <c r="AA23" s="58">
        <v>714000</v>
      </c>
      <c r="AB23" s="3"/>
      <c r="AC23" s="4"/>
      <c r="AD23" s="4"/>
      <c r="AE23" s="4"/>
      <c r="AF23" s="4"/>
      <c r="AG23" s="4"/>
      <c r="AH23" s="4"/>
      <c r="AI23" s="4"/>
      <c r="AJ23" s="4"/>
      <c r="AK23" s="4">
        <f t="shared" si="10"/>
        <v>0</v>
      </c>
      <c r="AL23" s="4"/>
      <c r="AM23" s="4">
        <f t="shared" si="11"/>
        <v>0</v>
      </c>
      <c r="AN23" s="4">
        <f t="shared" si="12"/>
        <v>0</v>
      </c>
      <c r="AO23" s="4">
        <f t="shared" si="13"/>
        <v>0</v>
      </c>
      <c r="AP23" s="4"/>
      <c r="AQ23" s="3"/>
      <c r="AR23" s="4"/>
      <c r="AS23" s="4"/>
      <c r="AT23" s="4">
        <f t="shared" si="14"/>
        <v>0</v>
      </c>
      <c r="AU23" s="3"/>
      <c r="AV23" s="3"/>
      <c r="AW23" s="3"/>
      <c r="AX23" s="4"/>
      <c r="AY23" s="4">
        <f t="shared" si="15"/>
        <v>0</v>
      </c>
      <c r="AZ23" s="3"/>
      <c r="BA23" s="3"/>
      <c r="BB23" s="3"/>
      <c r="BC23" s="4"/>
    </row>
    <row r="24" spans="1:55" s="5" customFormat="1">
      <c r="A24" s="3">
        <f t="shared" si="1"/>
        <v>16</v>
      </c>
      <c r="B24" s="3">
        <v>1899</v>
      </c>
      <c r="C24" s="3" t="s">
        <v>274</v>
      </c>
      <c r="D24" s="4">
        <v>500000</v>
      </c>
      <c r="E24" s="4">
        <v>380000</v>
      </c>
      <c r="F24" s="4">
        <f t="shared" si="0"/>
        <v>120000</v>
      </c>
      <c r="G24" s="4">
        <v>170000</v>
      </c>
      <c r="H24" s="4">
        <v>62946</v>
      </c>
      <c r="I24" s="4"/>
      <c r="J24" s="4">
        <v>107037.45</v>
      </c>
      <c r="K24" s="4">
        <f t="shared" si="2"/>
        <v>107037.45</v>
      </c>
      <c r="L24" s="4">
        <f t="shared" si="3"/>
        <v>169983.45</v>
      </c>
      <c r="M24" s="4">
        <f t="shared" si="4"/>
        <v>16.549999999988358</v>
      </c>
      <c r="N24" s="4"/>
      <c r="O24" s="4">
        <f t="shared" si="5"/>
        <v>330000</v>
      </c>
      <c r="P24" s="4">
        <f t="shared" si="6"/>
        <v>16.549999999988358</v>
      </c>
      <c r="Q24" s="4"/>
      <c r="R24" s="4"/>
      <c r="S24" s="4">
        <f t="shared" si="7"/>
        <v>0</v>
      </c>
      <c r="T24" s="4">
        <f t="shared" si="8"/>
        <v>0</v>
      </c>
      <c r="U24" s="4">
        <f t="shared" si="9"/>
        <v>0</v>
      </c>
      <c r="V24" s="4"/>
      <c r="W24" s="4">
        <f t="shared" si="16"/>
        <v>0</v>
      </c>
      <c r="X24" s="4"/>
      <c r="Y24" s="4"/>
      <c r="Z24" s="4"/>
      <c r="AA24" s="58">
        <v>870000</v>
      </c>
      <c r="AB24" s="3"/>
      <c r="AC24" s="4"/>
      <c r="AD24" s="4"/>
      <c r="AE24" s="4"/>
      <c r="AF24" s="4"/>
      <c r="AG24" s="4"/>
      <c r="AH24" s="4"/>
      <c r="AI24" s="4"/>
      <c r="AJ24" s="4"/>
      <c r="AK24" s="4">
        <f t="shared" si="10"/>
        <v>0</v>
      </c>
      <c r="AL24" s="4"/>
      <c r="AM24" s="4">
        <f t="shared" si="11"/>
        <v>0</v>
      </c>
      <c r="AN24" s="4">
        <f t="shared" si="12"/>
        <v>0</v>
      </c>
      <c r="AO24" s="4">
        <f t="shared" si="13"/>
        <v>0</v>
      </c>
      <c r="AP24" s="4"/>
      <c r="AQ24" s="3"/>
      <c r="AR24" s="4"/>
      <c r="AS24" s="4"/>
      <c r="AT24" s="4">
        <f t="shared" si="14"/>
        <v>0</v>
      </c>
      <c r="AU24" s="3"/>
      <c r="AV24" s="3"/>
      <c r="AW24" s="3"/>
      <c r="AX24" s="4"/>
      <c r="AY24" s="4">
        <f t="shared" si="15"/>
        <v>0</v>
      </c>
      <c r="AZ24" s="3"/>
      <c r="BA24" s="3"/>
      <c r="BB24" s="3"/>
      <c r="BC24" s="4"/>
    </row>
    <row r="25" spans="1:55" s="5" customFormat="1">
      <c r="A25" s="3">
        <f t="shared" si="1"/>
        <v>17</v>
      </c>
      <c r="B25" s="3">
        <v>1971</v>
      </c>
      <c r="C25" s="3" t="s">
        <v>275</v>
      </c>
      <c r="D25" s="4">
        <v>2500000</v>
      </c>
      <c r="E25" s="4">
        <v>2500000</v>
      </c>
      <c r="F25" s="4">
        <f t="shared" si="0"/>
        <v>0</v>
      </c>
      <c r="G25" s="4">
        <v>500000</v>
      </c>
      <c r="H25" s="4">
        <v>0</v>
      </c>
      <c r="I25" s="4"/>
      <c r="J25" s="4">
        <v>81900</v>
      </c>
      <c r="K25" s="4">
        <f t="shared" si="2"/>
        <v>81900</v>
      </c>
      <c r="L25" s="4">
        <f t="shared" si="3"/>
        <v>81900</v>
      </c>
      <c r="M25" s="4">
        <f t="shared" si="4"/>
        <v>418100</v>
      </c>
      <c r="N25" s="4">
        <f>2000000-2000000</f>
        <v>0</v>
      </c>
      <c r="O25" s="4">
        <f t="shared" si="5"/>
        <v>2000000</v>
      </c>
      <c r="P25" s="4">
        <f t="shared" si="6"/>
        <v>418100</v>
      </c>
      <c r="Q25" s="4"/>
      <c r="R25" s="4"/>
      <c r="S25" s="4">
        <f t="shared" si="7"/>
        <v>0</v>
      </c>
      <c r="T25" s="4">
        <f t="shared" si="8"/>
        <v>0</v>
      </c>
      <c r="U25" s="4">
        <f t="shared" si="9"/>
        <v>0</v>
      </c>
      <c r="V25" s="4">
        <f t="shared" ref="V25:V30" si="17">U25-W25-Z25</f>
        <v>0</v>
      </c>
      <c r="W25" s="4"/>
      <c r="X25" s="4"/>
      <c r="Y25" s="4"/>
      <c r="Z25" s="4"/>
      <c r="AA25" s="58">
        <v>746000</v>
      </c>
      <c r="AB25" s="3"/>
      <c r="AC25" s="4"/>
      <c r="AD25" s="4"/>
      <c r="AE25" s="4"/>
      <c r="AF25" s="4"/>
      <c r="AG25" s="4"/>
      <c r="AH25" s="4"/>
      <c r="AI25" s="4"/>
      <c r="AJ25" s="4"/>
      <c r="AK25" s="4">
        <f t="shared" si="10"/>
        <v>0</v>
      </c>
      <c r="AL25" s="4"/>
      <c r="AM25" s="4">
        <f t="shared" si="11"/>
        <v>0</v>
      </c>
      <c r="AN25" s="4">
        <f t="shared" si="12"/>
        <v>0</v>
      </c>
      <c r="AO25" s="4">
        <f t="shared" si="13"/>
        <v>0</v>
      </c>
      <c r="AP25" s="3"/>
      <c r="AQ25" s="3"/>
      <c r="AR25" s="4"/>
      <c r="AS25" s="4"/>
      <c r="AT25" s="4">
        <f t="shared" si="14"/>
        <v>0</v>
      </c>
      <c r="AU25" s="3"/>
      <c r="AV25" s="3"/>
      <c r="AW25" s="3"/>
      <c r="AX25" s="4"/>
      <c r="AY25" s="4">
        <f t="shared" si="15"/>
        <v>0</v>
      </c>
      <c r="AZ25" s="3"/>
      <c r="BA25" s="3"/>
      <c r="BB25" s="3"/>
      <c r="BC25" s="4"/>
    </row>
    <row r="26" spans="1:55" s="5" customFormat="1">
      <c r="A26" s="3">
        <f t="shared" si="1"/>
        <v>18</v>
      </c>
      <c r="B26" s="3">
        <v>1972</v>
      </c>
      <c r="C26" s="3" t="s">
        <v>963</v>
      </c>
      <c r="D26" s="4">
        <v>4470000</v>
      </c>
      <c r="E26" s="4">
        <v>4470000</v>
      </c>
      <c r="F26" s="4">
        <f t="shared" si="0"/>
        <v>0</v>
      </c>
      <c r="G26" s="4">
        <v>650000</v>
      </c>
      <c r="H26" s="4">
        <v>0</v>
      </c>
      <c r="I26" s="4"/>
      <c r="J26" s="4">
        <v>149877</v>
      </c>
      <c r="K26" s="4">
        <f t="shared" si="2"/>
        <v>149877</v>
      </c>
      <c r="L26" s="4">
        <f t="shared" si="3"/>
        <v>149877</v>
      </c>
      <c r="M26" s="4">
        <f t="shared" si="4"/>
        <v>500123</v>
      </c>
      <c r="N26" s="4">
        <f>3820000-1820000</f>
        <v>2000000</v>
      </c>
      <c r="O26" s="4">
        <f t="shared" si="5"/>
        <v>1820000</v>
      </c>
      <c r="P26" s="4">
        <f t="shared" si="6"/>
        <v>500123</v>
      </c>
      <c r="Q26" s="4"/>
      <c r="R26" s="4"/>
      <c r="S26" s="4">
        <f t="shared" si="7"/>
        <v>0</v>
      </c>
      <c r="T26" s="4">
        <f t="shared" si="8"/>
        <v>0</v>
      </c>
      <c r="U26" s="4">
        <f t="shared" si="9"/>
        <v>2000000</v>
      </c>
      <c r="V26" s="4">
        <f t="shared" si="17"/>
        <v>2000000</v>
      </c>
      <c r="W26" s="4"/>
      <c r="X26" s="4"/>
      <c r="Y26" s="4"/>
      <c r="Z26" s="4"/>
      <c r="AA26" s="58">
        <v>746000</v>
      </c>
      <c r="AB26" s="3"/>
      <c r="AC26" s="4">
        <v>250000</v>
      </c>
      <c r="AD26" s="4"/>
      <c r="AE26" s="4"/>
      <c r="AF26" s="4"/>
      <c r="AG26" s="4"/>
      <c r="AH26" s="4"/>
      <c r="AI26" s="4"/>
      <c r="AJ26" s="4"/>
      <c r="AK26" s="4">
        <f t="shared" si="10"/>
        <v>250000</v>
      </c>
      <c r="AL26" s="4"/>
      <c r="AM26" s="4">
        <f t="shared" si="11"/>
        <v>250000</v>
      </c>
      <c r="AN26" s="4">
        <f t="shared" si="12"/>
        <v>1750000</v>
      </c>
      <c r="AO26" s="4">
        <f t="shared" si="13"/>
        <v>250000</v>
      </c>
      <c r="AP26" s="3"/>
      <c r="AQ26" s="3"/>
      <c r="AR26" s="4"/>
      <c r="AS26" s="4"/>
      <c r="AT26" s="4">
        <f t="shared" si="14"/>
        <v>0</v>
      </c>
      <c r="AU26" s="3"/>
      <c r="AV26" s="3"/>
      <c r="AW26" s="3"/>
      <c r="AX26" s="4"/>
      <c r="AY26" s="4">
        <f t="shared" si="15"/>
        <v>1750000</v>
      </c>
      <c r="AZ26" s="3"/>
      <c r="BA26" s="3"/>
      <c r="BB26" s="3"/>
      <c r="BC26" s="4"/>
    </row>
    <row r="27" spans="1:55" s="5" customFormat="1">
      <c r="A27" s="3">
        <f t="shared" si="1"/>
        <v>19</v>
      </c>
      <c r="B27" s="3">
        <v>1973</v>
      </c>
      <c r="C27" s="3" t="s">
        <v>276</v>
      </c>
      <c r="D27" s="4">
        <v>1800000</v>
      </c>
      <c r="E27" s="4">
        <v>1800000</v>
      </c>
      <c r="F27" s="4">
        <f t="shared" si="0"/>
        <v>0</v>
      </c>
      <c r="G27" s="4">
        <v>400000</v>
      </c>
      <c r="H27" s="4">
        <v>110838.29</v>
      </c>
      <c r="I27" s="4"/>
      <c r="J27" s="4">
        <v>207295.54</v>
      </c>
      <c r="K27" s="4">
        <f t="shared" si="2"/>
        <v>207295.54</v>
      </c>
      <c r="L27" s="4">
        <f t="shared" si="3"/>
        <v>318133.83</v>
      </c>
      <c r="M27" s="4">
        <f t="shared" si="4"/>
        <v>281866.17</v>
      </c>
      <c r="N27" s="4">
        <f>600000-100000</f>
        <v>500000</v>
      </c>
      <c r="O27" s="4">
        <f t="shared" si="5"/>
        <v>700000</v>
      </c>
      <c r="P27" s="4">
        <f t="shared" si="6"/>
        <v>81866.169999999984</v>
      </c>
      <c r="Q27" s="4">
        <v>200000</v>
      </c>
      <c r="R27" s="4"/>
      <c r="S27" s="4">
        <f t="shared" si="7"/>
        <v>200000</v>
      </c>
      <c r="T27" s="4">
        <f t="shared" si="8"/>
        <v>0</v>
      </c>
      <c r="U27" s="4">
        <f t="shared" si="9"/>
        <v>500000</v>
      </c>
      <c r="V27" s="4"/>
      <c r="W27" s="4">
        <f>U27-V27-Y27-Z27</f>
        <v>500000</v>
      </c>
      <c r="X27" s="4"/>
      <c r="Y27" s="4"/>
      <c r="Z27" s="4"/>
      <c r="AA27" s="58">
        <v>742000</v>
      </c>
      <c r="AB27" s="3"/>
      <c r="AC27" s="4"/>
      <c r="AD27" s="4"/>
      <c r="AE27" s="4"/>
      <c r="AF27" s="520">
        <v>300000</v>
      </c>
      <c r="AG27" s="4"/>
      <c r="AH27" s="4"/>
      <c r="AI27" s="4"/>
      <c r="AJ27" s="4"/>
      <c r="AK27" s="4">
        <f t="shared" si="10"/>
        <v>300000</v>
      </c>
      <c r="AL27" s="4"/>
      <c r="AM27" s="4">
        <f t="shared" si="11"/>
        <v>300000</v>
      </c>
      <c r="AN27" s="4">
        <f t="shared" si="12"/>
        <v>200000</v>
      </c>
      <c r="AO27" s="4">
        <f t="shared" si="13"/>
        <v>0</v>
      </c>
      <c r="AP27" s="4">
        <v>300000</v>
      </c>
      <c r="AQ27" s="3"/>
      <c r="AR27" s="4"/>
      <c r="AS27" s="4"/>
      <c r="AT27" s="4">
        <f t="shared" si="14"/>
        <v>0</v>
      </c>
      <c r="AU27" s="3"/>
      <c r="AV27" s="3"/>
      <c r="AW27" s="3"/>
      <c r="AX27" s="4"/>
      <c r="AY27" s="4">
        <f t="shared" si="15"/>
        <v>0</v>
      </c>
      <c r="AZ27" s="4">
        <v>200000</v>
      </c>
      <c r="BA27" s="3"/>
      <c r="BB27" s="3"/>
      <c r="BC27" s="4"/>
    </row>
    <row r="28" spans="1:55" s="5" customFormat="1">
      <c r="A28" s="3">
        <f t="shared" si="1"/>
        <v>20</v>
      </c>
      <c r="B28" s="3">
        <v>1974</v>
      </c>
      <c r="C28" s="3" t="s">
        <v>335</v>
      </c>
      <c r="D28" s="4">
        <v>500000</v>
      </c>
      <c r="E28" s="4">
        <v>500000</v>
      </c>
      <c r="F28" s="4">
        <f t="shared" si="0"/>
        <v>0</v>
      </c>
      <c r="G28" s="4">
        <v>200000</v>
      </c>
      <c r="H28" s="4">
        <v>0</v>
      </c>
      <c r="I28" s="4"/>
      <c r="J28" s="4">
        <v>16110.71</v>
      </c>
      <c r="K28" s="4">
        <f t="shared" si="2"/>
        <v>16110.71</v>
      </c>
      <c r="L28" s="4">
        <f t="shared" si="3"/>
        <v>16110.71</v>
      </c>
      <c r="M28" s="4">
        <f>P28+S28-100000</f>
        <v>83889.290000000008</v>
      </c>
      <c r="N28" s="4"/>
      <c r="O28" s="4">
        <f t="shared" si="5"/>
        <v>400000</v>
      </c>
      <c r="P28" s="4">
        <f t="shared" si="6"/>
        <v>183889.29</v>
      </c>
      <c r="Q28" s="4"/>
      <c r="R28" s="4"/>
      <c r="S28" s="4">
        <f t="shared" si="7"/>
        <v>0</v>
      </c>
      <c r="T28" s="4">
        <f t="shared" si="8"/>
        <v>100000</v>
      </c>
      <c r="U28" s="4">
        <f t="shared" si="9"/>
        <v>-100000</v>
      </c>
      <c r="V28" s="4">
        <f t="shared" si="17"/>
        <v>-100000</v>
      </c>
      <c r="W28" s="4"/>
      <c r="X28" s="4"/>
      <c r="Y28" s="4"/>
      <c r="Z28" s="4"/>
      <c r="AA28" s="58">
        <v>746000</v>
      </c>
      <c r="AB28" s="3"/>
      <c r="AC28" s="4"/>
      <c r="AD28" s="4">
        <v>-100000</v>
      </c>
      <c r="AE28" s="4"/>
      <c r="AF28" s="4"/>
      <c r="AG28" s="4"/>
      <c r="AH28" s="4"/>
      <c r="AI28" s="4"/>
      <c r="AJ28" s="4"/>
      <c r="AK28" s="4">
        <f t="shared" si="10"/>
        <v>-100000</v>
      </c>
      <c r="AL28" s="4"/>
      <c r="AM28" s="4">
        <f t="shared" si="11"/>
        <v>-100000</v>
      </c>
      <c r="AN28" s="4">
        <f t="shared" si="12"/>
        <v>0</v>
      </c>
      <c r="AO28" s="4">
        <f t="shared" si="13"/>
        <v>-100000</v>
      </c>
      <c r="AP28" s="4"/>
      <c r="AQ28" s="3"/>
      <c r="AR28" s="4"/>
      <c r="AS28" s="4"/>
      <c r="AT28" s="4">
        <f t="shared" si="14"/>
        <v>0</v>
      </c>
      <c r="AU28" s="3"/>
      <c r="AV28" s="3"/>
      <c r="AW28" s="3"/>
      <c r="AX28" s="4"/>
      <c r="AY28" s="4">
        <f t="shared" si="15"/>
        <v>0</v>
      </c>
      <c r="AZ28" s="3"/>
      <c r="BA28" s="3"/>
      <c r="BB28" s="3"/>
      <c r="BC28" s="4"/>
    </row>
    <row r="29" spans="1:55" s="5" customFormat="1">
      <c r="A29" s="3">
        <f t="shared" si="1"/>
        <v>21</v>
      </c>
      <c r="B29" s="3">
        <v>1989</v>
      </c>
      <c r="C29" s="3" t="s">
        <v>336</v>
      </c>
      <c r="D29" s="4">
        <v>860000</v>
      </c>
      <c r="E29" s="4">
        <v>860000</v>
      </c>
      <c r="F29" s="4">
        <f t="shared" si="0"/>
        <v>0</v>
      </c>
      <c r="G29" s="4">
        <v>0</v>
      </c>
      <c r="H29" s="4">
        <v>0</v>
      </c>
      <c r="I29" s="4"/>
      <c r="J29" s="4"/>
      <c r="K29" s="4">
        <f t="shared" si="2"/>
        <v>0</v>
      </c>
      <c r="L29" s="4">
        <f t="shared" si="3"/>
        <v>0</v>
      </c>
      <c r="M29" s="4">
        <f t="shared" si="4"/>
        <v>0</v>
      </c>
      <c r="N29" s="4">
        <v>860000</v>
      </c>
      <c r="O29" s="4">
        <f t="shared" si="5"/>
        <v>0</v>
      </c>
      <c r="P29" s="4">
        <f t="shared" si="6"/>
        <v>0</v>
      </c>
      <c r="Q29" s="4"/>
      <c r="R29" s="4"/>
      <c r="S29" s="4">
        <f t="shared" si="7"/>
        <v>0</v>
      </c>
      <c r="T29" s="4">
        <f t="shared" si="8"/>
        <v>0</v>
      </c>
      <c r="U29" s="4">
        <f t="shared" si="9"/>
        <v>860000</v>
      </c>
      <c r="V29" s="4">
        <f t="shared" si="17"/>
        <v>660000</v>
      </c>
      <c r="W29" s="4"/>
      <c r="X29" s="4"/>
      <c r="Y29" s="4"/>
      <c r="Z29" s="4">
        <v>200000</v>
      </c>
      <c r="AA29" s="58">
        <v>746000</v>
      </c>
      <c r="AB29" s="3"/>
      <c r="AC29" s="4"/>
      <c r="AD29" s="4"/>
      <c r="AE29" s="4"/>
      <c r="AF29" s="4"/>
      <c r="AG29" s="4">
        <f>460000+45000</f>
        <v>505000</v>
      </c>
      <c r="AH29" s="4"/>
      <c r="AI29" s="4"/>
      <c r="AJ29" s="4"/>
      <c r="AK29" s="4">
        <f t="shared" si="10"/>
        <v>505000</v>
      </c>
      <c r="AL29" s="4"/>
      <c r="AM29" s="4">
        <f t="shared" si="11"/>
        <v>505000</v>
      </c>
      <c r="AN29" s="4">
        <f t="shared" si="12"/>
        <v>355000</v>
      </c>
      <c r="AO29" s="4">
        <f t="shared" si="13"/>
        <v>505000</v>
      </c>
      <c r="AP29" s="4"/>
      <c r="AQ29" s="3"/>
      <c r="AR29" s="4"/>
      <c r="AS29" s="4"/>
      <c r="AT29" s="4">
        <f t="shared" si="14"/>
        <v>0</v>
      </c>
      <c r="AU29" s="3"/>
      <c r="AV29" s="3"/>
      <c r="AW29" s="3"/>
      <c r="AX29" s="4"/>
      <c r="AY29" s="4">
        <f>AN29-AZ29-BC29</f>
        <v>155000</v>
      </c>
      <c r="AZ29" s="3"/>
      <c r="BA29" s="3"/>
      <c r="BB29" s="3"/>
      <c r="BC29" s="4">
        <v>200000</v>
      </c>
    </row>
    <row r="30" spans="1:55" s="5" customFormat="1">
      <c r="A30" s="3">
        <f t="shared" si="1"/>
        <v>22</v>
      </c>
      <c r="B30" s="244">
        <v>2006</v>
      </c>
      <c r="C30" s="244" t="s">
        <v>983</v>
      </c>
      <c r="D30" s="4">
        <f>950000+30000</f>
        <v>980000</v>
      </c>
      <c r="E30" s="4">
        <f>950000+30000</f>
        <v>980000</v>
      </c>
      <c r="F30" s="4">
        <f t="shared" si="0"/>
        <v>0</v>
      </c>
      <c r="G30" s="4"/>
      <c r="H30" s="4"/>
      <c r="I30" s="4"/>
      <c r="J30" s="4"/>
      <c r="K30" s="4">
        <f>I30+J30</f>
        <v>0</v>
      </c>
      <c r="L30" s="4">
        <f>H30+K30</f>
        <v>0</v>
      </c>
      <c r="M30" s="4">
        <f>P30+S30</f>
        <v>980000</v>
      </c>
      <c r="N30" s="4"/>
      <c r="O30" s="4">
        <f>D30-L30-M30-N30</f>
        <v>0</v>
      </c>
      <c r="P30" s="4">
        <f>G30-L30</f>
        <v>0</v>
      </c>
      <c r="Q30" s="4"/>
      <c r="R30" s="4">
        <f>950000+30000</f>
        <v>980000</v>
      </c>
      <c r="S30" s="4">
        <f>SUM(Q30:R30)</f>
        <v>980000</v>
      </c>
      <c r="T30" s="4">
        <f>P30-M30+S30</f>
        <v>0</v>
      </c>
      <c r="U30" s="4">
        <f>N30-T30</f>
        <v>0</v>
      </c>
      <c r="V30" s="4">
        <f t="shared" si="17"/>
        <v>0</v>
      </c>
      <c r="W30" s="4"/>
      <c r="X30" s="4"/>
      <c r="Y30" s="4"/>
      <c r="Z30" s="4"/>
      <c r="AA30" s="58">
        <v>746000</v>
      </c>
      <c r="AB30" s="3"/>
      <c r="AC30" s="4"/>
      <c r="AD30" s="4"/>
      <c r="AE30" s="4"/>
      <c r="AF30" s="4"/>
      <c r="AG30" s="4"/>
      <c r="AH30" s="4"/>
      <c r="AI30" s="4"/>
      <c r="AJ30" s="4"/>
      <c r="AK30" s="4">
        <f t="shared" si="10"/>
        <v>0</v>
      </c>
      <c r="AL30" s="4"/>
      <c r="AM30" s="4">
        <f t="shared" si="11"/>
        <v>0</v>
      </c>
      <c r="AN30" s="4">
        <f t="shared" si="12"/>
        <v>0</v>
      </c>
      <c r="AO30" s="4">
        <f t="shared" si="13"/>
        <v>0</v>
      </c>
      <c r="AP30" s="4"/>
      <c r="AQ30" s="3"/>
      <c r="AR30" s="4"/>
      <c r="AS30" s="4"/>
      <c r="AT30" s="4">
        <f t="shared" si="14"/>
        <v>0</v>
      </c>
      <c r="AU30" s="3"/>
      <c r="AV30" s="3"/>
      <c r="AW30" s="3"/>
      <c r="AX30" s="4"/>
      <c r="AY30" s="4">
        <f t="shared" si="15"/>
        <v>0</v>
      </c>
      <c r="AZ30" s="3"/>
      <c r="BA30" s="3"/>
      <c r="BB30" s="3"/>
      <c r="BC30" s="4"/>
    </row>
    <row r="31" spans="1:55" s="5" customFormat="1">
      <c r="A31" s="3">
        <f t="shared" si="1"/>
        <v>23</v>
      </c>
      <c r="B31" s="42">
        <v>2035</v>
      </c>
      <c r="C31" s="3" t="s">
        <v>363</v>
      </c>
      <c r="D31" s="4">
        <v>953000</v>
      </c>
      <c r="E31" s="4"/>
      <c r="F31" s="4">
        <f t="shared" si="0"/>
        <v>953000</v>
      </c>
      <c r="G31" s="4">
        <v>0</v>
      </c>
      <c r="H31" s="4">
        <v>0</v>
      </c>
      <c r="I31" s="4"/>
      <c r="J31" s="4"/>
      <c r="K31" s="4">
        <f t="shared" ref="K31:K38" si="18">I31+J31</f>
        <v>0</v>
      </c>
      <c r="L31" s="4">
        <f t="shared" ref="L31:L38" si="19">H31+K31</f>
        <v>0</v>
      </c>
      <c r="M31" s="4">
        <f t="shared" ref="M31:M38" si="20">P31+S31</f>
        <v>0</v>
      </c>
      <c r="N31" s="4">
        <v>953000</v>
      </c>
      <c r="O31" s="4">
        <f t="shared" ref="O31:O38" si="21">D31-L31-M31-N31</f>
        <v>0</v>
      </c>
      <c r="P31" s="4">
        <f t="shared" ref="P31:P38" si="22">G31-L31</f>
        <v>0</v>
      </c>
      <c r="Q31" s="4"/>
      <c r="R31" s="4"/>
      <c r="S31" s="4">
        <f t="shared" ref="S31:S38" si="23">SUM(Q31:R31)</f>
        <v>0</v>
      </c>
      <c r="T31" s="4">
        <f t="shared" ref="T31:T38" si="24">P31-M31+S31</f>
        <v>0</v>
      </c>
      <c r="U31" s="4">
        <f t="shared" ref="U31:U38" si="25">N31-T31</f>
        <v>953000</v>
      </c>
      <c r="V31" s="4">
        <f>U31-W31-Z31</f>
        <v>953000</v>
      </c>
      <c r="W31" s="4"/>
      <c r="X31" s="4"/>
      <c r="Y31" s="4"/>
      <c r="Z31" s="4"/>
      <c r="AA31" s="58">
        <v>746000</v>
      </c>
      <c r="AB31" s="3"/>
      <c r="AC31" s="4">
        <v>953000</v>
      </c>
      <c r="AD31" s="4"/>
      <c r="AE31" s="4"/>
      <c r="AF31" s="4"/>
      <c r="AG31" s="4"/>
      <c r="AH31" s="4"/>
      <c r="AI31" s="4"/>
      <c r="AJ31" s="4"/>
      <c r="AK31" s="4">
        <f t="shared" si="10"/>
        <v>953000</v>
      </c>
      <c r="AL31" s="4"/>
      <c r="AM31" s="4">
        <f t="shared" si="11"/>
        <v>953000</v>
      </c>
      <c r="AN31" s="4">
        <f t="shared" si="12"/>
        <v>0</v>
      </c>
      <c r="AO31" s="4">
        <f t="shared" si="13"/>
        <v>953000</v>
      </c>
      <c r="AP31" s="4"/>
      <c r="AQ31" s="4"/>
      <c r="AR31" s="4"/>
      <c r="AS31" s="4"/>
      <c r="AT31" s="4">
        <f t="shared" si="14"/>
        <v>0</v>
      </c>
      <c r="AU31" s="4"/>
      <c r="AV31" s="4"/>
      <c r="AW31" s="4"/>
      <c r="AX31" s="4"/>
      <c r="AY31" s="4">
        <f t="shared" si="15"/>
        <v>0</v>
      </c>
      <c r="AZ31" s="4"/>
      <c r="BA31" s="4"/>
      <c r="BB31" s="4"/>
      <c r="BC31" s="4"/>
    </row>
    <row r="32" spans="1:55" s="5" customFormat="1">
      <c r="A32" s="3">
        <f t="shared" si="1"/>
        <v>24</v>
      </c>
      <c r="B32" s="42">
        <v>2036</v>
      </c>
      <c r="C32" s="3" t="s">
        <v>364</v>
      </c>
      <c r="D32" s="4">
        <v>950000</v>
      </c>
      <c r="E32" s="4"/>
      <c r="F32" s="4">
        <f t="shared" si="0"/>
        <v>950000</v>
      </c>
      <c r="G32" s="4">
        <v>0</v>
      </c>
      <c r="H32" s="4">
        <v>0</v>
      </c>
      <c r="I32" s="4"/>
      <c r="J32" s="4"/>
      <c r="K32" s="4">
        <f t="shared" si="18"/>
        <v>0</v>
      </c>
      <c r="L32" s="4">
        <f t="shared" si="19"/>
        <v>0</v>
      </c>
      <c r="M32" s="4">
        <f t="shared" si="20"/>
        <v>0</v>
      </c>
      <c r="N32" s="4">
        <f>950000-450000</f>
        <v>500000</v>
      </c>
      <c r="O32" s="4">
        <f t="shared" si="21"/>
        <v>450000</v>
      </c>
      <c r="P32" s="4">
        <f t="shared" si="22"/>
        <v>0</v>
      </c>
      <c r="Q32" s="4"/>
      <c r="R32" s="4"/>
      <c r="S32" s="4">
        <f t="shared" si="23"/>
        <v>0</v>
      </c>
      <c r="T32" s="4">
        <f t="shared" si="24"/>
        <v>0</v>
      </c>
      <c r="U32" s="4">
        <f t="shared" si="25"/>
        <v>500000</v>
      </c>
      <c r="V32" s="4">
        <f>U32-W32-Z32</f>
        <v>500000</v>
      </c>
      <c r="W32" s="4"/>
      <c r="X32" s="4"/>
      <c r="Y32" s="4"/>
      <c r="Z32" s="4"/>
      <c r="AA32" s="58">
        <v>810000</v>
      </c>
      <c r="AB32" s="3"/>
      <c r="AC32" s="4"/>
      <c r="AD32" s="4">
        <v>500000</v>
      </c>
      <c r="AE32" s="4"/>
      <c r="AF32" s="4"/>
      <c r="AG32" s="4"/>
      <c r="AH32" s="4"/>
      <c r="AI32" s="4"/>
      <c r="AJ32" s="4"/>
      <c r="AK32" s="4">
        <f t="shared" si="10"/>
        <v>500000</v>
      </c>
      <c r="AL32" s="4"/>
      <c r="AM32" s="4">
        <f t="shared" si="11"/>
        <v>500000</v>
      </c>
      <c r="AN32" s="4">
        <f t="shared" si="12"/>
        <v>0</v>
      </c>
      <c r="AO32" s="4">
        <f t="shared" si="13"/>
        <v>500000</v>
      </c>
      <c r="AP32" s="4"/>
      <c r="AQ32" s="4"/>
      <c r="AR32" s="4"/>
      <c r="AS32" s="4"/>
      <c r="AT32" s="4">
        <f t="shared" si="14"/>
        <v>0</v>
      </c>
      <c r="AU32" s="4"/>
      <c r="AV32" s="4"/>
      <c r="AW32" s="4"/>
      <c r="AX32" s="4"/>
      <c r="AY32" s="4">
        <f t="shared" si="15"/>
        <v>0</v>
      </c>
      <c r="AZ32" s="4"/>
      <c r="BA32" s="4"/>
      <c r="BB32" s="4"/>
      <c r="BC32" s="4"/>
    </row>
    <row r="33" spans="1:55" s="5" customFormat="1">
      <c r="A33" s="3">
        <f t="shared" si="1"/>
        <v>25</v>
      </c>
      <c r="B33" s="42">
        <v>2037</v>
      </c>
      <c r="C33" s="3" t="s">
        <v>365</v>
      </c>
      <c r="D33" s="4">
        <v>5000000</v>
      </c>
      <c r="E33" s="4"/>
      <c r="F33" s="4">
        <f t="shared" si="0"/>
        <v>5000000</v>
      </c>
      <c r="G33" s="4">
        <v>0</v>
      </c>
      <c r="H33" s="4">
        <v>0</v>
      </c>
      <c r="I33" s="4"/>
      <c r="J33" s="4"/>
      <c r="K33" s="4">
        <f t="shared" si="18"/>
        <v>0</v>
      </c>
      <c r="L33" s="4">
        <f t="shared" si="19"/>
        <v>0</v>
      </c>
      <c r="M33" s="4">
        <f t="shared" si="20"/>
        <v>0</v>
      </c>
      <c r="N33" s="4">
        <f>2500000-1000000-500000</f>
        <v>1000000</v>
      </c>
      <c r="O33" s="4">
        <f t="shared" si="21"/>
        <v>4000000</v>
      </c>
      <c r="P33" s="4">
        <f t="shared" si="22"/>
        <v>0</v>
      </c>
      <c r="Q33" s="4"/>
      <c r="R33" s="4"/>
      <c r="S33" s="4">
        <f t="shared" si="23"/>
        <v>0</v>
      </c>
      <c r="T33" s="4">
        <f t="shared" si="24"/>
        <v>0</v>
      </c>
      <c r="U33" s="4">
        <f t="shared" si="25"/>
        <v>1000000</v>
      </c>
      <c r="V33" s="4">
        <f>2000000-1000000</f>
        <v>1000000</v>
      </c>
      <c r="W33" s="4">
        <f t="shared" ref="W33:W38" si="26">U33-V33-Y33-Z33</f>
        <v>0</v>
      </c>
      <c r="X33" s="4"/>
      <c r="Y33" s="4"/>
      <c r="Z33" s="4"/>
      <c r="AA33" s="58">
        <v>870000</v>
      </c>
      <c r="AB33" s="3"/>
      <c r="AC33" s="4"/>
      <c r="AD33" s="4">
        <v>500000</v>
      </c>
      <c r="AE33" s="4"/>
      <c r="AF33" s="4"/>
      <c r="AG33" s="4"/>
      <c r="AH33" s="4"/>
      <c r="AI33" s="4"/>
      <c r="AJ33" s="4"/>
      <c r="AK33" s="4">
        <f t="shared" si="10"/>
        <v>500000</v>
      </c>
      <c r="AL33" s="4"/>
      <c r="AM33" s="4">
        <f t="shared" si="11"/>
        <v>500000</v>
      </c>
      <c r="AN33" s="4">
        <f t="shared" si="12"/>
        <v>500000</v>
      </c>
      <c r="AO33" s="4">
        <f t="shared" si="13"/>
        <v>500000</v>
      </c>
      <c r="AP33" s="4"/>
      <c r="AQ33" s="4"/>
      <c r="AR33" s="4"/>
      <c r="AS33" s="4"/>
      <c r="AT33" s="4">
        <f t="shared" si="14"/>
        <v>0</v>
      </c>
      <c r="AU33" s="4"/>
      <c r="AV33" s="4"/>
      <c r="AW33" s="4"/>
      <c r="AX33" s="4"/>
      <c r="AY33" s="4">
        <f t="shared" si="15"/>
        <v>500000</v>
      </c>
      <c r="AZ33" s="4"/>
      <c r="BA33" s="4"/>
      <c r="BB33" s="4"/>
      <c r="BC33" s="4"/>
    </row>
    <row r="34" spans="1:55" s="5" customFormat="1">
      <c r="A34" s="3">
        <f t="shared" si="1"/>
        <v>26</v>
      </c>
      <c r="B34" s="42">
        <v>2038</v>
      </c>
      <c r="C34" s="3" t="s">
        <v>366</v>
      </c>
      <c r="D34" s="4">
        <v>1500000</v>
      </c>
      <c r="E34" s="4"/>
      <c r="F34" s="4">
        <f t="shared" si="0"/>
        <v>1500000</v>
      </c>
      <c r="G34" s="4">
        <v>0</v>
      </c>
      <c r="H34" s="4">
        <v>0</v>
      </c>
      <c r="I34" s="4"/>
      <c r="J34" s="4"/>
      <c r="K34" s="4">
        <f t="shared" si="18"/>
        <v>0</v>
      </c>
      <c r="L34" s="4">
        <f t="shared" si="19"/>
        <v>0</v>
      </c>
      <c r="M34" s="4">
        <f t="shared" si="20"/>
        <v>0</v>
      </c>
      <c r="N34" s="4">
        <v>1500000</v>
      </c>
      <c r="O34" s="4">
        <f t="shared" si="21"/>
        <v>0</v>
      </c>
      <c r="P34" s="4">
        <f t="shared" si="22"/>
        <v>0</v>
      </c>
      <c r="Q34" s="4"/>
      <c r="R34" s="4"/>
      <c r="S34" s="4">
        <f t="shared" si="23"/>
        <v>0</v>
      </c>
      <c r="T34" s="4">
        <f t="shared" si="24"/>
        <v>0</v>
      </c>
      <c r="U34" s="4">
        <f t="shared" si="25"/>
        <v>1500000</v>
      </c>
      <c r="V34" s="4">
        <f>1000000+500000</f>
        <v>1500000</v>
      </c>
      <c r="W34" s="4">
        <f t="shared" si="26"/>
        <v>0</v>
      </c>
      <c r="X34" s="4"/>
      <c r="Y34" s="4"/>
      <c r="Z34" s="4"/>
      <c r="AA34" s="58">
        <v>810000</v>
      </c>
      <c r="AB34" s="3"/>
      <c r="AC34" s="4">
        <v>500000</v>
      </c>
      <c r="AD34" s="4"/>
      <c r="AE34" s="4"/>
      <c r="AF34" s="4"/>
      <c r="AG34" s="4">
        <v>300000</v>
      </c>
      <c r="AH34" s="4">
        <v>700000</v>
      </c>
      <c r="AI34" s="4"/>
      <c r="AJ34" s="4"/>
      <c r="AK34" s="4">
        <f t="shared" si="10"/>
        <v>1500000</v>
      </c>
      <c r="AL34" s="4"/>
      <c r="AM34" s="4">
        <f t="shared" si="11"/>
        <v>1500000</v>
      </c>
      <c r="AN34" s="4">
        <f t="shared" si="12"/>
        <v>0</v>
      </c>
      <c r="AO34" s="4">
        <f t="shared" si="13"/>
        <v>1500000</v>
      </c>
      <c r="AP34" s="4"/>
      <c r="AQ34" s="4"/>
      <c r="AR34" s="4"/>
      <c r="AS34" s="4"/>
      <c r="AT34" s="4">
        <f t="shared" si="14"/>
        <v>0</v>
      </c>
      <c r="AU34" s="4"/>
      <c r="AV34" s="4"/>
      <c r="AW34" s="4"/>
      <c r="AX34" s="4"/>
      <c r="AY34" s="4">
        <f t="shared" si="15"/>
        <v>0</v>
      </c>
      <c r="AZ34" s="4"/>
      <c r="BA34" s="4"/>
      <c r="BB34" s="4"/>
      <c r="BC34" s="4"/>
    </row>
    <row r="35" spans="1:55" s="5" customFormat="1">
      <c r="A35" s="3">
        <f t="shared" si="1"/>
        <v>27</v>
      </c>
      <c r="B35" s="42">
        <v>2039</v>
      </c>
      <c r="C35" s="3" t="s">
        <v>367</v>
      </c>
      <c r="D35" s="4">
        <v>285000</v>
      </c>
      <c r="E35" s="4"/>
      <c r="F35" s="4">
        <f t="shared" si="0"/>
        <v>285000</v>
      </c>
      <c r="G35" s="4">
        <v>0</v>
      </c>
      <c r="H35" s="4">
        <v>0</v>
      </c>
      <c r="I35" s="4"/>
      <c r="J35" s="4"/>
      <c r="K35" s="4">
        <f t="shared" si="18"/>
        <v>0</v>
      </c>
      <c r="L35" s="4">
        <f t="shared" si="19"/>
        <v>0</v>
      </c>
      <c r="M35" s="4">
        <f t="shared" si="20"/>
        <v>0</v>
      </c>
      <c r="N35" s="4">
        <v>285000</v>
      </c>
      <c r="O35" s="4">
        <f t="shared" si="21"/>
        <v>0</v>
      </c>
      <c r="P35" s="4">
        <f t="shared" si="22"/>
        <v>0</v>
      </c>
      <c r="Q35" s="4"/>
      <c r="R35" s="4"/>
      <c r="S35" s="4">
        <f t="shared" si="23"/>
        <v>0</v>
      </c>
      <c r="T35" s="4">
        <f t="shared" si="24"/>
        <v>0</v>
      </c>
      <c r="U35" s="4">
        <f t="shared" si="25"/>
        <v>285000</v>
      </c>
      <c r="V35" s="4"/>
      <c r="W35" s="4">
        <f t="shared" si="26"/>
        <v>285000</v>
      </c>
      <c r="X35" s="4"/>
      <c r="Y35" s="4"/>
      <c r="Z35" s="4"/>
      <c r="AA35" s="58">
        <v>760000</v>
      </c>
      <c r="AB35" s="3"/>
      <c r="AC35" s="4">
        <v>285000</v>
      </c>
      <c r="AD35" s="4"/>
      <c r="AE35" s="4"/>
      <c r="AF35" s="4"/>
      <c r="AG35" s="4"/>
      <c r="AH35" s="4"/>
      <c r="AI35" s="4"/>
      <c r="AJ35" s="4"/>
      <c r="AK35" s="4">
        <f t="shared" si="10"/>
        <v>285000</v>
      </c>
      <c r="AL35" s="4"/>
      <c r="AM35" s="4">
        <f t="shared" si="11"/>
        <v>285000</v>
      </c>
      <c r="AN35" s="4">
        <f t="shared" si="12"/>
        <v>0</v>
      </c>
      <c r="AO35" s="4">
        <f t="shared" si="13"/>
        <v>0</v>
      </c>
      <c r="AP35" s="4">
        <v>285000</v>
      </c>
      <c r="AQ35" s="4"/>
      <c r="AR35" s="4"/>
      <c r="AS35" s="4"/>
      <c r="AT35" s="4">
        <f t="shared" si="14"/>
        <v>0</v>
      </c>
      <c r="AU35" s="4"/>
      <c r="AV35" s="4"/>
      <c r="AW35" s="4"/>
      <c r="AX35" s="4"/>
      <c r="AY35" s="4">
        <f t="shared" si="15"/>
        <v>0</v>
      </c>
      <c r="AZ35" s="4"/>
      <c r="BA35" s="4"/>
      <c r="BB35" s="4"/>
      <c r="BC35" s="4"/>
    </row>
    <row r="36" spans="1:55" s="5" customFormat="1">
      <c r="A36" s="3">
        <f t="shared" si="1"/>
        <v>28</v>
      </c>
      <c r="B36" s="42">
        <v>2040</v>
      </c>
      <c r="C36" s="3" t="s">
        <v>368</v>
      </c>
      <c r="D36" s="4">
        <v>410000</v>
      </c>
      <c r="E36" s="4"/>
      <c r="F36" s="4">
        <f t="shared" si="0"/>
        <v>410000</v>
      </c>
      <c r="G36" s="4">
        <v>0</v>
      </c>
      <c r="H36" s="4">
        <v>0</v>
      </c>
      <c r="I36" s="4"/>
      <c r="J36" s="4"/>
      <c r="K36" s="4">
        <f t="shared" si="18"/>
        <v>0</v>
      </c>
      <c r="L36" s="4">
        <f t="shared" si="19"/>
        <v>0</v>
      </c>
      <c r="M36" s="4">
        <f t="shared" si="20"/>
        <v>0</v>
      </c>
      <c r="N36" s="4">
        <v>410000</v>
      </c>
      <c r="O36" s="4">
        <f t="shared" si="21"/>
        <v>0</v>
      </c>
      <c r="P36" s="4">
        <f t="shared" si="22"/>
        <v>0</v>
      </c>
      <c r="Q36" s="4"/>
      <c r="R36" s="4"/>
      <c r="S36" s="4">
        <f t="shared" si="23"/>
        <v>0</v>
      </c>
      <c r="T36" s="4">
        <f t="shared" si="24"/>
        <v>0</v>
      </c>
      <c r="U36" s="4">
        <f t="shared" si="25"/>
        <v>410000</v>
      </c>
      <c r="V36" s="4">
        <v>210000</v>
      </c>
      <c r="W36" s="4">
        <f t="shared" si="26"/>
        <v>200000</v>
      </c>
      <c r="X36" s="4"/>
      <c r="Y36" s="4"/>
      <c r="Z36" s="4"/>
      <c r="AA36" s="58">
        <v>829000</v>
      </c>
      <c r="AB36" s="3"/>
      <c r="AC36" s="4">
        <v>410000</v>
      </c>
      <c r="AD36" s="4"/>
      <c r="AE36" s="4"/>
      <c r="AF36" s="4"/>
      <c r="AG36" s="4"/>
      <c r="AH36" s="4"/>
      <c r="AI36" s="4"/>
      <c r="AJ36" s="4"/>
      <c r="AK36" s="4">
        <f t="shared" si="10"/>
        <v>410000</v>
      </c>
      <c r="AL36" s="4"/>
      <c r="AM36" s="4">
        <f t="shared" si="11"/>
        <v>410000</v>
      </c>
      <c r="AN36" s="4">
        <f t="shared" si="12"/>
        <v>0</v>
      </c>
      <c r="AO36" s="4">
        <f t="shared" si="13"/>
        <v>210000</v>
      </c>
      <c r="AP36" s="4">
        <v>200000</v>
      </c>
      <c r="AQ36" s="4"/>
      <c r="AR36" s="4"/>
      <c r="AS36" s="4"/>
      <c r="AT36" s="4">
        <f t="shared" si="14"/>
        <v>0</v>
      </c>
      <c r="AU36" s="4"/>
      <c r="AV36" s="4"/>
      <c r="AW36" s="4"/>
      <c r="AX36" s="4"/>
      <c r="AY36" s="4">
        <f t="shared" si="15"/>
        <v>0</v>
      </c>
      <c r="AZ36" s="4"/>
      <c r="BA36" s="4"/>
      <c r="BB36" s="4"/>
      <c r="BC36" s="4"/>
    </row>
    <row r="37" spans="1:55" s="5" customFormat="1">
      <c r="A37" s="3">
        <f t="shared" si="1"/>
        <v>29</v>
      </c>
      <c r="B37" s="42">
        <v>2041</v>
      </c>
      <c r="C37" s="3" t="s">
        <v>369</v>
      </c>
      <c r="D37" s="4">
        <v>650000</v>
      </c>
      <c r="E37" s="4"/>
      <c r="F37" s="4">
        <f t="shared" si="0"/>
        <v>650000</v>
      </c>
      <c r="G37" s="4">
        <v>0</v>
      </c>
      <c r="H37" s="4">
        <v>0</v>
      </c>
      <c r="I37" s="4"/>
      <c r="J37" s="4"/>
      <c r="K37" s="4">
        <f t="shared" si="18"/>
        <v>0</v>
      </c>
      <c r="L37" s="4">
        <f t="shared" si="19"/>
        <v>0</v>
      </c>
      <c r="M37" s="4">
        <f t="shared" si="20"/>
        <v>0</v>
      </c>
      <c r="N37" s="4">
        <v>650000</v>
      </c>
      <c r="O37" s="4">
        <f t="shared" si="21"/>
        <v>0</v>
      </c>
      <c r="P37" s="4">
        <f t="shared" si="22"/>
        <v>0</v>
      </c>
      <c r="Q37" s="4"/>
      <c r="R37" s="4"/>
      <c r="S37" s="4">
        <f t="shared" si="23"/>
        <v>0</v>
      </c>
      <c r="T37" s="4">
        <f t="shared" si="24"/>
        <v>0</v>
      </c>
      <c r="U37" s="4">
        <f t="shared" si="25"/>
        <v>650000</v>
      </c>
      <c r="V37" s="4">
        <v>650000</v>
      </c>
      <c r="W37" s="4">
        <f t="shared" si="26"/>
        <v>0</v>
      </c>
      <c r="X37" s="4"/>
      <c r="Y37" s="4"/>
      <c r="Z37" s="4"/>
      <c r="AA37" s="58">
        <v>810000</v>
      </c>
      <c r="AB37" s="3"/>
      <c r="AC37" s="4">
        <v>650000</v>
      </c>
      <c r="AD37" s="4"/>
      <c r="AE37" s="4"/>
      <c r="AF37" s="4"/>
      <c r="AG37" s="4"/>
      <c r="AH37" s="4"/>
      <c r="AI37" s="4"/>
      <c r="AJ37" s="4"/>
      <c r="AK37" s="4">
        <f t="shared" si="10"/>
        <v>650000</v>
      </c>
      <c r="AL37" s="4"/>
      <c r="AM37" s="4">
        <f t="shared" si="11"/>
        <v>650000</v>
      </c>
      <c r="AN37" s="4">
        <f t="shared" si="12"/>
        <v>0</v>
      </c>
      <c r="AO37" s="4">
        <f t="shared" si="13"/>
        <v>650000</v>
      </c>
      <c r="AP37" s="4"/>
      <c r="AQ37" s="4"/>
      <c r="AR37" s="4"/>
      <c r="AS37" s="4"/>
      <c r="AT37" s="4">
        <f t="shared" si="14"/>
        <v>0</v>
      </c>
      <c r="AU37" s="4"/>
      <c r="AV37" s="4"/>
      <c r="AW37" s="4"/>
      <c r="AX37" s="4"/>
      <c r="AY37" s="4">
        <f t="shared" si="15"/>
        <v>0</v>
      </c>
      <c r="AZ37" s="4"/>
      <c r="BA37" s="4"/>
      <c r="BB37" s="4"/>
      <c r="BC37" s="4"/>
    </row>
    <row r="38" spans="1:55" s="5" customFormat="1" ht="28">
      <c r="A38" s="3">
        <f t="shared" si="1"/>
        <v>30</v>
      </c>
      <c r="B38" s="42">
        <v>2042</v>
      </c>
      <c r="C38" s="3" t="s">
        <v>583</v>
      </c>
      <c r="D38" s="4">
        <v>740000</v>
      </c>
      <c r="E38" s="4"/>
      <c r="F38" s="4">
        <f t="shared" si="0"/>
        <v>740000</v>
      </c>
      <c r="G38" s="4">
        <v>0</v>
      </c>
      <c r="H38" s="4">
        <v>0</v>
      </c>
      <c r="I38" s="4"/>
      <c r="J38" s="4"/>
      <c r="K38" s="4">
        <f t="shared" si="18"/>
        <v>0</v>
      </c>
      <c r="L38" s="4">
        <f t="shared" si="19"/>
        <v>0</v>
      </c>
      <c r="M38" s="4">
        <f t="shared" si="20"/>
        <v>0</v>
      </c>
      <c r="N38" s="4">
        <v>740000</v>
      </c>
      <c r="O38" s="4">
        <f t="shared" si="21"/>
        <v>0</v>
      </c>
      <c r="P38" s="4">
        <f t="shared" si="22"/>
        <v>0</v>
      </c>
      <c r="Q38" s="4"/>
      <c r="R38" s="4"/>
      <c r="S38" s="4">
        <f t="shared" si="23"/>
        <v>0</v>
      </c>
      <c r="T38" s="4">
        <f t="shared" si="24"/>
        <v>0</v>
      </c>
      <c r="U38" s="4">
        <f t="shared" si="25"/>
        <v>740000</v>
      </c>
      <c r="V38" s="4">
        <v>600000</v>
      </c>
      <c r="W38" s="4">
        <f t="shared" si="26"/>
        <v>140000</v>
      </c>
      <c r="X38" s="4"/>
      <c r="Y38" s="4"/>
      <c r="Z38" s="4"/>
      <c r="AA38" s="58">
        <v>746000</v>
      </c>
      <c r="AB38" s="3"/>
      <c r="AC38" s="4">
        <v>250000</v>
      </c>
      <c r="AD38" s="4"/>
      <c r="AE38" s="4"/>
      <c r="AF38" s="4"/>
      <c r="AG38" s="4"/>
      <c r="AH38" s="4"/>
      <c r="AI38" s="4"/>
      <c r="AJ38" s="4"/>
      <c r="AK38" s="4">
        <f t="shared" si="10"/>
        <v>250000</v>
      </c>
      <c r="AL38" s="4"/>
      <c r="AM38" s="4">
        <f t="shared" si="11"/>
        <v>250000</v>
      </c>
      <c r="AN38" s="4">
        <f t="shared" si="12"/>
        <v>490000</v>
      </c>
      <c r="AO38" s="4">
        <f t="shared" si="13"/>
        <v>110000</v>
      </c>
      <c r="AP38" s="4">
        <v>140000</v>
      </c>
      <c r="AQ38" s="4"/>
      <c r="AR38" s="4"/>
      <c r="AS38" s="4"/>
      <c r="AT38" s="4">
        <f t="shared" si="14"/>
        <v>0</v>
      </c>
      <c r="AU38" s="4"/>
      <c r="AV38" s="4"/>
      <c r="AW38" s="4"/>
      <c r="AX38" s="4"/>
      <c r="AY38" s="4">
        <f t="shared" si="15"/>
        <v>490000</v>
      </c>
      <c r="AZ38" s="4"/>
      <c r="BA38" s="4"/>
      <c r="BB38" s="4"/>
      <c r="BC38" s="4"/>
    </row>
    <row r="39" spans="1:55" s="56" customFormat="1" ht="15.5">
      <c r="A39" s="48">
        <f>A38</f>
        <v>30</v>
      </c>
      <c r="B39" s="48"/>
      <c r="C39" s="48" t="s">
        <v>1193</v>
      </c>
      <c r="D39" s="13">
        <f t="shared" ref="D39:BC39" si="27">SUM(D9:D38)</f>
        <v>146818000</v>
      </c>
      <c r="E39" s="13">
        <f t="shared" si="27"/>
        <v>123300000</v>
      </c>
      <c r="F39" s="13">
        <f t="shared" si="27"/>
        <v>23518000</v>
      </c>
      <c r="G39" s="13">
        <f t="shared" si="27"/>
        <v>88374320</v>
      </c>
      <c r="H39" s="13">
        <f t="shared" si="27"/>
        <v>76008641.620000005</v>
      </c>
      <c r="I39" s="13">
        <f t="shared" si="27"/>
        <v>0</v>
      </c>
      <c r="J39" s="13">
        <f t="shared" si="27"/>
        <v>9152954.5499999989</v>
      </c>
      <c r="K39" s="13">
        <f t="shared" si="27"/>
        <v>9152954.5499999989</v>
      </c>
      <c r="L39" s="13">
        <f t="shared" si="27"/>
        <v>85161596.170000002</v>
      </c>
      <c r="M39" s="13">
        <f t="shared" si="27"/>
        <v>4292723.83</v>
      </c>
      <c r="N39" s="13">
        <f t="shared" si="27"/>
        <v>20598000</v>
      </c>
      <c r="O39" s="13">
        <f t="shared" si="27"/>
        <v>36765680</v>
      </c>
      <c r="P39" s="13">
        <f t="shared" si="27"/>
        <v>3212723.8299999996</v>
      </c>
      <c r="Q39" s="13">
        <f t="shared" si="27"/>
        <v>200000</v>
      </c>
      <c r="R39" s="13">
        <f t="shared" si="27"/>
        <v>980000</v>
      </c>
      <c r="S39" s="13">
        <f t="shared" si="27"/>
        <v>1180000</v>
      </c>
      <c r="T39" s="13">
        <f t="shared" si="27"/>
        <v>100000</v>
      </c>
      <c r="U39" s="13">
        <f t="shared" si="27"/>
        <v>20498000</v>
      </c>
      <c r="V39" s="13">
        <f t="shared" si="27"/>
        <v>15873000</v>
      </c>
      <c r="W39" s="13">
        <f t="shared" si="27"/>
        <v>4425000</v>
      </c>
      <c r="X39" s="13">
        <f t="shared" si="27"/>
        <v>0</v>
      </c>
      <c r="Y39" s="13">
        <f t="shared" si="27"/>
        <v>0</v>
      </c>
      <c r="Z39" s="13">
        <f t="shared" si="27"/>
        <v>200000</v>
      </c>
      <c r="AA39" s="13">
        <f t="shared" si="27"/>
        <v>23231900</v>
      </c>
      <c r="AB39" s="13">
        <f t="shared" si="27"/>
        <v>0</v>
      </c>
      <c r="AC39" s="13">
        <f t="shared" ref="AC39:AI39" si="28">SUM(AC9:AC38)</f>
        <v>7498000</v>
      </c>
      <c r="AD39" s="13">
        <f t="shared" si="28"/>
        <v>3550000</v>
      </c>
      <c r="AE39" s="13">
        <f t="shared" si="28"/>
        <v>0</v>
      </c>
      <c r="AF39" s="13">
        <f t="shared" si="28"/>
        <v>2300000</v>
      </c>
      <c r="AG39" s="13">
        <f t="shared" si="28"/>
        <v>1305000</v>
      </c>
      <c r="AH39" s="13">
        <f t="shared" si="28"/>
        <v>1100000</v>
      </c>
      <c r="AI39" s="13">
        <f t="shared" si="28"/>
        <v>800000</v>
      </c>
      <c r="AJ39" s="13">
        <f t="shared" si="27"/>
        <v>250000</v>
      </c>
      <c r="AK39" s="13">
        <f t="shared" si="27"/>
        <v>16803000</v>
      </c>
      <c r="AL39" s="13">
        <f t="shared" si="27"/>
        <v>0</v>
      </c>
      <c r="AM39" s="13">
        <f t="shared" si="27"/>
        <v>16803000</v>
      </c>
      <c r="AN39" s="13">
        <f t="shared" si="27"/>
        <v>3695000</v>
      </c>
      <c r="AO39" s="13">
        <f t="shared" si="27"/>
        <v>12978000</v>
      </c>
      <c r="AP39" s="13">
        <f t="shared" si="27"/>
        <v>3825000</v>
      </c>
      <c r="AQ39" s="13">
        <f t="shared" si="27"/>
        <v>0</v>
      </c>
      <c r="AR39" s="13">
        <f t="shared" si="27"/>
        <v>0</v>
      </c>
      <c r="AS39" s="13">
        <f t="shared" si="27"/>
        <v>0</v>
      </c>
      <c r="AT39" s="13">
        <f t="shared" si="27"/>
        <v>0</v>
      </c>
      <c r="AU39" s="13">
        <f t="shared" si="27"/>
        <v>0</v>
      </c>
      <c r="AV39" s="13">
        <f t="shared" si="27"/>
        <v>0</v>
      </c>
      <c r="AW39" s="13">
        <f t="shared" si="27"/>
        <v>0</v>
      </c>
      <c r="AX39" s="13">
        <f t="shared" si="27"/>
        <v>0</v>
      </c>
      <c r="AY39" s="13">
        <f t="shared" si="27"/>
        <v>2895000</v>
      </c>
      <c r="AZ39" s="13">
        <f t="shared" si="27"/>
        <v>600000</v>
      </c>
      <c r="BA39" s="13">
        <f t="shared" si="27"/>
        <v>0</v>
      </c>
      <c r="BB39" s="13">
        <f t="shared" si="27"/>
        <v>0</v>
      </c>
      <c r="BC39" s="13">
        <f t="shared" si="27"/>
        <v>200000</v>
      </c>
    </row>
    <row r="40" spans="1:55" s="62" customFormat="1" ht="15.5"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1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R40" s="36"/>
      <c r="AS40" s="36"/>
      <c r="AT40" s="36"/>
      <c r="AX40" s="36"/>
      <c r="AY40" s="36"/>
      <c r="AZ40" s="36"/>
    </row>
    <row r="41" spans="1:55">
      <c r="AB41" s="31"/>
      <c r="AR41" s="20">
        <f>AQ39/AA39</f>
        <v>0</v>
      </c>
      <c r="AX41" s="20">
        <f>AW39/AG39</f>
        <v>0</v>
      </c>
    </row>
    <row r="42" spans="1:55">
      <c r="U42" s="17"/>
      <c r="V42" s="61"/>
      <c r="W42" s="61"/>
      <c r="X42" s="61"/>
      <c r="Y42" s="61"/>
      <c r="Z42" s="129"/>
      <c r="AB42" s="31"/>
    </row>
    <row r="43" spans="1:55">
      <c r="U43" s="17"/>
      <c r="V43" s="61"/>
      <c r="W43" s="61"/>
      <c r="X43" s="61"/>
      <c r="Y43" s="61"/>
      <c r="Z43" s="129"/>
      <c r="AB43" s="31"/>
    </row>
    <row r="44" spans="1:55">
      <c r="U44" s="17"/>
      <c r="V44" s="61"/>
      <c r="W44" s="61"/>
      <c r="X44" s="61"/>
      <c r="Y44" s="61"/>
      <c r="Z44" s="129"/>
      <c r="AB44" s="31"/>
    </row>
    <row r="45" spans="1:55">
      <c r="U45" s="17"/>
      <c r="V45" s="61"/>
      <c r="W45" s="61"/>
      <c r="X45" s="61"/>
      <c r="Y45" s="61"/>
      <c r="Z45" s="129"/>
      <c r="AB45" s="31"/>
    </row>
    <row r="46" spans="1:55">
      <c r="U46" s="22"/>
      <c r="V46" s="61"/>
      <c r="W46" s="61"/>
      <c r="X46" s="61"/>
      <c r="Y46" s="61"/>
      <c r="Z46" s="129"/>
      <c r="AB46" s="31"/>
    </row>
    <row r="47" spans="1:55">
      <c r="A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AB47" s="31"/>
    </row>
    <row r="48" spans="1:55">
      <c r="A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U48" s="22"/>
      <c r="W48" s="61"/>
      <c r="Z48" s="129"/>
      <c r="AB48" s="31"/>
    </row>
    <row r="49" spans="1:28">
      <c r="A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U49" s="22"/>
      <c r="W49" s="61"/>
      <c r="Z49" s="129"/>
      <c r="AB49" s="31"/>
    </row>
    <row r="50" spans="1:28">
      <c r="A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O50" s="15"/>
      <c r="U50" s="22"/>
      <c r="W50" s="61"/>
      <c r="Z50" s="129"/>
      <c r="AB50" s="31"/>
    </row>
    <row r="51" spans="1:28">
      <c r="A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U51" s="22"/>
      <c r="W51" s="61"/>
      <c r="Z51" s="129"/>
      <c r="AB51" s="31"/>
    </row>
    <row r="52" spans="1:28">
      <c r="A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U52" s="22"/>
      <c r="W52" s="61"/>
      <c r="Z52" s="129"/>
      <c r="AB52" s="31"/>
    </row>
    <row r="53" spans="1:28">
      <c r="A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U53" s="22"/>
      <c r="W53" s="61"/>
      <c r="Z53" s="129"/>
      <c r="AB53" s="31"/>
    </row>
    <row r="54" spans="1:28">
      <c r="A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U54" s="22"/>
      <c r="W54" s="61"/>
      <c r="Z54" s="129"/>
      <c r="AB54" s="31"/>
    </row>
    <row r="55" spans="1:28">
      <c r="A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U55" s="22"/>
      <c r="W55" s="61"/>
      <c r="Z55" s="129"/>
      <c r="AB55" s="31"/>
    </row>
    <row r="56" spans="1:28">
      <c r="A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U56" s="22"/>
      <c r="W56" s="61"/>
      <c r="Z56" s="129"/>
    </row>
    <row r="57" spans="1:28">
      <c r="A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R57" s="15"/>
      <c r="S57" s="15"/>
    </row>
    <row r="58" spans="1:28">
      <c r="A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28">
      <c r="A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2" spans="1:28">
      <c r="A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O62" s="17" t="s">
        <v>143</v>
      </c>
      <c r="R62" s="17" t="s">
        <v>143</v>
      </c>
      <c r="S62" s="17" t="s">
        <v>273</v>
      </c>
    </row>
    <row r="63" spans="1:28">
      <c r="A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O63" s="17" t="s">
        <v>272</v>
      </c>
      <c r="Q63" s="17">
        <v>25000</v>
      </c>
      <c r="R63" s="17">
        <v>160000</v>
      </c>
    </row>
    <row r="64" spans="1:28">
      <c r="A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R64" s="17" t="e">
        <f>#REF!</f>
        <v>#REF!</v>
      </c>
      <c r="S64" s="17" t="s">
        <v>278</v>
      </c>
    </row>
    <row r="65" spans="1:20">
      <c r="A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7" t="e">
        <f>SUM(R63:R64)</f>
        <v>#REF!</v>
      </c>
      <c r="S65" s="15"/>
      <c r="T65" s="15"/>
    </row>
  </sheetData>
  <sheetProtection formatCells="0" formatColumns="0" formatRows="0" insertColumns="0" insertRows="0" insertHyperlinks="0" deleteColumns="0" deleteRows="0" sort="0" autoFilter="0" pivotTables="0"/>
  <mergeCells count="3">
    <mergeCell ref="AB6:AK6"/>
    <mergeCell ref="AO6:AS6"/>
    <mergeCell ref="U6:Z6"/>
  </mergeCells>
  <conditionalFormatting sqref="AD7">
    <cfRule type="cellIs" dxfId="123" priority="7" operator="equal">
      <formula>0</formula>
    </cfRule>
  </conditionalFormatting>
  <conditionalFormatting sqref="AE7">
    <cfRule type="cellIs" dxfId="122" priority="6" operator="equal">
      <formula>0</formula>
    </cfRule>
  </conditionalFormatting>
  <conditionalFormatting sqref="AF7">
    <cfRule type="cellIs" dxfId="121" priority="5" operator="equal">
      <formula>0</formula>
    </cfRule>
  </conditionalFormatting>
  <conditionalFormatting sqref="AG7">
    <cfRule type="cellIs" dxfId="120" priority="4" operator="equal">
      <formula>0</formula>
    </cfRule>
  </conditionalFormatting>
  <conditionalFormatting sqref="AH7">
    <cfRule type="cellIs" dxfId="119" priority="3" operator="equal">
      <formula>0</formula>
    </cfRule>
  </conditionalFormatting>
  <conditionalFormatting sqref="AI7">
    <cfRule type="cellIs" dxfId="118" priority="2" operator="equal">
      <formula>0</formula>
    </cfRule>
  </conditionalFormatting>
  <conditionalFormatting sqref="AJ7">
    <cfRule type="cellIs" dxfId="117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4:BC63"/>
  <sheetViews>
    <sheetView showZeros="0" rightToLeft="1" zoomScaleNormal="100" workbookViewId="0">
      <pane xSplit="3" ySplit="7" topLeftCell="T8" activePane="bottomRight" state="frozen"/>
      <selection activeCell="T20" sqref="T20"/>
      <selection pane="topRight" activeCell="T20" sqref="T20"/>
      <selection pane="bottomLeft" activeCell="T20" sqref="T20"/>
      <selection pane="bottomRight" activeCell="T20" sqref="T20"/>
    </sheetView>
  </sheetViews>
  <sheetFormatPr defaultColWidth="9.1796875" defaultRowHeight="14"/>
  <cols>
    <col min="1" max="1" width="5.26953125" style="40" customWidth="1"/>
    <col min="2" max="2" width="6.7265625" style="15" customWidth="1"/>
    <col min="3" max="3" width="35.7265625" style="15" customWidth="1"/>
    <col min="4" max="4" width="11.54296875" style="17" hidden="1" customWidth="1"/>
    <col min="5" max="5" width="11.1796875" style="17" hidden="1" customWidth="1"/>
    <col min="6" max="6" width="10.54296875" style="17" hidden="1" customWidth="1"/>
    <col min="7" max="7" width="11.1796875" style="17" hidden="1" customWidth="1"/>
    <col min="8" max="10" width="12.7265625" style="17" hidden="1" customWidth="1"/>
    <col min="11" max="11" width="11.26953125" style="17" hidden="1" customWidth="1"/>
    <col min="12" max="12" width="11.1796875" style="17" hidden="1" customWidth="1"/>
    <col min="13" max="13" width="10.54296875" style="17" hidden="1" customWidth="1"/>
    <col min="14" max="14" width="10.453125" style="17" hidden="1" customWidth="1"/>
    <col min="15" max="15" width="9.26953125" style="17" hidden="1" customWidth="1"/>
    <col min="16" max="17" width="11.1796875" style="17" hidden="1" customWidth="1"/>
    <col min="18" max="19" width="12" style="17" hidden="1" customWidth="1"/>
    <col min="20" max="20" width="7.26953125" style="17" customWidth="1"/>
    <col min="21" max="21" width="9.7265625" style="15" customWidth="1"/>
    <col min="22" max="22" width="7.26953125" style="15" customWidth="1"/>
    <col min="23" max="23" width="9.7265625" style="15" customWidth="1"/>
    <col min="24" max="25" width="8.7265625" style="15" customWidth="1"/>
    <col min="26" max="26" width="9.7265625" style="385" customWidth="1"/>
    <col min="27" max="27" width="7.81640625" style="15" hidden="1" customWidth="1"/>
    <col min="28" max="28" width="12.26953125" style="30" hidden="1" customWidth="1"/>
    <col min="29" max="36" width="10.54296875" style="45" hidden="1" customWidth="1"/>
    <col min="37" max="38" width="9.1796875" style="20" hidden="1" customWidth="1"/>
    <col min="39" max="39" width="10.7265625" style="20" customWidth="1"/>
    <col min="40" max="40" width="9.7265625" style="20" customWidth="1"/>
    <col min="41" max="41" width="8.7265625" style="20" customWidth="1"/>
    <col min="42" max="42" width="9.7265625" style="15" customWidth="1"/>
    <col min="43" max="43" width="7.7265625" style="15" customWidth="1"/>
    <col min="44" max="44" width="7.7265625" style="20" customWidth="1"/>
    <col min="45" max="45" width="8.7265625" style="20" customWidth="1"/>
    <col min="46" max="47" width="9.1796875" style="20" hidden="1" customWidth="1"/>
    <col min="48" max="48" width="9.1796875" style="15" hidden="1" customWidth="1"/>
    <col min="49" max="49" width="11.81640625" style="15" hidden="1" customWidth="1"/>
    <col min="50" max="50" width="9.1796875" style="20" hidden="1" customWidth="1"/>
    <col min="51" max="51" width="9.54296875" style="20" hidden="1" customWidth="1"/>
    <col min="52" max="53" width="9.1796875" style="20" hidden="1" customWidth="1"/>
    <col min="54" max="54" width="9.1796875" style="15" hidden="1" customWidth="1"/>
    <col min="55" max="55" width="11.81640625" style="15" hidden="1" customWidth="1"/>
    <col min="56" max="16384" width="9.1796875" style="15"/>
  </cols>
  <sheetData>
    <row r="4" spans="1:55" ht="18">
      <c r="A4" s="122" t="s">
        <v>1003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R4" s="15"/>
      <c r="AS4" s="15"/>
      <c r="AT4" s="15"/>
      <c r="AU4" s="15"/>
      <c r="AX4" s="15"/>
      <c r="AY4" s="15"/>
      <c r="AZ4" s="15"/>
      <c r="BA4" s="15"/>
    </row>
    <row r="5" spans="1:55" ht="18"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R5" s="15"/>
      <c r="AS5" s="15"/>
      <c r="AT5" s="15"/>
      <c r="AU5" s="15"/>
      <c r="AX5" s="15"/>
      <c r="AY5" s="15"/>
      <c r="AZ5" s="15"/>
      <c r="BA5" s="15"/>
    </row>
    <row r="6" spans="1:55">
      <c r="A6" s="530"/>
      <c r="B6" s="531"/>
      <c r="C6" s="531"/>
      <c r="D6" s="531"/>
      <c r="E6" s="531"/>
      <c r="F6" s="531"/>
      <c r="G6" s="531"/>
      <c r="H6" s="531"/>
      <c r="I6" s="531"/>
      <c r="J6" s="531"/>
      <c r="K6" s="531"/>
      <c r="L6" s="531"/>
      <c r="M6" s="531"/>
      <c r="N6" s="531"/>
      <c r="O6" s="531"/>
      <c r="P6" s="531"/>
      <c r="Q6" s="531"/>
      <c r="R6" s="531"/>
      <c r="S6" s="531"/>
      <c r="T6" s="531"/>
      <c r="U6" s="738" t="s">
        <v>146</v>
      </c>
      <c r="V6" s="739"/>
      <c r="W6" s="739"/>
      <c r="X6" s="739"/>
      <c r="Y6" s="739"/>
      <c r="Z6" s="740"/>
      <c r="AB6" s="735" t="s">
        <v>489</v>
      </c>
      <c r="AC6" s="736"/>
      <c r="AD6" s="736"/>
      <c r="AE6" s="736"/>
      <c r="AF6" s="736"/>
      <c r="AG6" s="736"/>
      <c r="AH6" s="736"/>
      <c r="AI6" s="736"/>
      <c r="AJ6" s="736"/>
      <c r="AK6" s="737"/>
      <c r="AL6" s="110"/>
      <c r="AM6" s="675" t="s">
        <v>489</v>
      </c>
      <c r="AN6" s="496"/>
      <c r="AO6" s="735" t="s">
        <v>834</v>
      </c>
      <c r="AP6" s="736"/>
      <c r="AQ6" s="736"/>
      <c r="AR6" s="736"/>
      <c r="AS6" s="737"/>
      <c r="AT6" s="495" t="s">
        <v>835</v>
      </c>
      <c r="AU6" s="496"/>
      <c r="AV6" s="496"/>
      <c r="AW6" s="497"/>
      <c r="AX6" s="110"/>
      <c r="AY6" s="495" t="s">
        <v>836</v>
      </c>
      <c r="AZ6" s="496"/>
      <c r="BA6" s="496"/>
      <c r="BB6" s="496"/>
      <c r="BC6" s="497"/>
    </row>
    <row r="7" spans="1:55" s="34" customFormat="1" ht="70">
      <c r="A7" s="19" t="s">
        <v>0</v>
      </c>
      <c r="B7" s="19" t="s">
        <v>1</v>
      </c>
      <c r="C7" s="19" t="s">
        <v>2</v>
      </c>
      <c r="D7" s="19" t="s">
        <v>3</v>
      </c>
      <c r="E7" s="19" t="s">
        <v>4</v>
      </c>
      <c r="F7" s="19" t="s">
        <v>5</v>
      </c>
      <c r="G7" s="19" t="s">
        <v>6</v>
      </c>
      <c r="H7" s="19" t="s">
        <v>7</v>
      </c>
      <c r="I7" s="19" t="s">
        <v>9</v>
      </c>
      <c r="J7" s="19" t="s">
        <v>318</v>
      </c>
      <c r="K7" s="19" t="s">
        <v>10</v>
      </c>
      <c r="L7" s="19" t="s">
        <v>11</v>
      </c>
      <c r="M7" s="11" t="s">
        <v>309</v>
      </c>
      <c r="N7" s="19" t="s">
        <v>310</v>
      </c>
      <c r="O7" s="19" t="s">
        <v>311</v>
      </c>
      <c r="P7" s="19" t="s">
        <v>12</v>
      </c>
      <c r="Q7" s="19" t="s">
        <v>312</v>
      </c>
      <c r="R7" s="19" t="s">
        <v>313</v>
      </c>
      <c r="S7" s="19" t="s">
        <v>314</v>
      </c>
      <c r="T7" s="19" t="s">
        <v>315</v>
      </c>
      <c r="U7" s="19" t="s">
        <v>316</v>
      </c>
      <c r="V7" s="19" t="s">
        <v>13</v>
      </c>
      <c r="W7" s="19" t="s">
        <v>14</v>
      </c>
      <c r="X7" s="19" t="s">
        <v>15</v>
      </c>
      <c r="Y7" s="19" t="s">
        <v>523</v>
      </c>
      <c r="Z7" s="11" t="s">
        <v>140</v>
      </c>
      <c r="AA7" s="55" t="s">
        <v>16</v>
      </c>
      <c r="AB7" s="107" t="s">
        <v>490</v>
      </c>
      <c r="AC7" s="107" t="s">
        <v>491</v>
      </c>
      <c r="AD7" s="107" t="s">
        <v>492</v>
      </c>
      <c r="AE7" s="107" t="s">
        <v>493</v>
      </c>
      <c r="AF7" s="107" t="s">
        <v>494</v>
      </c>
      <c r="AG7" s="107" t="s">
        <v>495</v>
      </c>
      <c r="AH7" s="107" t="s">
        <v>496</v>
      </c>
      <c r="AI7" s="107" t="s">
        <v>497</v>
      </c>
      <c r="AJ7" s="107" t="s">
        <v>498</v>
      </c>
      <c r="AK7" s="498" t="s">
        <v>837</v>
      </c>
      <c r="AL7" s="498" t="s">
        <v>838</v>
      </c>
      <c r="AM7" s="498" t="s">
        <v>839</v>
      </c>
      <c r="AN7" s="498" t="s">
        <v>840</v>
      </c>
      <c r="AO7" s="498" t="s">
        <v>13</v>
      </c>
      <c r="AP7" s="498" t="s">
        <v>14</v>
      </c>
      <c r="AQ7" s="498" t="s">
        <v>15</v>
      </c>
      <c r="AR7" s="498" t="s">
        <v>523</v>
      </c>
      <c r="AS7" s="498" t="s">
        <v>140</v>
      </c>
      <c r="AT7" s="498" t="s">
        <v>13</v>
      </c>
      <c r="AU7" s="498" t="s">
        <v>14</v>
      </c>
      <c r="AV7" s="498" t="s">
        <v>15</v>
      </c>
      <c r="AW7" s="498" t="s">
        <v>523</v>
      </c>
      <c r="AX7" s="498" t="s">
        <v>140</v>
      </c>
      <c r="AY7" s="107" t="s">
        <v>13</v>
      </c>
      <c r="AZ7" s="107" t="s">
        <v>14</v>
      </c>
      <c r="BA7" s="107" t="s">
        <v>15</v>
      </c>
      <c r="BB7" s="107" t="s">
        <v>523</v>
      </c>
      <c r="BC7" s="107" t="s">
        <v>140</v>
      </c>
    </row>
    <row r="8" spans="1:55" s="5" customFormat="1" ht="15.5">
      <c r="A8" s="3"/>
      <c r="B8" s="3"/>
      <c r="C8" s="48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58"/>
      <c r="AB8" s="4"/>
      <c r="AC8" s="326"/>
      <c r="AD8" s="326"/>
      <c r="AE8" s="326"/>
      <c r="AF8" s="326"/>
      <c r="AG8" s="326"/>
      <c r="AH8" s="326"/>
      <c r="AI8" s="326"/>
      <c r="AJ8" s="326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</row>
    <row r="9" spans="1:55" s="5" customFormat="1">
      <c r="A9" s="3">
        <f>A8+1</f>
        <v>1</v>
      </c>
      <c r="B9" s="3">
        <v>1630</v>
      </c>
      <c r="C9" s="3" t="s">
        <v>94</v>
      </c>
      <c r="D9" s="4">
        <v>960000</v>
      </c>
      <c r="E9" s="4">
        <v>960000</v>
      </c>
      <c r="F9" s="4">
        <f>D9-E9</f>
        <v>0</v>
      </c>
      <c r="G9" s="4">
        <v>530000</v>
      </c>
      <c r="H9" s="4">
        <v>365765</v>
      </c>
      <c r="I9" s="4"/>
      <c r="J9" s="4">
        <v>1170</v>
      </c>
      <c r="K9" s="4">
        <f t="shared" ref="K9:K41" si="0">I9+J9</f>
        <v>1170</v>
      </c>
      <c r="L9" s="4">
        <f t="shared" ref="L9:L41" si="1">H9+K9</f>
        <v>366935</v>
      </c>
      <c r="M9" s="4">
        <f t="shared" ref="M9:M41" si="2">P9+S9</f>
        <v>163065</v>
      </c>
      <c r="N9" s="4">
        <v>430000</v>
      </c>
      <c r="O9" s="4">
        <f t="shared" ref="O9:O41" si="3">D9-L9-M9-N9</f>
        <v>0</v>
      </c>
      <c r="P9" s="4">
        <f t="shared" ref="P9:P41" si="4">G9-L9</f>
        <v>163065</v>
      </c>
      <c r="Q9" s="4"/>
      <c r="R9" s="4"/>
      <c r="S9" s="4">
        <f t="shared" ref="S9:S35" si="5">SUM(Q9:R9)</f>
        <v>0</v>
      </c>
      <c r="T9" s="4">
        <f t="shared" ref="T9:T41" si="6">P9-M9+S9</f>
        <v>0</v>
      </c>
      <c r="U9" s="4">
        <f t="shared" ref="U9:U41" si="7">N9-T9</f>
        <v>430000</v>
      </c>
      <c r="V9" s="4"/>
      <c r="W9" s="4">
        <f t="shared" ref="W9:W34" si="8">U9-V9-Y9-AB9</f>
        <v>430000</v>
      </c>
      <c r="X9" s="4"/>
      <c r="Y9" s="4"/>
      <c r="Z9" s="4"/>
      <c r="AA9" s="58">
        <v>747000</v>
      </c>
      <c r="AB9" s="4"/>
      <c r="AC9" s="326"/>
      <c r="AD9" s="326"/>
      <c r="AE9" s="326"/>
      <c r="AF9" s="326"/>
      <c r="AG9" s="326"/>
      <c r="AH9" s="326"/>
      <c r="AI9" s="326"/>
      <c r="AJ9" s="326"/>
      <c r="AK9" s="4">
        <f>SUM(AB9:AJ9)</f>
        <v>0</v>
      </c>
      <c r="AL9" s="4"/>
      <c r="AM9" s="4">
        <f>AL9+AK9</f>
        <v>0</v>
      </c>
      <c r="AN9" s="4">
        <f>U9-AM9</f>
        <v>430000</v>
      </c>
      <c r="AO9" s="3"/>
      <c r="AP9" s="4">
        <f>AM9-AS9</f>
        <v>0</v>
      </c>
      <c r="AQ9" s="3"/>
      <c r="AR9" s="4"/>
      <c r="AS9" s="3"/>
      <c r="AT9" s="4"/>
      <c r="AU9" s="4">
        <f>AL9-AX9</f>
        <v>0</v>
      </c>
      <c r="AV9" s="3"/>
      <c r="AW9" s="3"/>
      <c r="AX9" s="4"/>
      <c r="AY9" s="3"/>
      <c r="AZ9" s="4">
        <f>AN9-BC9</f>
        <v>430000</v>
      </c>
      <c r="BA9" s="3"/>
      <c r="BB9" s="3"/>
      <c r="BC9" s="3"/>
    </row>
    <row r="10" spans="1:55" s="5" customFormat="1">
      <c r="A10" s="3">
        <f>A9+1</f>
        <v>2</v>
      </c>
      <c r="B10" s="244">
        <v>1634</v>
      </c>
      <c r="C10" s="244" t="s">
        <v>964</v>
      </c>
      <c r="D10" s="4">
        <v>50000</v>
      </c>
      <c r="E10" s="4">
        <v>50000</v>
      </c>
      <c r="F10" s="4">
        <f t="shared" ref="F10:F41" si="9">D10-E10</f>
        <v>0</v>
      </c>
      <c r="G10" s="4">
        <v>50000</v>
      </c>
      <c r="H10" s="4">
        <v>36036</v>
      </c>
      <c r="I10" s="4"/>
      <c r="J10" s="4">
        <v>13964</v>
      </c>
      <c r="K10" s="4">
        <f t="shared" si="0"/>
        <v>13964</v>
      </c>
      <c r="L10" s="4">
        <f t="shared" si="1"/>
        <v>50000</v>
      </c>
      <c r="M10" s="4">
        <f t="shared" si="2"/>
        <v>0</v>
      </c>
      <c r="N10" s="4"/>
      <c r="O10" s="4">
        <f t="shared" si="3"/>
        <v>0</v>
      </c>
      <c r="P10" s="4">
        <f t="shared" si="4"/>
        <v>0</v>
      </c>
      <c r="Q10" s="4"/>
      <c r="R10" s="4"/>
      <c r="S10" s="4">
        <f t="shared" si="5"/>
        <v>0</v>
      </c>
      <c r="T10" s="4">
        <f t="shared" si="6"/>
        <v>0</v>
      </c>
      <c r="U10" s="4">
        <f t="shared" si="7"/>
        <v>0</v>
      </c>
      <c r="V10" s="4"/>
      <c r="W10" s="4">
        <f t="shared" si="8"/>
        <v>0</v>
      </c>
      <c r="X10" s="4"/>
      <c r="Y10" s="4"/>
      <c r="Z10" s="4"/>
      <c r="AA10" s="58">
        <v>747000</v>
      </c>
      <c r="AB10" s="4"/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f t="shared" ref="AK10:AK41" si="10">SUM(AB10:AJ10)</f>
        <v>0</v>
      </c>
      <c r="AL10" s="4"/>
      <c r="AM10" s="4">
        <f t="shared" ref="AM10:AM41" si="11">AL10+AK10</f>
        <v>0</v>
      </c>
      <c r="AN10" s="4">
        <f t="shared" ref="AN10:AN41" si="12">U10-AM10</f>
        <v>0</v>
      </c>
      <c r="AO10" s="3"/>
      <c r="AP10" s="4">
        <f t="shared" ref="AP10:AP41" si="13">AM10-AS10</f>
        <v>0</v>
      </c>
      <c r="AQ10" s="3"/>
      <c r="AR10" s="4"/>
      <c r="AS10" s="3"/>
      <c r="AT10" s="4"/>
      <c r="AU10" s="4">
        <f t="shared" ref="AU10:AU41" si="14">AL10-AX10</f>
        <v>0</v>
      </c>
      <c r="AV10" s="3"/>
      <c r="AW10" s="3"/>
      <c r="AX10" s="4"/>
      <c r="AY10" s="3"/>
      <c r="AZ10" s="4">
        <f t="shared" ref="AZ10:AZ41" si="15">AN10-BC10</f>
        <v>0</v>
      </c>
      <c r="BA10" s="3"/>
      <c r="BB10" s="3"/>
      <c r="BC10" s="3"/>
    </row>
    <row r="11" spans="1:55" s="5" customFormat="1">
      <c r="A11" s="3">
        <f>A10+1</f>
        <v>3</v>
      </c>
      <c r="B11" s="244">
        <v>1683</v>
      </c>
      <c r="C11" s="244" t="s">
        <v>984</v>
      </c>
      <c r="D11" s="4">
        <v>2300000</v>
      </c>
      <c r="E11" s="4">
        <v>2300000</v>
      </c>
      <c r="F11" s="4">
        <f t="shared" si="9"/>
        <v>0</v>
      </c>
      <c r="G11" s="4">
        <v>2300000</v>
      </c>
      <c r="H11" s="4">
        <v>2297137.69</v>
      </c>
      <c r="I11" s="4"/>
      <c r="J11" s="4">
        <v>2119.5</v>
      </c>
      <c r="K11" s="4">
        <f t="shared" si="0"/>
        <v>2119.5</v>
      </c>
      <c r="L11" s="4">
        <f t="shared" si="1"/>
        <v>2299257.19</v>
      </c>
      <c r="M11" s="4">
        <f t="shared" si="2"/>
        <v>742.81000000005588</v>
      </c>
      <c r="N11" s="4"/>
      <c r="O11" s="4">
        <f t="shared" si="3"/>
        <v>0</v>
      </c>
      <c r="P11" s="4">
        <f t="shared" si="4"/>
        <v>742.81000000005588</v>
      </c>
      <c r="Q11" s="4"/>
      <c r="R11" s="4"/>
      <c r="S11" s="4">
        <f t="shared" si="5"/>
        <v>0</v>
      </c>
      <c r="T11" s="4">
        <f t="shared" si="6"/>
        <v>0</v>
      </c>
      <c r="U11" s="4">
        <f t="shared" si="7"/>
        <v>0</v>
      </c>
      <c r="V11" s="4"/>
      <c r="W11" s="4">
        <f t="shared" si="8"/>
        <v>0</v>
      </c>
      <c r="X11" s="4"/>
      <c r="Y11" s="4"/>
      <c r="Z11" s="4"/>
      <c r="AA11" s="58">
        <v>747000</v>
      </c>
      <c r="AB11" s="4"/>
      <c r="AC11" s="4"/>
      <c r="AD11" s="4"/>
      <c r="AE11" s="4"/>
      <c r="AF11" s="4"/>
      <c r="AG11" s="4"/>
      <c r="AH11" s="4"/>
      <c r="AI11" s="4"/>
      <c r="AJ11" s="4"/>
      <c r="AK11" s="4">
        <f t="shared" si="10"/>
        <v>0</v>
      </c>
      <c r="AL11" s="4"/>
      <c r="AM11" s="4">
        <f t="shared" si="11"/>
        <v>0</v>
      </c>
      <c r="AN11" s="4">
        <f t="shared" si="12"/>
        <v>0</v>
      </c>
      <c r="AO11" s="3"/>
      <c r="AP11" s="4">
        <f t="shared" si="13"/>
        <v>0</v>
      </c>
      <c r="AQ11" s="3"/>
      <c r="AR11" s="4"/>
      <c r="AS11" s="3"/>
      <c r="AT11" s="4"/>
      <c r="AU11" s="4">
        <f t="shared" si="14"/>
        <v>0</v>
      </c>
      <c r="AV11" s="3"/>
      <c r="AW11" s="3"/>
      <c r="AX11" s="4"/>
      <c r="AY11" s="3"/>
      <c r="AZ11" s="4">
        <f t="shared" si="15"/>
        <v>0</v>
      </c>
      <c r="BA11" s="3"/>
      <c r="BB11" s="3"/>
      <c r="BC11" s="3"/>
    </row>
    <row r="12" spans="1:55" s="5" customFormat="1">
      <c r="A12" s="3">
        <f t="shared" ref="A12:A41" si="16">A11+1</f>
        <v>4</v>
      </c>
      <c r="B12" s="244">
        <v>1684</v>
      </c>
      <c r="C12" s="244" t="s">
        <v>965</v>
      </c>
      <c r="D12" s="4">
        <v>200000</v>
      </c>
      <c r="E12" s="4">
        <v>400000</v>
      </c>
      <c r="F12" s="4">
        <f t="shared" si="9"/>
        <v>-200000</v>
      </c>
      <c r="G12" s="4">
        <v>200000</v>
      </c>
      <c r="H12" s="4">
        <v>167693.70000000001</v>
      </c>
      <c r="I12" s="4"/>
      <c r="J12" s="4">
        <v>32306.3</v>
      </c>
      <c r="K12" s="4">
        <f t="shared" si="0"/>
        <v>32306.3</v>
      </c>
      <c r="L12" s="4">
        <f t="shared" si="1"/>
        <v>200000</v>
      </c>
      <c r="M12" s="4">
        <f t="shared" si="2"/>
        <v>0</v>
      </c>
      <c r="N12" s="4"/>
      <c r="O12" s="4">
        <f t="shared" si="3"/>
        <v>0</v>
      </c>
      <c r="P12" s="4">
        <f t="shared" si="4"/>
        <v>0</v>
      </c>
      <c r="Q12" s="4"/>
      <c r="R12" s="4"/>
      <c r="S12" s="4">
        <f t="shared" si="5"/>
        <v>0</v>
      </c>
      <c r="T12" s="4">
        <f t="shared" si="6"/>
        <v>0</v>
      </c>
      <c r="U12" s="4">
        <f t="shared" si="7"/>
        <v>0</v>
      </c>
      <c r="V12" s="4"/>
      <c r="W12" s="4">
        <f t="shared" si="8"/>
        <v>0</v>
      </c>
      <c r="X12" s="4"/>
      <c r="Y12" s="4"/>
      <c r="Z12" s="4"/>
      <c r="AA12" s="58">
        <v>747000</v>
      </c>
      <c r="AB12" s="4"/>
      <c r="AC12" s="4"/>
      <c r="AD12" s="4"/>
      <c r="AE12" s="4"/>
      <c r="AF12" s="4"/>
      <c r="AG12" s="4"/>
      <c r="AH12" s="4"/>
      <c r="AI12" s="4"/>
      <c r="AJ12" s="4"/>
      <c r="AK12" s="4">
        <f t="shared" si="10"/>
        <v>0</v>
      </c>
      <c r="AL12" s="4"/>
      <c r="AM12" s="4">
        <f t="shared" si="11"/>
        <v>0</v>
      </c>
      <c r="AN12" s="4">
        <f t="shared" si="12"/>
        <v>0</v>
      </c>
      <c r="AO12" s="3"/>
      <c r="AP12" s="4">
        <f t="shared" si="13"/>
        <v>0</v>
      </c>
      <c r="AQ12" s="3"/>
      <c r="AR12" s="4"/>
      <c r="AS12" s="3"/>
      <c r="AT12" s="4"/>
      <c r="AU12" s="4">
        <f t="shared" si="14"/>
        <v>0</v>
      </c>
      <c r="AV12" s="3"/>
      <c r="AW12" s="3"/>
      <c r="AX12" s="4"/>
      <c r="AY12" s="3"/>
      <c r="AZ12" s="4">
        <f t="shared" si="15"/>
        <v>0</v>
      </c>
      <c r="BA12" s="3"/>
      <c r="BB12" s="3"/>
      <c r="BC12" s="3"/>
    </row>
    <row r="13" spans="1:55" s="5" customFormat="1">
      <c r="A13" s="3">
        <f t="shared" si="16"/>
        <v>5</v>
      </c>
      <c r="B13" s="3">
        <v>1700</v>
      </c>
      <c r="C13" s="3" t="s">
        <v>308</v>
      </c>
      <c r="D13" s="4">
        <v>72000</v>
      </c>
      <c r="E13" s="4">
        <v>72000</v>
      </c>
      <c r="F13" s="4">
        <f t="shared" si="9"/>
        <v>0</v>
      </c>
      <c r="G13" s="4">
        <v>72000</v>
      </c>
      <c r="H13" s="4">
        <v>56971</v>
      </c>
      <c r="I13" s="4"/>
      <c r="J13" s="4"/>
      <c r="K13" s="4">
        <f t="shared" si="0"/>
        <v>0</v>
      </c>
      <c r="L13" s="4">
        <f t="shared" si="1"/>
        <v>56971</v>
      </c>
      <c r="M13" s="4">
        <f t="shared" si="2"/>
        <v>15029</v>
      </c>
      <c r="N13" s="4"/>
      <c r="O13" s="4">
        <f t="shared" si="3"/>
        <v>0</v>
      </c>
      <c r="P13" s="4">
        <f t="shared" si="4"/>
        <v>15029</v>
      </c>
      <c r="Q13" s="4"/>
      <c r="R13" s="4"/>
      <c r="S13" s="4">
        <f t="shared" si="5"/>
        <v>0</v>
      </c>
      <c r="T13" s="4">
        <f t="shared" si="6"/>
        <v>0</v>
      </c>
      <c r="U13" s="4">
        <f t="shared" si="7"/>
        <v>0</v>
      </c>
      <c r="V13" s="4"/>
      <c r="W13" s="4">
        <f t="shared" si="8"/>
        <v>0</v>
      </c>
      <c r="X13" s="4"/>
      <c r="Y13" s="4"/>
      <c r="Z13" s="4"/>
      <c r="AA13" s="58">
        <v>747000</v>
      </c>
      <c r="AB13" s="4"/>
      <c r="AC13" s="4"/>
      <c r="AD13" s="4"/>
      <c r="AE13" s="4"/>
      <c r="AF13" s="4"/>
      <c r="AG13" s="4"/>
      <c r="AH13" s="4"/>
      <c r="AI13" s="4"/>
      <c r="AJ13" s="4"/>
      <c r="AK13" s="4">
        <f t="shared" si="10"/>
        <v>0</v>
      </c>
      <c r="AL13" s="4"/>
      <c r="AM13" s="4">
        <f t="shared" si="11"/>
        <v>0</v>
      </c>
      <c r="AN13" s="4">
        <f t="shared" si="12"/>
        <v>0</v>
      </c>
      <c r="AO13" s="3"/>
      <c r="AP13" s="4">
        <f t="shared" si="13"/>
        <v>0</v>
      </c>
      <c r="AQ13" s="3"/>
      <c r="AR13" s="4"/>
      <c r="AS13" s="3"/>
      <c r="AT13" s="4"/>
      <c r="AU13" s="4">
        <f t="shared" si="14"/>
        <v>0</v>
      </c>
      <c r="AV13" s="3"/>
      <c r="AW13" s="3"/>
      <c r="AX13" s="4"/>
      <c r="AY13" s="3"/>
      <c r="AZ13" s="4">
        <f t="shared" si="15"/>
        <v>0</v>
      </c>
      <c r="BA13" s="3"/>
      <c r="BB13" s="3"/>
      <c r="BC13" s="3"/>
    </row>
    <row r="14" spans="1:55" s="5" customFormat="1">
      <c r="A14" s="3">
        <f t="shared" si="16"/>
        <v>6</v>
      </c>
      <c r="B14" s="244">
        <v>1780</v>
      </c>
      <c r="C14" s="244" t="s">
        <v>966</v>
      </c>
      <c r="D14" s="4">
        <v>70000</v>
      </c>
      <c r="E14" s="4">
        <v>70000</v>
      </c>
      <c r="F14" s="4">
        <f t="shared" si="9"/>
        <v>0</v>
      </c>
      <c r="G14" s="4">
        <v>70000</v>
      </c>
      <c r="H14" s="4">
        <v>70000</v>
      </c>
      <c r="I14" s="4"/>
      <c r="J14" s="4"/>
      <c r="K14" s="4">
        <f t="shared" si="0"/>
        <v>0</v>
      </c>
      <c r="L14" s="4">
        <f t="shared" si="1"/>
        <v>70000</v>
      </c>
      <c r="M14" s="4">
        <f t="shared" si="2"/>
        <v>0</v>
      </c>
      <c r="N14" s="4"/>
      <c r="O14" s="4">
        <f t="shared" si="3"/>
        <v>0</v>
      </c>
      <c r="P14" s="4">
        <f t="shared" si="4"/>
        <v>0</v>
      </c>
      <c r="Q14" s="4"/>
      <c r="R14" s="4"/>
      <c r="S14" s="4">
        <f t="shared" si="5"/>
        <v>0</v>
      </c>
      <c r="T14" s="4">
        <f t="shared" si="6"/>
        <v>0</v>
      </c>
      <c r="U14" s="4">
        <f t="shared" si="7"/>
        <v>0</v>
      </c>
      <c r="V14" s="4"/>
      <c r="W14" s="4">
        <f t="shared" si="8"/>
        <v>0</v>
      </c>
      <c r="X14" s="4"/>
      <c r="Y14" s="4"/>
      <c r="Z14" s="4"/>
      <c r="AA14" s="58">
        <v>747000</v>
      </c>
      <c r="AB14" s="4"/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f t="shared" si="10"/>
        <v>0</v>
      </c>
      <c r="AL14" s="4"/>
      <c r="AM14" s="4">
        <f t="shared" si="11"/>
        <v>0</v>
      </c>
      <c r="AN14" s="4">
        <f t="shared" si="12"/>
        <v>0</v>
      </c>
      <c r="AO14" s="3"/>
      <c r="AP14" s="4">
        <f t="shared" si="13"/>
        <v>0</v>
      </c>
      <c r="AQ14" s="3"/>
      <c r="AR14" s="4"/>
      <c r="AS14" s="3"/>
      <c r="AT14" s="4"/>
      <c r="AU14" s="4">
        <f t="shared" si="14"/>
        <v>0</v>
      </c>
      <c r="AV14" s="3"/>
      <c r="AW14" s="3"/>
      <c r="AX14" s="4"/>
      <c r="AY14" s="3"/>
      <c r="AZ14" s="4">
        <f t="shared" si="15"/>
        <v>0</v>
      </c>
      <c r="BA14" s="3"/>
      <c r="BB14" s="3"/>
      <c r="BC14" s="3"/>
    </row>
    <row r="15" spans="1:55" s="5" customFormat="1">
      <c r="A15" s="3">
        <f t="shared" si="16"/>
        <v>7</v>
      </c>
      <c r="B15" s="244">
        <v>1781</v>
      </c>
      <c r="C15" s="244" t="s">
        <v>967</v>
      </c>
      <c r="D15" s="4">
        <v>160000</v>
      </c>
      <c r="E15" s="4">
        <v>160000</v>
      </c>
      <c r="F15" s="4">
        <f t="shared" si="9"/>
        <v>0</v>
      </c>
      <c r="G15" s="4">
        <v>160000</v>
      </c>
      <c r="H15" s="4">
        <v>160000</v>
      </c>
      <c r="I15" s="4"/>
      <c r="J15" s="4"/>
      <c r="K15" s="4">
        <f t="shared" si="0"/>
        <v>0</v>
      </c>
      <c r="L15" s="4">
        <f t="shared" si="1"/>
        <v>160000</v>
      </c>
      <c r="M15" s="4">
        <f t="shared" si="2"/>
        <v>0</v>
      </c>
      <c r="N15" s="4"/>
      <c r="O15" s="4">
        <f t="shared" si="3"/>
        <v>0</v>
      </c>
      <c r="P15" s="4">
        <f t="shared" si="4"/>
        <v>0</v>
      </c>
      <c r="Q15" s="4"/>
      <c r="R15" s="4"/>
      <c r="S15" s="4">
        <f t="shared" si="5"/>
        <v>0</v>
      </c>
      <c r="T15" s="4">
        <f t="shared" si="6"/>
        <v>0</v>
      </c>
      <c r="U15" s="4">
        <f t="shared" si="7"/>
        <v>0</v>
      </c>
      <c r="V15" s="4"/>
      <c r="W15" s="4">
        <f t="shared" si="8"/>
        <v>0</v>
      </c>
      <c r="X15" s="4"/>
      <c r="Y15" s="4"/>
      <c r="Z15" s="4"/>
      <c r="AA15" s="58">
        <v>747000</v>
      </c>
      <c r="AB15" s="4"/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f t="shared" si="10"/>
        <v>0</v>
      </c>
      <c r="AL15" s="4"/>
      <c r="AM15" s="4">
        <f t="shared" si="11"/>
        <v>0</v>
      </c>
      <c r="AN15" s="4">
        <f t="shared" si="12"/>
        <v>0</v>
      </c>
      <c r="AO15" s="3"/>
      <c r="AP15" s="4">
        <f t="shared" si="13"/>
        <v>0</v>
      </c>
      <c r="AQ15" s="3"/>
      <c r="AR15" s="4"/>
      <c r="AS15" s="3"/>
      <c r="AT15" s="4"/>
      <c r="AU15" s="4">
        <f t="shared" si="14"/>
        <v>0</v>
      </c>
      <c r="AV15" s="3"/>
      <c r="AW15" s="3"/>
      <c r="AX15" s="4"/>
      <c r="AY15" s="3"/>
      <c r="AZ15" s="4">
        <f t="shared" si="15"/>
        <v>0</v>
      </c>
      <c r="BA15" s="3"/>
      <c r="BB15" s="3"/>
      <c r="BC15" s="3"/>
    </row>
    <row r="16" spans="1:55" s="5" customFormat="1">
      <c r="A16" s="3">
        <f t="shared" si="16"/>
        <v>8</v>
      </c>
      <c r="B16" s="244">
        <v>1782</v>
      </c>
      <c r="C16" s="244" t="s">
        <v>968</v>
      </c>
      <c r="D16" s="4">
        <v>85000</v>
      </c>
      <c r="E16" s="4">
        <v>85000</v>
      </c>
      <c r="F16" s="4">
        <f t="shared" si="9"/>
        <v>0</v>
      </c>
      <c r="G16" s="4">
        <v>85000</v>
      </c>
      <c r="H16" s="4">
        <v>75700</v>
      </c>
      <c r="I16" s="4"/>
      <c r="J16" s="4"/>
      <c r="K16" s="4">
        <f t="shared" si="0"/>
        <v>0</v>
      </c>
      <c r="L16" s="4">
        <f t="shared" si="1"/>
        <v>75700</v>
      </c>
      <c r="M16" s="4">
        <f t="shared" si="2"/>
        <v>9300</v>
      </c>
      <c r="N16" s="4"/>
      <c r="O16" s="4">
        <f t="shared" si="3"/>
        <v>0</v>
      </c>
      <c r="P16" s="4">
        <f t="shared" si="4"/>
        <v>9300</v>
      </c>
      <c r="Q16" s="4"/>
      <c r="R16" s="4"/>
      <c r="S16" s="4">
        <f t="shared" si="5"/>
        <v>0</v>
      </c>
      <c r="T16" s="4">
        <f t="shared" si="6"/>
        <v>0</v>
      </c>
      <c r="U16" s="4">
        <f t="shared" si="7"/>
        <v>0</v>
      </c>
      <c r="V16" s="4"/>
      <c r="W16" s="4">
        <f t="shared" si="8"/>
        <v>0</v>
      </c>
      <c r="X16" s="4"/>
      <c r="Y16" s="4"/>
      <c r="Z16" s="4"/>
      <c r="AA16" s="58">
        <v>747000</v>
      </c>
      <c r="AB16" s="4"/>
      <c r="AC16" s="4"/>
      <c r="AD16" s="4"/>
      <c r="AE16" s="4"/>
      <c r="AF16" s="4"/>
      <c r="AG16" s="4"/>
      <c r="AH16" s="4"/>
      <c r="AI16" s="4"/>
      <c r="AJ16" s="4"/>
      <c r="AK16" s="4">
        <f t="shared" si="10"/>
        <v>0</v>
      </c>
      <c r="AL16" s="4"/>
      <c r="AM16" s="4">
        <f t="shared" si="11"/>
        <v>0</v>
      </c>
      <c r="AN16" s="4">
        <f t="shared" si="12"/>
        <v>0</v>
      </c>
      <c r="AO16" s="3"/>
      <c r="AP16" s="4">
        <f t="shared" si="13"/>
        <v>0</v>
      </c>
      <c r="AQ16" s="3"/>
      <c r="AR16" s="4"/>
      <c r="AS16" s="3"/>
      <c r="AT16" s="4"/>
      <c r="AU16" s="4">
        <f t="shared" si="14"/>
        <v>0</v>
      </c>
      <c r="AV16" s="3"/>
      <c r="AW16" s="3"/>
      <c r="AX16" s="4"/>
      <c r="AY16" s="3"/>
      <c r="AZ16" s="4">
        <f t="shared" si="15"/>
        <v>0</v>
      </c>
      <c r="BA16" s="3"/>
      <c r="BB16" s="3"/>
      <c r="BC16" s="3"/>
    </row>
    <row r="17" spans="1:55" s="5" customFormat="1">
      <c r="A17" s="3">
        <f t="shared" si="16"/>
        <v>9</v>
      </c>
      <c r="B17" s="244">
        <v>1783</v>
      </c>
      <c r="C17" s="244" t="s">
        <v>969</v>
      </c>
      <c r="D17" s="4">
        <v>127000</v>
      </c>
      <c r="E17" s="4">
        <v>127000</v>
      </c>
      <c r="F17" s="4">
        <f t="shared" si="9"/>
        <v>0</v>
      </c>
      <c r="G17" s="4">
        <v>127000</v>
      </c>
      <c r="H17" s="4">
        <v>124436.8</v>
      </c>
      <c r="I17" s="4"/>
      <c r="J17" s="4"/>
      <c r="K17" s="4">
        <f t="shared" si="0"/>
        <v>0</v>
      </c>
      <c r="L17" s="4">
        <f t="shared" si="1"/>
        <v>124436.8</v>
      </c>
      <c r="M17" s="4">
        <f t="shared" si="2"/>
        <v>2563.1999999999971</v>
      </c>
      <c r="N17" s="4"/>
      <c r="O17" s="4">
        <f t="shared" si="3"/>
        <v>0</v>
      </c>
      <c r="P17" s="4">
        <f t="shared" si="4"/>
        <v>2563.1999999999971</v>
      </c>
      <c r="Q17" s="4"/>
      <c r="R17" s="4"/>
      <c r="S17" s="4">
        <f t="shared" si="5"/>
        <v>0</v>
      </c>
      <c r="T17" s="4">
        <f t="shared" si="6"/>
        <v>0</v>
      </c>
      <c r="U17" s="4">
        <f t="shared" si="7"/>
        <v>0</v>
      </c>
      <c r="V17" s="4"/>
      <c r="W17" s="4">
        <f t="shared" si="8"/>
        <v>0</v>
      </c>
      <c r="X17" s="4"/>
      <c r="Y17" s="4"/>
      <c r="Z17" s="4"/>
      <c r="AA17" s="58">
        <v>747000</v>
      </c>
      <c r="AB17" s="4"/>
      <c r="AC17" s="4"/>
      <c r="AD17" s="4"/>
      <c r="AE17" s="4"/>
      <c r="AF17" s="4"/>
      <c r="AG17" s="4"/>
      <c r="AH17" s="4"/>
      <c r="AI17" s="4"/>
      <c r="AJ17" s="4"/>
      <c r="AK17" s="4">
        <f t="shared" si="10"/>
        <v>0</v>
      </c>
      <c r="AL17" s="4"/>
      <c r="AM17" s="4">
        <f t="shared" si="11"/>
        <v>0</v>
      </c>
      <c r="AN17" s="4">
        <f t="shared" si="12"/>
        <v>0</v>
      </c>
      <c r="AO17" s="3"/>
      <c r="AP17" s="4">
        <f t="shared" si="13"/>
        <v>0</v>
      </c>
      <c r="AQ17" s="3"/>
      <c r="AR17" s="4"/>
      <c r="AS17" s="3"/>
      <c r="AT17" s="4"/>
      <c r="AU17" s="4">
        <f t="shared" si="14"/>
        <v>0</v>
      </c>
      <c r="AV17" s="3"/>
      <c r="AW17" s="3"/>
      <c r="AX17" s="4"/>
      <c r="AY17" s="3"/>
      <c r="AZ17" s="4">
        <f t="shared" si="15"/>
        <v>0</v>
      </c>
      <c r="BA17" s="3"/>
      <c r="BB17" s="3"/>
      <c r="BC17" s="3"/>
    </row>
    <row r="18" spans="1:55" s="5" customFormat="1">
      <c r="A18" s="3">
        <f t="shared" si="16"/>
        <v>10</v>
      </c>
      <c r="B18" s="3">
        <v>1862</v>
      </c>
      <c r="C18" s="3" t="s">
        <v>334</v>
      </c>
      <c r="D18" s="4">
        <v>2200000</v>
      </c>
      <c r="E18" s="4">
        <v>2200000</v>
      </c>
      <c r="F18" s="4">
        <f t="shared" si="9"/>
        <v>0</v>
      </c>
      <c r="G18" s="4">
        <v>2200000</v>
      </c>
      <c r="H18" s="4">
        <v>1960799.36</v>
      </c>
      <c r="I18" s="4"/>
      <c r="J18" s="4">
        <v>219769.23</v>
      </c>
      <c r="K18" s="4">
        <f t="shared" si="0"/>
        <v>219769.23</v>
      </c>
      <c r="L18" s="4">
        <f t="shared" si="1"/>
        <v>2180568.5900000003</v>
      </c>
      <c r="M18" s="4">
        <f t="shared" si="2"/>
        <v>19431.409999999683</v>
      </c>
      <c r="N18" s="4"/>
      <c r="O18" s="4">
        <f t="shared" si="3"/>
        <v>0</v>
      </c>
      <c r="P18" s="4">
        <f t="shared" si="4"/>
        <v>19431.409999999683</v>
      </c>
      <c r="Q18" s="4"/>
      <c r="R18" s="4"/>
      <c r="S18" s="4">
        <f t="shared" si="5"/>
        <v>0</v>
      </c>
      <c r="T18" s="4">
        <f t="shared" si="6"/>
        <v>0</v>
      </c>
      <c r="U18" s="4">
        <f t="shared" si="7"/>
        <v>0</v>
      </c>
      <c r="V18" s="4"/>
      <c r="W18" s="4">
        <f t="shared" si="8"/>
        <v>0</v>
      </c>
      <c r="X18" s="4"/>
      <c r="Y18" s="4"/>
      <c r="Z18" s="4"/>
      <c r="AA18" s="58">
        <v>747000</v>
      </c>
      <c r="AB18" s="4"/>
      <c r="AC18" s="4"/>
      <c r="AD18" s="4"/>
      <c r="AE18" s="4"/>
      <c r="AF18" s="4"/>
      <c r="AG18" s="4"/>
      <c r="AH18" s="4"/>
      <c r="AI18" s="4"/>
      <c r="AJ18" s="4"/>
      <c r="AK18" s="4">
        <f t="shared" si="10"/>
        <v>0</v>
      </c>
      <c r="AL18" s="4"/>
      <c r="AM18" s="4">
        <f t="shared" si="11"/>
        <v>0</v>
      </c>
      <c r="AN18" s="4">
        <f t="shared" si="12"/>
        <v>0</v>
      </c>
      <c r="AO18" s="3"/>
      <c r="AP18" s="4">
        <f t="shared" si="13"/>
        <v>0</v>
      </c>
      <c r="AQ18" s="3"/>
      <c r="AR18" s="4"/>
      <c r="AS18" s="3"/>
      <c r="AT18" s="4"/>
      <c r="AU18" s="4">
        <f t="shared" si="14"/>
        <v>0</v>
      </c>
      <c r="AV18" s="3"/>
      <c r="AW18" s="3"/>
      <c r="AX18" s="4"/>
      <c r="AY18" s="3"/>
      <c r="AZ18" s="4">
        <f t="shared" si="15"/>
        <v>0</v>
      </c>
      <c r="BA18" s="3"/>
      <c r="BB18" s="3"/>
      <c r="BC18" s="3"/>
    </row>
    <row r="19" spans="1:55" s="5" customFormat="1">
      <c r="A19" s="3">
        <f t="shared" si="16"/>
        <v>11</v>
      </c>
      <c r="B19" s="244">
        <v>1863</v>
      </c>
      <c r="C19" s="244" t="s">
        <v>1166</v>
      </c>
      <c r="D19" s="4">
        <v>70000</v>
      </c>
      <c r="E19" s="4">
        <v>70000</v>
      </c>
      <c r="F19" s="4">
        <f t="shared" si="9"/>
        <v>0</v>
      </c>
      <c r="G19" s="4">
        <v>70000</v>
      </c>
      <c r="H19" s="4">
        <v>4625</v>
      </c>
      <c r="I19" s="4"/>
      <c r="J19" s="4"/>
      <c r="K19" s="4">
        <f t="shared" si="0"/>
        <v>0</v>
      </c>
      <c r="L19" s="4">
        <f t="shared" si="1"/>
        <v>4625</v>
      </c>
      <c r="M19" s="4">
        <f t="shared" si="2"/>
        <v>65375</v>
      </c>
      <c r="N19" s="4"/>
      <c r="O19" s="4">
        <f t="shared" si="3"/>
        <v>0</v>
      </c>
      <c r="P19" s="4">
        <f t="shared" si="4"/>
        <v>65375</v>
      </c>
      <c r="Q19" s="4"/>
      <c r="R19" s="4"/>
      <c r="S19" s="4">
        <f t="shared" si="5"/>
        <v>0</v>
      </c>
      <c r="T19" s="4">
        <f t="shared" si="6"/>
        <v>0</v>
      </c>
      <c r="U19" s="4">
        <f t="shared" si="7"/>
        <v>0</v>
      </c>
      <c r="V19" s="4"/>
      <c r="W19" s="4">
        <f t="shared" si="8"/>
        <v>0</v>
      </c>
      <c r="X19" s="4"/>
      <c r="Y19" s="4"/>
      <c r="Z19" s="4"/>
      <c r="AA19" s="58">
        <v>747000</v>
      </c>
      <c r="AB19" s="4"/>
      <c r="AC19" s="4"/>
      <c r="AD19" s="4"/>
      <c r="AE19" s="4"/>
      <c r="AF19" s="4"/>
      <c r="AG19" s="4"/>
      <c r="AH19" s="4"/>
      <c r="AI19" s="4"/>
      <c r="AJ19" s="4"/>
      <c r="AK19" s="4">
        <f t="shared" si="10"/>
        <v>0</v>
      </c>
      <c r="AL19" s="4"/>
      <c r="AM19" s="4">
        <f t="shared" si="11"/>
        <v>0</v>
      </c>
      <c r="AN19" s="4">
        <f t="shared" si="12"/>
        <v>0</v>
      </c>
      <c r="AO19" s="3"/>
      <c r="AP19" s="4">
        <f t="shared" si="13"/>
        <v>0</v>
      </c>
      <c r="AQ19" s="3"/>
      <c r="AR19" s="4"/>
      <c r="AS19" s="3"/>
      <c r="AT19" s="4"/>
      <c r="AU19" s="4">
        <f t="shared" si="14"/>
        <v>0</v>
      </c>
      <c r="AV19" s="3"/>
      <c r="AW19" s="3"/>
      <c r="AX19" s="4"/>
      <c r="AY19" s="3"/>
      <c r="AZ19" s="4">
        <f t="shared" si="15"/>
        <v>0</v>
      </c>
      <c r="BA19" s="3"/>
      <c r="BB19" s="3"/>
      <c r="BC19" s="3"/>
    </row>
    <row r="20" spans="1:55" s="5" customFormat="1">
      <c r="A20" s="3">
        <f t="shared" si="16"/>
        <v>12</v>
      </c>
      <c r="B20" s="3">
        <v>1864</v>
      </c>
      <c r="C20" s="3" t="s">
        <v>372</v>
      </c>
      <c r="D20" s="4">
        <v>1500000</v>
      </c>
      <c r="E20" s="4">
        <v>1500000</v>
      </c>
      <c r="F20" s="4">
        <f t="shared" si="9"/>
        <v>0</v>
      </c>
      <c r="G20" s="4">
        <v>100000</v>
      </c>
      <c r="H20" s="4">
        <v>57304.54</v>
      </c>
      <c r="I20" s="4"/>
      <c r="J20" s="4">
        <v>42695.45</v>
      </c>
      <c r="K20" s="4">
        <f t="shared" si="0"/>
        <v>42695.45</v>
      </c>
      <c r="L20" s="4">
        <f t="shared" si="1"/>
        <v>99999.989999999991</v>
      </c>
      <c r="M20" s="4">
        <f t="shared" si="2"/>
        <v>1.0000000009313226E-2</v>
      </c>
      <c r="N20" s="4">
        <v>200000</v>
      </c>
      <c r="O20" s="4">
        <f t="shared" si="3"/>
        <v>1200000</v>
      </c>
      <c r="P20" s="4">
        <f t="shared" si="4"/>
        <v>1.0000000009313226E-2</v>
      </c>
      <c r="Q20" s="4"/>
      <c r="R20" s="4"/>
      <c r="S20" s="4">
        <f t="shared" si="5"/>
        <v>0</v>
      </c>
      <c r="T20" s="4">
        <f t="shared" si="6"/>
        <v>0</v>
      </c>
      <c r="U20" s="4">
        <f t="shared" si="7"/>
        <v>200000</v>
      </c>
      <c r="V20" s="4"/>
      <c r="W20" s="4">
        <f t="shared" si="8"/>
        <v>200000</v>
      </c>
      <c r="X20" s="4"/>
      <c r="Y20" s="4"/>
      <c r="Z20" s="4"/>
      <c r="AA20" s="58">
        <v>747000</v>
      </c>
      <c r="AB20" s="4"/>
      <c r="AC20" s="4">
        <v>150000</v>
      </c>
      <c r="AD20" s="4">
        <v>50000</v>
      </c>
      <c r="AE20" s="4"/>
      <c r="AF20" s="4"/>
      <c r="AG20" s="4"/>
      <c r="AH20" s="4"/>
      <c r="AI20" s="4"/>
      <c r="AJ20" s="4"/>
      <c r="AK20" s="4">
        <f t="shared" si="10"/>
        <v>200000</v>
      </c>
      <c r="AL20" s="4"/>
      <c r="AM20" s="4">
        <f t="shared" si="11"/>
        <v>200000</v>
      </c>
      <c r="AN20" s="4">
        <f t="shared" si="12"/>
        <v>0</v>
      </c>
      <c r="AO20" s="3"/>
      <c r="AP20" s="4">
        <f t="shared" si="13"/>
        <v>200000</v>
      </c>
      <c r="AQ20" s="3"/>
      <c r="AR20" s="4"/>
      <c r="AS20" s="3"/>
      <c r="AT20" s="4"/>
      <c r="AU20" s="4">
        <f t="shared" si="14"/>
        <v>0</v>
      </c>
      <c r="AV20" s="3"/>
      <c r="AW20" s="3"/>
      <c r="AX20" s="4"/>
      <c r="AY20" s="3"/>
      <c r="AZ20" s="4">
        <f t="shared" si="15"/>
        <v>0</v>
      </c>
      <c r="BA20" s="3"/>
      <c r="BB20" s="3"/>
      <c r="BC20" s="3"/>
    </row>
    <row r="21" spans="1:55" s="5" customFormat="1">
      <c r="A21" s="3">
        <f t="shared" si="16"/>
        <v>13</v>
      </c>
      <c r="B21" s="244">
        <v>1876</v>
      </c>
      <c r="C21" s="244" t="s">
        <v>970</v>
      </c>
      <c r="D21" s="4">
        <v>30000</v>
      </c>
      <c r="E21" s="4">
        <v>30000</v>
      </c>
      <c r="F21" s="4">
        <f t="shared" si="9"/>
        <v>0</v>
      </c>
      <c r="G21" s="4">
        <v>30000</v>
      </c>
      <c r="H21" s="4">
        <v>29999.97</v>
      </c>
      <c r="I21" s="4"/>
      <c r="J21" s="4"/>
      <c r="K21" s="4">
        <f t="shared" si="0"/>
        <v>0</v>
      </c>
      <c r="L21" s="4">
        <f t="shared" si="1"/>
        <v>29999.97</v>
      </c>
      <c r="M21" s="4">
        <f t="shared" si="2"/>
        <v>2.9999999998835847E-2</v>
      </c>
      <c r="N21" s="4"/>
      <c r="O21" s="4">
        <f t="shared" si="3"/>
        <v>0</v>
      </c>
      <c r="P21" s="4">
        <f t="shared" si="4"/>
        <v>2.9999999998835847E-2</v>
      </c>
      <c r="Q21" s="4"/>
      <c r="R21" s="4"/>
      <c r="S21" s="4">
        <f t="shared" si="5"/>
        <v>0</v>
      </c>
      <c r="T21" s="4">
        <f t="shared" si="6"/>
        <v>0</v>
      </c>
      <c r="U21" s="4">
        <f t="shared" si="7"/>
        <v>0</v>
      </c>
      <c r="V21" s="4"/>
      <c r="W21" s="4">
        <f t="shared" si="8"/>
        <v>0</v>
      </c>
      <c r="X21" s="4"/>
      <c r="Y21" s="4"/>
      <c r="Z21" s="4"/>
      <c r="AA21" s="58">
        <v>747000</v>
      </c>
      <c r="AB21" s="4"/>
      <c r="AC21" s="4"/>
      <c r="AD21" s="4"/>
      <c r="AE21" s="4"/>
      <c r="AF21" s="4"/>
      <c r="AG21" s="4"/>
      <c r="AH21" s="4"/>
      <c r="AI21" s="4"/>
      <c r="AJ21" s="4"/>
      <c r="AK21" s="4">
        <f t="shared" si="10"/>
        <v>0</v>
      </c>
      <c r="AL21" s="4"/>
      <c r="AM21" s="4">
        <f t="shared" si="11"/>
        <v>0</v>
      </c>
      <c r="AN21" s="4">
        <f t="shared" si="12"/>
        <v>0</v>
      </c>
      <c r="AO21" s="3"/>
      <c r="AP21" s="4">
        <f t="shared" si="13"/>
        <v>0</v>
      </c>
      <c r="AQ21" s="3"/>
      <c r="AR21" s="4"/>
      <c r="AS21" s="3"/>
      <c r="AT21" s="4"/>
      <c r="AU21" s="4">
        <f t="shared" si="14"/>
        <v>0</v>
      </c>
      <c r="AV21" s="3"/>
      <c r="AW21" s="3"/>
      <c r="AX21" s="4"/>
      <c r="AY21" s="3"/>
      <c r="AZ21" s="4">
        <f t="shared" si="15"/>
        <v>0</v>
      </c>
      <c r="BA21" s="3"/>
      <c r="BB21" s="3"/>
      <c r="BC21" s="3"/>
    </row>
    <row r="22" spans="1:55" s="5" customFormat="1">
      <c r="A22" s="3">
        <f t="shared" si="16"/>
        <v>14</v>
      </c>
      <c r="B22" s="244">
        <v>1877</v>
      </c>
      <c r="C22" s="244" t="s">
        <v>971</v>
      </c>
      <c r="D22" s="4">
        <v>85000</v>
      </c>
      <c r="E22" s="4">
        <v>85000</v>
      </c>
      <c r="F22" s="4">
        <f t="shared" si="9"/>
        <v>0</v>
      </c>
      <c r="G22" s="4">
        <v>85000</v>
      </c>
      <c r="H22" s="4">
        <v>75703</v>
      </c>
      <c r="I22" s="4"/>
      <c r="J22" s="4"/>
      <c r="K22" s="4">
        <f t="shared" si="0"/>
        <v>0</v>
      </c>
      <c r="L22" s="4">
        <f t="shared" si="1"/>
        <v>75703</v>
      </c>
      <c r="M22" s="4">
        <f t="shared" si="2"/>
        <v>9297</v>
      </c>
      <c r="N22" s="4"/>
      <c r="O22" s="4">
        <f t="shared" si="3"/>
        <v>0</v>
      </c>
      <c r="P22" s="4">
        <f t="shared" si="4"/>
        <v>9297</v>
      </c>
      <c r="Q22" s="4"/>
      <c r="R22" s="4"/>
      <c r="S22" s="4">
        <f t="shared" si="5"/>
        <v>0</v>
      </c>
      <c r="T22" s="4">
        <f t="shared" si="6"/>
        <v>0</v>
      </c>
      <c r="U22" s="4">
        <f t="shared" si="7"/>
        <v>0</v>
      </c>
      <c r="V22" s="4"/>
      <c r="W22" s="4">
        <f t="shared" si="8"/>
        <v>0</v>
      </c>
      <c r="X22" s="4"/>
      <c r="Y22" s="4"/>
      <c r="Z22" s="4"/>
      <c r="AA22" s="58">
        <v>747000</v>
      </c>
      <c r="AB22" s="4"/>
      <c r="AC22" s="4"/>
      <c r="AD22" s="4"/>
      <c r="AE22" s="4"/>
      <c r="AF22" s="4"/>
      <c r="AG22" s="4"/>
      <c r="AH22" s="4"/>
      <c r="AI22" s="4"/>
      <c r="AJ22" s="4"/>
      <c r="AK22" s="4">
        <f t="shared" si="10"/>
        <v>0</v>
      </c>
      <c r="AL22" s="4"/>
      <c r="AM22" s="4">
        <f t="shared" si="11"/>
        <v>0</v>
      </c>
      <c r="AN22" s="4">
        <f t="shared" si="12"/>
        <v>0</v>
      </c>
      <c r="AO22" s="3"/>
      <c r="AP22" s="4">
        <f t="shared" si="13"/>
        <v>0</v>
      </c>
      <c r="AQ22" s="3"/>
      <c r="AR22" s="4"/>
      <c r="AS22" s="3"/>
      <c r="AT22" s="4"/>
      <c r="AU22" s="4">
        <f t="shared" si="14"/>
        <v>0</v>
      </c>
      <c r="AV22" s="3"/>
      <c r="AW22" s="3"/>
      <c r="AX22" s="4"/>
      <c r="AY22" s="3"/>
      <c r="AZ22" s="4">
        <f t="shared" si="15"/>
        <v>0</v>
      </c>
      <c r="BA22" s="3"/>
      <c r="BB22" s="3"/>
      <c r="BC22" s="3"/>
    </row>
    <row r="23" spans="1:55" s="5" customFormat="1">
      <c r="A23" s="3">
        <f t="shared" si="16"/>
        <v>15</v>
      </c>
      <c r="B23" s="244">
        <v>1878</v>
      </c>
      <c r="C23" s="244" t="s">
        <v>972</v>
      </c>
      <c r="D23" s="4">
        <v>20000</v>
      </c>
      <c r="E23" s="4">
        <v>20000</v>
      </c>
      <c r="F23" s="4">
        <f t="shared" si="9"/>
        <v>0</v>
      </c>
      <c r="G23" s="4">
        <v>20000</v>
      </c>
      <c r="H23" s="4">
        <v>19999.990000000002</v>
      </c>
      <c r="I23" s="4"/>
      <c r="J23" s="4"/>
      <c r="K23" s="4">
        <f t="shared" si="0"/>
        <v>0</v>
      </c>
      <c r="L23" s="4">
        <f t="shared" si="1"/>
        <v>19999.990000000002</v>
      </c>
      <c r="M23" s="4">
        <f t="shared" si="2"/>
        <v>9.9999999983992893E-3</v>
      </c>
      <c r="N23" s="4"/>
      <c r="O23" s="4">
        <f t="shared" si="3"/>
        <v>0</v>
      </c>
      <c r="P23" s="4">
        <f t="shared" si="4"/>
        <v>9.9999999983992893E-3</v>
      </c>
      <c r="Q23" s="4"/>
      <c r="R23" s="4"/>
      <c r="S23" s="4">
        <f t="shared" si="5"/>
        <v>0</v>
      </c>
      <c r="T23" s="4">
        <f t="shared" si="6"/>
        <v>0</v>
      </c>
      <c r="U23" s="4">
        <f t="shared" si="7"/>
        <v>0</v>
      </c>
      <c r="V23" s="4"/>
      <c r="W23" s="4">
        <f t="shared" si="8"/>
        <v>0</v>
      </c>
      <c r="X23" s="4"/>
      <c r="Y23" s="4"/>
      <c r="Z23" s="4"/>
      <c r="AA23" s="58">
        <v>747000</v>
      </c>
      <c r="AB23" s="4"/>
      <c r="AC23" s="4"/>
      <c r="AD23" s="4"/>
      <c r="AE23" s="4"/>
      <c r="AF23" s="4"/>
      <c r="AG23" s="4"/>
      <c r="AH23" s="4"/>
      <c r="AI23" s="4"/>
      <c r="AJ23" s="4"/>
      <c r="AK23" s="4">
        <f t="shared" si="10"/>
        <v>0</v>
      </c>
      <c r="AL23" s="4"/>
      <c r="AM23" s="4">
        <f t="shared" si="11"/>
        <v>0</v>
      </c>
      <c r="AN23" s="4">
        <f t="shared" si="12"/>
        <v>0</v>
      </c>
      <c r="AO23" s="3"/>
      <c r="AP23" s="4">
        <f t="shared" si="13"/>
        <v>0</v>
      </c>
      <c r="AQ23" s="3"/>
      <c r="AR23" s="4"/>
      <c r="AS23" s="3"/>
      <c r="AT23" s="4"/>
      <c r="AU23" s="4">
        <f t="shared" si="14"/>
        <v>0</v>
      </c>
      <c r="AV23" s="3"/>
      <c r="AW23" s="3"/>
      <c r="AX23" s="4"/>
      <c r="AY23" s="3"/>
      <c r="AZ23" s="4">
        <f t="shared" si="15"/>
        <v>0</v>
      </c>
      <c r="BA23" s="3"/>
      <c r="BB23" s="3"/>
      <c r="BC23" s="3"/>
    </row>
    <row r="24" spans="1:55" s="5" customFormat="1">
      <c r="A24" s="3">
        <f t="shared" si="16"/>
        <v>16</v>
      </c>
      <c r="B24" s="244">
        <v>1879</v>
      </c>
      <c r="C24" s="244" t="s">
        <v>973</v>
      </c>
      <c r="D24" s="4">
        <v>48000</v>
      </c>
      <c r="E24" s="4">
        <v>48000</v>
      </c>
      <c r="F24" s="4">
        <f t="shared" si="9"/>
        <v>0</v>
      </c>
      <c r="G24" s="4">
        <v>48000</v>
      </c>
      <c r="H24" s="4">
        <v>36272.89</v>
      </c>
      <c r="I24" s="4"/>
      <c r="J24" s="4">
        <v>7897.5</v>
      </c>
      <c r="K24" s="4">
        <f t="shared" si="0"/>
        <v>7897.5</v>
      </c>
      <c r="L24" s="4">
        <f t="shared" si="1"/>
        <v>44170.39</v>
      </c>
      <c r="M24" s="4">
        <f t="shared" si="2"/>
        <v>3829.6100000000006</v>
      </c>
      <c r="N24" s="4"/>
      <c r="O24" s="4">
        <f t="shared" si="3"/>
        <v>0</v>
      </c>
      <c r="P24" s="4">
        <f t="shared" si="4"/>
        <v>3829.6100000000006</v>
      </c>
      <c r="Q24" s="4"/>
      <c r="R24" s="4"/>
      <c r="S24" s="4">
        <f t="shared" si="5"/>
        <v>0</v>
      </c>
      <c r="T24" s="4">
        <f t="shared" si="6"/>
        <v>0</v>
      </c>
      <c r="U24" s="4">
        <f t="shared" si="7"/>
        <v>0</v>
      </c>
      <c r="V24" s="4"/>
      <c r="W24" s="4">
        <f t="shared" si="8"/>
        <v>0</v>
      </c>
      <c r="X24" s="4"/>
      <c r="Y24" s="4"/>
      <c r="Z24" s="4"/>
      <c r="AA24" s="58">
        <v>747000</v>
      </c>
      <c r="AB24" s="4"/>
      <c r="AC24" s="4"/>
      <c r="AD24" s="4"/>
      <c r="AE24" s="4"/>
      <c r="AF24" s="4"/>
      <c r="AG24" s="4"/>
      <c r="AH24" s="4"/>
      <c r="AI24" s="4"/>
      <c r="AJ24" s="4"/>
      <c r="AK24" s="4">
        <f t="shared" si="10"/>
        <v>0</v>
      </c>
      <c r="AL24" s="4"/>
      <c r="AM24" s="4">
        <f t="shared" si="11"/>
        <v>0</v>
      </c>
      <c r="AN24" s="4">
        <f t="shared" si="12"/>
        <v>0</v>
      </c>
      <c r="AO24" s="3"/>
      <c r="AP24" s="4">
        <f t="shared" si="13"/>
        <v>0</v>
      </c>
      <c r="AQ24" s="3"/>
      <c r="AR24" s="4"/>
      <c r="AS24" s="3"/>
      <c r="AT24" s="4"/>
      <c r="AU24" s="4">
        <f t="shared" si="14"/>
        <v>0</v>
      </c>
      <c r="AV24" s="3"/>
      <c r="AW24" s="3"/>
      <c r="AX24" s="4"/>
      <c r="AY24" s="3"/>
      <c r="AZ24" s="4">
        <f t="shared" si="15"/>
        <v>0</v>
      </c>
      <c r="BA24" s="3"/>
      <c r="BB24" s="3"/>
      <c r="BC24" s="3"/>
    </row>
    <row r="25" spans="1:55" s="5" customFormat="1">
      <c r="A25" s="3">
        <f t="shared" si="16"/>
        <v>17</v>
      </c>
      <c r="B25" s="244">
        <v>1880</v>
      </c>
      <c r="C25" s="244" t="s">
        <v>974</v>
      </c>
      <c r="D25" s="4">
        <v>85000</v>
      </c>
      <c r="E25" s="4">
        <v>85000</v>
      </c>
      <c r="F25" s="4">
        <f t="shared" si="9"/>
        <v>0</v>
      </c>
      <c r="G25" s="4">
        <v>85000</v>
      </c>
      <c r="H25" s="4">
        <v>85001</v>
      </c>
      <c r="I25" s="4"/>
      <c r="J25" s="4"/>
      <c r="K25" s="4">
        <f t="shared" si="0"/>
        <v>0</v>
      </c>
      <c r="L25" s="4">
        <f t="shared" si="1"/>
        <v>85001</v>
      </c>
      <c r="M25" s="4">
        <f t="shared" si="2"/>
        <v>-1</v>
      </c>
      <c r="N25" s="4"/>
      <c r="O25" s="4">
        <f t="shared" si="3"/>
        <v>0</v>
      </c>
      <c r="P25" s="4">
        <f t="shared" si="4"/>
        <v>-1</v>
      </c>
      <c r="Q25" s="4"/>
      <c r="R25" s="4"/>
      <c r="S25" s="4">
        <f t="shared" si="5"/>
        <v>0</v>
      </c>
      <c r="T25" s="4">
        <f t="shared" si="6"/>
        <v>0</v>
      </c>
      <c r="U25" s="4">
        <f t="shared" si="7"/>
        <v>0</v>
      </c>
      <c r="V25" s="4"/>
      <c r="W25" s="4">
        <f t="shared" si="8"/>
        <v>0</v>
      </c>
      <c r="X25" s="4"/>
      <c r="Y25" s="4"/>
      <c r="Z25" s="4"/>
      <c r="AA25" s="58">
        <v>747000</v>
      </c>
      <c r="AB25" s="4"/>
      <c r="AC25" s="4"/>
      <c r="AD25" s="4"/>
      <c r="AE25" s="4"/>
      <c r="AF25" s="4"/>
      <c r="AG25" s="4"/>
      <c r="AH25" s="4"/>
      <c r="AI25" s="4"/>
      <c r="AJ25" s="4"/>
      <c r="AK25" s="4">
        <f t="shared" si="10"/>
        <v>0</v>
      </c>
      <c r="AL25" s="4"/>
      <c r="AM25" s="4">
        <f t="shared" si="11"/>
        <v>0</v>
      </c>
      <c r="AN25" s="4">
        <f t="shared" si="12"/>
        <v>0</v>
      </c>
      <c r="AO25" s="3"/>
      <c r="AP25" s="4">
        <f t="shared" si="13"/>
        <v>0</v>
      </c>
      <c r="AQ25" s="3"/>
      <c r="AR25" s="4"/>
      <c r="AS25" s="3"/>
      <c r="AT25" s="4"/>
      <c r="AU25" s="4">
        <f t="shared" si="14"/>
        <v>0</v>
      </c>
      <c r="AV25" s="3"/>
      <c r="AW25" s="3"/>
      <c r="AX25" s="4"/>
      <c r="AY25" s="3"/>
      <c r="AZ25" s="4">
        <f t="shared" si="15"/>
        <v>0</v>
      </c>
      <c r="BA25" s="3"/>
      <c r="BB25" s="3"/>
      <c r="BC25" s="3"/>
    </row>
    <row r="26" spans="1:55" s="5" customFormat="1">
      <c r="A26" s="3">
        <f t="shared" si="16"/>
        <v>18</v>
      </c>
      <c r="B26" s="244">
        <v>1881</v>
      </c>
      <c r="C26" s="244" t="s">
        <v>975</v>
      </c>
      <c r="D26" s="4">
        <v>100000</v>
      </c>
      <c r="E26" s="4">
        <v>100000</v>
      </c>
      <c r="F26" s="4">
        <f t="shared" si="9"/>
        <v>0</v>
      </c>
      <c r="G26" s="4">
        <v>100000</v>
      </c>
      <c r="H26" s="4">
        <v>42475.94</v>
      </c>
      <c r="I26" s="4"/>
      <c r="J26" s="4">
        <v>8350.6</v>
      </c>
      <c r="K26" s="4">
        <f t="shared" si="0"/>
        <v>8350.6</v>
      </c>
      <c r="L26" s="4">
        <f t="shared" si="1"/>
        <v>50826.54</v>
      </c>
      <c r="M26" s="4">
        <f t="shared" si="2"/>
        <v>49173.46</v>
      </c>
      <c r="N26" s="4"/>
      <c r="O26" s="4">
        <f t="shared" si="3"/>
        <v>0</v>
      </c>
      <c r="P26" s="4">
        <f t="shared" si="4"/>
        <v>49173.46</v>
      </c>
      <c r="Q26" s="4"/>
      <c r="R26" s="4"/>
      <c r="S26" s="4">
        <f t="shared" si="5"/>
        <v>0</v>
      </c>
      <c r="T26" s="4">
        <f t="shared" si="6"/>
        <v>0</v>
      </c>
      <c r="U26" s="4">
        <f t="shared" si="7"/>
        <v>0</v>
      </c>
      <c r="V26" s="4"/>
      <c r="W26" s="4">
        <f t="shared" si="8"/>
        <v>0</v>
      </c>
      <c r="X26" s="4"/>
      <c r="Y26" s="4"/>
      <c r="Z26" s="4"/>
      <c r="AA26" s="58">
        <v>747000</v>
      </c>
      <c r="AB26" s="4"/>
      <c r="AC26" s="4"/>
      <c r="AD26" s="4"/>
      <c r="AE26" s="4"/>
      <c r="AF26" s="4"/>
      <c r="AG26" s="4"/>
      <c r="AH26" s="4"/>
      <c r="AI26" s="4"/>
      <c r="AJ26" s="4"/>
      <c r="AK26" s="4">
        <f t="shared" si="10"/>
        <v>0</v>
      </c>
      <c r="AL26" s="4"/>
      <c r="AM26" s="4">
        <f t="shared" si="11"/>
        <v>0</v>
      </c>
      <c r="AN26" s="4">
        <f t="shared" si="12"/>
        <v>0</v>
      </c>
      <c r="AO26" s="3"/>
      <c r="AP26" s="4">
        <f t="shared" si="13"/>
        <v>0</v>
      </c>
      <c r="AQ26" s="3"/>
      <c r="AR26" s="4"/>
      <c r="AS26" s="3"/>
      <c r="AT26" s="4"/>
      <c r="AU26" s="4">
        <f t="shared" si="14"/>
        <v>0</v>
      </c>
      <c r="AV26" s="3"/>
      <c r="AW26" s="3"/>
      <c r="AX26" s="4"/>
      <c r="AY26" s="3"/>
      <c r="AZ26" s="4">
        <f t="shared" si="15"/>
        <v>0</v>
      </c>
      <c r="BA26" s="3"/>
      <c r="BB26" s="3"/>
      <c r="BC26" s="3"/>
    </row>
    <row r="27" spans="1:55" s="5" customFormat="1">
      <c r="A27" s="3">
        <f t="shared" si="16"/>
        <v>19</v>
      </c>
      <c r="B27" s="3">
        <v>1923</v>
      </c>
      <c r="C27" s="3" t="s">
        <v>244</v>
      </c>
      <c r="D27" s="4">
        <v>350000</v>
      </c>
      <c r="E27" s="4">
        <v>350000</v>
      </c>
      <c r="F27" s="4">
        <f t="shared" si="9"/>
        <v>0</v>
      </c>
      <c r="G27" s="4">
        <v>350000</v>
      </c>
      <c r="H27" s="4">
        <v>321353.59999999998</v>
      </c>
      <c r="I27" s="4"/>
      <c r="J27" s="4">
        <v>28646.28</v>
      </c>
      <c r="K27" s="4">
        <f t="shared" si="0"/>
        <v>28646.28</v>
      </c>
      <c r="L27" s="4">
        <f t="shared" si="1"/>
        <v>349999.88</v>
      </c>
      <c r="M27" s="4">
        <f t="shared" si="2"/>
        <v>0.11999999999534339</v>
      </c>
      <c r="N27" s="4"/>
      <c r="O27" s="4">
        <f t="shared" si="3"/>
        <v>0</v>
      </c>
      <c r="P27" s="4">
        <f t="shared" si="4"/>
        <v>0.11999999999534339</v>
      </c>
      <c r="Q27" s="4"/>
      <c r="R27" s="4"/>
      <c r="S27" s="4">
        <f t="shared" si="5"/>
        <v>0</v>
      </c>
      <c r="T27" s="4">
        <f t="shared" si="6"/>
        <v>0</v>
      </c>
      <c r="U27" s="4">
        <f t="shared" si="7"/>
        <v>0</v>
      </c>
      <c r="V27" s="4"/>
      <c r="W27" s="4">
        <f t="shared" si="8"/>
        <v>0</v>
      </c>
      <c r="X27" s="4"/>
      <c r="Y27" s="4"/>
      <c r="Z27" s="4"/>
      <c r="AA27" s="58">
        <v>747000</v>
      </c>
      <c r="AB27" s="4"/>
      <c r="AC27" s="4"/>
      <c r="AD27" s="4"/>
      <c r="AE27" s="4"/>
      <c r="AF27" s="4"/>
      <c r="AG27" s="4"/>
      <c r="AH27" s="4"/>
      <c r="AI27" s="4"/>
      <c r="AJ27" s="4"/>
      <c r="AK27" s="4">
        <f t="shared" si="10"/>
        <v>0</v>
      </c>
      <c r="AL27" s="4"/>
      <c r="AM27" s="4">
        <f t="shared" si="11"/>
        <v>0</v>
      </c>
      <c r="AN27" s="4">
        <f t="shared" si="12"/>
        <v>0</v>
      </c>
      <c r="AO27" s="3"/>
      <c r="AP27" s="4">
        <f t="shared" si="13"/>
        <v>0</v>
      </c>
      <c r="AQ27" s="3"/>
      <c r="AR27" s="4"/>
      <c r="AS27" s="3"/>
      <c r="AT27" s="4"/>
      <c r="AU27" s="4">
        <f t="shared" si="14"/>
        <v>0</v>
      </c>
      <c r="AV27" s="3"/>
      <c r="AW27" s="3"/>
      <c r="AX27" s="4"/>
      <c r="AY27" s="3"/>
      <c r="AZ27" s="4">
        <f t="shared" si="15"/>
        <v>0</v>
      </c>
      <c r="BA27" s="3"/>
      <c r="BB27" s="3"/>
      <c r="BC27" s="3"/>
    </row>
    <row r="28" spans="1:55" s="5" customFormat="1">
      <c r="A28" s="3">
        <f t="shared" si="16"/>
        <v>20</v>
      </c>
      <c r="B28" s="244">
        <v>1928</v>
      </c>
      <c r="C28" s="244" t="s">
        <v>976</v>
      </c>
      <c r="D28" s="4">
        <v>100000</v>
      </c>
      <c r="E28" s="4">
        <v>100000</v>
      </c>
      <c r="F28" s="4">
        <f t="shared" si="9"/>
        <v>0</v>
      </c>
      <c r="G28" s="4">
        <v>100000</v>
      </c>
      <c r="H28" s="4">
        <v>95823.38</v>
      </c>
      <c r="I28" s="4"/>
      <c r="J28" s="4"/>
      <c r="K28" s="4">
        <f t="shared" si="0"/>
        <v>0</v>
      </c>
      <c r="L28" s="4">
        <f t="shared" si="1"/>
        <v>95823.38</v>
      </c>
      <c r="M28" s="4">
        <f t="shared" si="2"/>
        <v>4176.6199999999953</v>
      </c>
      <c r="N28" s="4"/>
      <c r="O28" s="4">
        <f t="shared" si="3"/>
        <v>0</v>
      </c>
      <c r="P28" s="4">
        <f t="shared" si="4"/>
        <v>4176.6199999999953</v>
      </c>
      <c r="Q28" s="4"/>
      <c r="R28" s="4"/>
      <c r="S28" s="4">
        <f t="shared" si="5"/>
        <v>0</v>
      </c>
      <c r="T28" s="4">
        <f t="shared" si="6"/>
        <v>0</v>
      </c>
      <c r="U28" s="4">
        <f t="shared" si="7"/>
        <v>0</v>
      </c>
      <c r="V28" s="4"/>
      <c r="W28" s="4">
        <f t="shared" si="8"/>
        <v>0</v>
      </c>
      <c r="X28" s="4"/>
      <c r="Y28" s="4"/>
      <c r="Z28" s="4"/>
      <c r="AA28" s="58">
        <v>747000</v>
      </c>
      <c r="AB28" s="4"/>
      <c r="AC28" s="4"/>
      <c r="AD28" s="4"/>
      <c r="AE28" s="4"/>
      <c r="AF28" s="4"/>
      <c r="AG28" s="4"/>
      <c r="AH28" s="4"/>
      <c r="AI28" s="4"/>
      <c r="AJ28" s="4"/>
      <c r="AK28" s="4">
        <f t="shared" si="10"/>
        <v>0</v>
      </c>
      <c r="AL28" s="4"/>
      <c r="AM28" s="4">
        <f t="shared" si="11"/>
        <v>0</v>
      </c>
      <c r="AN28" s="4">
        <f t="shared" si="12"/>
        <v>0</v>
      </c>
      <c r="AO28" s="3"/>
      <c r="AP28" s="4">
        <f t="shared" si="13"/>
        <v>0</v>
      </c>
      <c r="AQ28" s="3"/>
      <c r="AR28" s="4"/>
      <c r="AS28" s="3"/>
      <c r="AT28" s="4"/>
      <c r="AU28" s="4">
        <f t="shared" si="14"/>
        <v>0</v>
      </c>
      <c r="AV28" s="3"/>
      <c r="AW28" s="3"/>
      <c r="AX28" s="4"/>
      <c r="AY28" s="3"/>
      <c r="AZ28" s="4">
        <f t="shared" si="15"/>
        <v>0</v>
      </c>
      <c r="BA28" s="3"/>
      <c r="BB28" s="3"/>
      <c r="BC28" s="3"/>
    </row>
    <row r="29" spans="1:55" s="5" customFormat="1">
      <c r="A29" s="3">
        <f t="shared" si="16"/>
        <v>21</v>
      </c>
      <c r="B29" s="244">
        <v>1988</v>
      </c>
      <c r="C29" s="244" t="s">
        <v>977</v>
      </c>
      <c r="D29" s="4">
        <v>30000</v>
      </c>
      <c r="E29" s="4">
        <v>30000</v>
      </c>
      <c r="F29" s="4">
        <f t="shared" si="9"/>
        <v>0</v>
      </c>
      <c r="G29" s="4">
        <v>30000</v>
      </c>
      <c r="H29" s="4">
        <v>0</v>
      </c>
      <c r="I29" s="4"/>
      <c r="J29" s="4"/>
      <c r="K29" s="4">
        <f t="shared" si="0"/>
        <v>0</v>
      </c>
      <c r="L29" s="4">
        <f t="shared" si="1"/>
        <v>0</v>
      </c>
      <c r="M29" s="4">
        <f t="shared" si="2"/>
        <v>30000</v>
      </c>
      <c r="N29" s="4"/>
      <c r="O29" s="4">
        <f t="shared" si="3"/>
        <v>0</v>
      </c>
      <c r="P29" s="4">
        <f t="shared" si="4"/>
        <v>30000</v>
      </c>
      <c r="Q29" s="4"/>
      <c r="R29" s="4"/>
      <c r="S29" s="4">
        <f t="shared" si="5"/>
        <v>0</v>
      </c>
      <c r="T29" s="4">
        <f t="shared" si="6"/>
        <v>0</v>
      </c>
      <c r="U29" s="4">
        <f t="shared" si="7"/>
        <v>0</v>
      </c>
      <c r="V29" s="4"/>
      <c r="W29" s="4">
        <f t="shared" si="8"/>
        <v>0</v>
      </c>
      <c r="X29" s="4"/>
      <c r="Y29" s="4"/>
      <c r="Z29" s="4"/>
      <c r="AA29" s="58">
        <v>747000</v>
      </c>
      <c r="AB29" s="4"/>
      <c r="AC29" s="4"/>
      <c r="AD29" s="4"/>
      <c r="AE29" s="4"/>
      <c r="AF29" s="4"/>
      <c r="AG29" s="4"/>
      <c r="AH29" s="4"/>
      <c r="AI29" s="4"/>
      <c r="AJ29" s="4"/>
      <c r="AK29" s="4">
        <f t="shared" si="10"/>
        <v>0</v>
      </c>
      <c r="AL29" s="4"/>
      <c r="AM29" s="4">
        <f t="shared" si="11"/>
        <v>0</v>
      </c>
      <c r="AN29" s="4">
        <f t="shared" si="12"/>
        <v>0</v>
      </c>
      <c r="AO29" s="3"/>
      <c r="AP29" s="4">
        <f t="shared" si="13"/>
        <v>0</v>
      </c>
      <c r="AQ29" s="3"/>
      <c r="AR29" s="4"/>
      <c r="AS29" s="3"/>
      <c r="AT29" s="4"/>
      <c r="AU29" s="4">
        <f t="shared" si="14"/>
        <v>0</v>
      </c>
      <c r="AV29" s="3"/>
      <c r="AW29" s="3"/>
      <c r="AX29" s="4"/>
      <c r="AY29" s="3"/>
      <c r="AZ29" s="4">
        <f t="shared" si="15"/>
        <v>0</v>
      </c>
      <c r="BA29" s="3"/>
      <c r="BB29" s="3"/>
      <c r="BC29" s="3"/>
    </row>
    <row r="30" spans="1:55" s="5" customFormat="1">
      <c r="A30" s="3">
        <f t="shared" si="16"/>
        <v>22</v>
      </c>
      <c r="B30" s="244">
        <v>1994</v>
      </c>
      <c r="C30" s="244" t="s">
        <v>978</v>
      </c>
      <c r="D30" s="4">
        <v>112000</v>
      </c>
      <c r="E30" s="4">
        <v>112000</v>
      </c>
      <c r="F30" s="4">
        <f t="shared" si="9"/>
        <v>0</v>
      </c>
      <c r="G30" s="4">
        <v>112000</v>
      </c>
      <c r="H30" s="4">
        <v>0</v>
      </c>
      <c r="I30" s="4"/>
      <c r="J30" s="4">
        <v>56160</v>
      </c>
      <c r="K30" s="4">
        <f t="shared" si="0"/>
        <v>56160</v>
      </c>
      <c r="L30" s="4">
        <f t="shared" si="1"/>
        <v>56160</v>
      </c>
      <c r="M30" s="4">
        <f t="shared" si="2"/>
        <v>55840</v>
      </c>
      <c r="N30" s="4"/>
      <c r="O30" s="4">
        <f t="shared" si="3"/>
        <v>0</v>
      </c>
      <c r="P30" s="4">
        <f t="shared" si="4"/>
        <v>55840</v>
      </c>
      <c r="Q30" s="4"/>
      <c r="R30" s="4"/>
      <c r="S30" s="4">
        <f t="shared" si="5"/>
        <v>0</v>
      </c>
      <c r="T30" s="4">
        <f t="shared" si="6"/>
        <v>0</v>
      </c>
      <c r="U30" s="4">
        <f t="shared" si="7"/>
        <v>0</v>
      </c>
      <c r="V30" s="4"/>
      <c r="W30" s="4">
        <f t="shared" si="8"/>
        <v>0</v>
      </c>
      <c r="X30" s="4"/>
      <c r="Y30" s="4"/>
      <c r="Z30" s="4"/>
      <c r="AA30" s="58">
        <v>747000</v>
      </c>
      <c r="AB30" s="4"/>
      <c r="AC30" s="4"/>
      <c r="AD30" s="4"/>
      <c r="AE30" s="4"/>
      <c r="AF30" s="4"/>
      <c r="AG30" s="4"/>
      <c r="AH30" s="4"/>
      <c r="AI30" s="4"/>
      <c r="AJ30" s="4"/>
      <c r="AK30" s="4">
        <f t="shared" si="10"/>
        <v>0</v>
      </c>
      <c r="AL30" s="4"/>
      <c r="AM30" s="4">
        <f t="shared" si="11"/>
        <v>0</v>
      </c>
      <c r="AN30" s="4">
        <f t="shared" si="12"/>
        <v>0</v>
      </c>
      <c r="AO30" s="3"/>
      <c r="AP30" s="4">
        <f t="shared" si="13"/>
        <v>0</v>
      </c>
      <c r="AQ30" s="3"/>
      <c r="AR30" s="4"/>
      <c r="AS30" s="3"/>
      <c r="AT30" s="4"/>
      <c r="AU30" s="4">
        <f t="shared" si="14"/>
        <v>0</v>
      </c>
      <c r="AV30" s="3"/>
      <c r="AW30" s="3"/>
      <c r="AX30" s="4"/>
      <c r="AY30" s="3"/>
      <c r="AZ30" s="4">
        <f t="shared" si="15"/>
        <v>0</v>
      </c>
      <c r="BA30" s="3"/>
      <c r="BB30" s="3"/>
      <c r="BC30" s="3"/>
    </row>
    <row r="31" spans="1:55" s="5" customFormat="1">
      <c r="A31" s="3">
        <f t="shared" si="16"/>
        <v>23</v>
      </c>
      <c r="B31" s="3">
        <v>1995</v>
      </c>
      <c r="C31" s="3" t="s">
        <v>338</v>
      </c>
      <c r="D31" s="4">
        <v>170000</v>
      </c>
      <c r="E31" s="4">
        <v>170000</v>
      </c>
      <c r="F31" s="4">
        <f t="shared" si="9"/>
        <v>0</v>
      </c>
      <c r="G31" s="4">
        <v>170000</v>
      </c>
      <c r="H31" s="4">
        <v>0</v>
      </c>
      <c r="I31" s="4"/>
      <c r="J31" s="4"/>
      <c r="K31" s="4">
        <f t="shared" si="0"/>
        <v>0</v>
      </c>
      <c r="L31" s="4">
        <f t="shared" si="1"/>
        <v>0</v>
      </c>
      <c r="M31" s="4">
        <f t="shared" si="2"/>
        <v>170000</v>
      </c>
      <c r="N31" s="4"/>
      <c r="O31" s="4">
        <f t="shared" si="3"/>
        <v>0</v>
      </c>
      <c r="P31" s="4">
        <f t="shared" si="4"/>
        <v>170000</v>
      </c>
      <c r="Q31" s="4"/>
      <c r="R31" s="4"/>
      <c r="S31" s="4">
        <f t="shared" si="5"/>
        <v>0</v>
      </c>
      <c r="T31" s="4">
        <f t="shared" si="6"/>
        <v>0</v>
      </c>
      <c r="U31" s="4">
        <f t="shared" si="7"/>
        <v>0</v>
      </c>
      <c r="V31" s="4"/>
      <c r="W31" s="4">
        <f t="shared" si="8"/>
        <v>0</v>
      </c>
      <c r="X31" s="4"/>
      <c r="Y31" s="4"/>
      <c r="Z31" s="4"/>
      <c r="AA31" s="58">
        <v>747000</v>
      </c>
      <c r="AB31" s="4"/>
      <c r="AC31" s="4"/>
      <c r="AD31" s="4"/>
      <c r="AE31" s="4"/>
      <c r="AF31" s="4"/>
      <c r="AG31" s="4"/>
      <c r="AH31" s="4"/>
      <c r="AI31" s="4"/>
      <c r="AJ31" s="4"/>
      <c r="AK31" s="4">
        <f t="shared" si="10"/>
        <v>0</v>
      </c>
      <c r="AL31" s="4"/>
      <c r="AM31" s="4">
        <f t="shared" si="11"/>
        <v>0</v>
      </c>
      <c r="AN31" s="4">
        <f t="shared" si="12"/>
        <v>0</v>
      </c>
      <c r="AO31" s="3"/>
      <c r="AP31" s="4">
        <f t="shared" si="13"/>
        <v>0</v>
      </c>
      <c r="AQ31" s="3"/>
      <c r="AR31" s="4"/>
      <c r="AS31" s="3"/>
      <c r="AT31" s="4"/>
      <c r="AU31" s="4">
        <f t="shared" si="14"/>
        <v>0</v>
      </c>
      <c r="AV31" s="3"/>
      <c r="AW31" s="3"/>
      <c r="AX31" s="4"/>
      <c r="AY31" s="3"/>
      <c r="AZ31" s="4">
        <f t="shared" si="15"/>
        <v>0</v>
      </c>
      <c r="BA31" s="3"/>
      <c r="BB31" s="3"/>
      <c r="BC31" s="3"/>
    </row>
    <row r="32" spans="1:55" s="5" customFormat="1">
      <c r="A32" s="3">
        <f t="shared" si="16"/>
        <v>24</v>
      </c>
      <c r="B32" s="3">
        <v>1996</v>
      </c>
      <c r="C32" s="3" t="s">
        <v>339</v>
      </c>
      <c r="D32" s="4">
        <v>45000</v>
      </c>
      <c r="E32" s="4">
        <v>45000</v>
      </c>
      <c r="F32" s="4">
        <f t="shared" si="9"/>
        <v>0</v>
      </c>
      <c r="G32" s="4">
        <v>45000</v>
      </c>
      <c r="H32" s="4">
        <v>0</v>
      </c>
      <c r="I32" s="4"/>
      <c r="J32" s="4"/>
      <c r="K32" s="4">
        <f t="shared" si="0"/>
        <v>0</v>
      </c>
      <c r="L32" s="4">
        <f t="shared" si="1"/>
        <v>0</v>
      </c>
      <c r="M32" s="4">
        <f t="shared" si="2"/>
        <v>45000</v>
      </c>
      <c r="N32" s="4"/>
      <c r="O32" s="4">
        <f t="shared" si="3"/>
        <v>0</v>
      </c>
      <c r="P32" s="4">
        <f t="shared" si="4"/>
        <v>45000</v>
      </c>
      <c r="Q32" s="4"/>
      <c r="R32" s="4"/>
      <c r="S32" s="4">
        <f t="shared" si="5"/>
        <v>0</v>
      </c>
      <c r="T32" s="4">
        <f t="shared" si="6"/>
        <v>0</v>
      </c>
      <c r="U32" s="4">
        <f t="shared" si="7"/>
        <v>0</v>
      </c>
      <c r="V32" s="4"/>
      <c r="W32" s="4">
        <f t="shared" si="8"/>
        <v>0</v>
      </c>
      <c r="X32" s="4"/>
      <c r="Y32" s="4"/>
      <c r="Z32" s="4"/>
      <c r="AA32" s="58">
        <v>747000</v>
      </c>
      <c r="AB32" s="4"/>
      <c r="AC32" s="4"/>
      <c r="AD32" s="4"/>
      <c r="AE32" s="4"/>
      <c r="AF32" s="4"/>
      <c r="AG32" s="4"/>
      <c r="AH32" s="4"/>
      <c r="AI32" s="4"/>
      <c r="AJ32" s="4"/>
      <c r="AK32" s="4">
        <f t="shared" si="10"/>
        <v>0</v>
      </c>
      <c r="AL32" s="4"/>
      <c r="AM32" s="4">
        <f t="shared" si="11"/>
        <v>0</v>
      </c>
      <c r="AN32" s="4">
        <f t="shared" si="12"/>
        <v>0</v>
      </c>
      <c r="AO32" s="3"/>
      <c r="AP32" s="4">
        <f t="shared" si="13"/>
        <v>0</v>
      </c>
      <c r="AQ32" s="3"/>
      <c r="AR32" s="4"/>
      <c r="AS32" s="3"/>
      <c r="AT32" s="4"/>
      <c r="AU32" s="4">
        <f t="shared" si="14"/>
        <v>0</v>
      </c>
      <c r="AV32" s="3"/>
      <c r="AW32" s="3"/>
      <c r="AX32" s="4"/>
      <c r="AY32" s="3"/>
      <c r="AZ32" s="4">
        <f t="shared" si="15"/>
        <v>0</v>
      </c>
      <c r="BA32" s="3"/>
      <c r="BB32" s="3"/>
      <c r="BC32" s="3"/>
    </row>
    <row r="33" spans="1:55" s="5" customFormat="1">
      <c r="A33" s="3">
        <f t="shared" si="16"/>
        <v>25</v>
      </c>
      <c r="B33" s="3">
        <v>1997</v>
      </c>
      <c r="C33" s="3" t="s">
        <v>340</v>
      </c>
      <c r="D33" s="4">
        <v>40000</v>
      </c>
      <c r="E33" s="4">
        <v>40000</v>
      </c>
      <c r="F33" s="4">
        <f t="shared" si="9"/>
        <v>0</v>
      </c>
      <c r="G33" s="4">
        <v>40000</v>
      </c>
      <c r="H33" s="4">
        <v>0</v>
      </c>
      <c r="I33" s="4"/>
      <c r="J33" s="4"/>
      <c r="K33" s="4">
        <f t="shared" si="0"/>
        <v>0</v>
      </c>
      <c r="L33" s="4">
        <f t="shared" si="1"/>
        <v>0</v>
      </c>
      <c r="M33" s="4">
        <f t="shared" si="2"/>
        <v>40000</v>
      </c>
      <c r="N33" s="4"/>
      <c r="O33" s="4">
        <f t="shared" si="3"/>
        <v>0</v>
      </c>
      <c r="P33" s="4">
        <f t="shared" si="4"/>
        <v>40000</v>
      </c>
      <c r="Q33" s="4"/>
      <c r="R33" s="4"/>
      <c r="S33" s="4">
        <f t="shared" si="5"/>
        <v>0</v>
      </c>
      <c r="T33" s="4">
        <f t="shared" si="6"/>
        <v>0</v>
      </c>
      <c r="U33" s="4">
        <f t="shared" si="7"/>
        <v>0</v>
      </c>
      <c r="V33" s="4"/>
      <c r="W33" s="4">
        <f t="shared" si="8"/>
        <v>0</v>
      </c>
      <c r="X33" s="4"/>
      <c r="Y33" s="4"/>
      <c r="Z33" s="4"/>
      <c r="AA33" s="58">
        <v>747000</v>
      </c>
      <c r="AB33" s="4"/>
      <c r="AC33" s="4"/>
      <c r="AD33" s="4"/>
      <c r="AE33" s="4"/>
      <c r="AF33" s="4"/>
      <c r="AG33" s="4"/>
      <c r="AH33" s="4"/>
      <c r="AI33" s="4"/>
      <c r="AJ33" s="4"/>
      <c r="AK33" s="4">
        <f t="shared" si="10"/>
        <v>0</v>
      </c>
      <c r="AL33" s="4"/>
      <c r="AM33" s="4">
        <f t="shared" si="11"/>
        <v>0</v>
      </c>
      <c r="AN33" s="4">
        <f t="shared" si="12"/>
        <v>0</v>
      </c>
      <c r="AO33" s="3"/>
      <c r="AP33" s="4">
        <f t="shared" si="13"/>
        <v>0</v>
      </c>
      <c r="AQ33" s="3"/>
      <c r="AR33" s="4"/>
      <c r="AS33" s="3"/>
      <c r="AT33" s="4"/>
      <c r="AU33" s="4">
        <f t="shared" si="14"/>
        <v>0</v>
      </c>
      <c r="AV33" s="3"/>
      <c r="AW33" s="3"/>
      <c r="AX33" s="4"/>
      <c r="AY33" s="3"/>
      <c r="AZ33" s="4">
        <f t="shared" si="15"/>
        <v>0</v>
      </c>
      <c r="BA33" s="3"/>
      <c r="BB33" s="3"/>
      <c r="BC33" s="3"/>
    </row>
    <row r="34" spans="1:55" s="5" customFormat="1">
      <c r="A34" s="3">
        <f t="shared" si="16"/>
        <v>26</v>
      </c>
      <c r="B34" s="42">
        <v>2043</v>
      </c>
      <c r="C34" s="130" t="s">
        <v>373</v>
      </c>
      <c r="D34" s="4">
        <v>3600000</v>
      </c>
      <c r="E34" s="4"/>
      <c r="F34" s="4">
        <f t="shared" si="9"/>
        <v>3600000</v>
      </c>
      <c r="G34" s="4">
        <v>0</v>
      </c>
      <c r="H34" s="4">
        <v>0</v>
      </c>
      <c r="I34" s="4">
        <v>0</v>
      </c>
      <c r="J34" s="4"/>
      <c r="K34" s="4">
        <f t="shared" si="0"/>
        <v>0</v>
      </c>
      <c r="L34" s="4">
        <f t="shared" si="1"/>
        <v>0</v>
      </c>
      <c r="M34" s="4">
        <f t="shared" si="2"/>
        <v>0</v>
      </c>
      <c r="N34" s="4">
        <f>1200000+300000</f>
        <v>1500000</v>
      </c>
      <c r="O34" s="4">
        <f t="shared" si="3"/>
        <v>2100000</v>
      </c>
      <c r="P34" s="4">
        <f t="shared" si="4"/>
        <v>0</v>
      </c>
      <c r="Q34" s="4"/>
      <c r="R34" s="4"/>
      <c r="S34" s="4">
        <f t="shared" si="5"/>
        <v>0</v>
      </c>
      <c r="T34" s="4">
        <f t="shared" si="6"/>
        <v>0</v>
      </c>
      <c r="U34" s="4">
        <f t="shared" si="7"/>
        <v>1500000</v>
      </c>
      <c r="V34" s="4"/>
      <c r="W34" s="4">
        <f t="shared" si="8"/>
        <v>1500000</v>
      </c>
      <c r="X34" s="4"/>
      <c r="Y34" s="4"/>
      <c r="Z34" s="4"/>
      <c r="AA34" s="58">
        <v>747000</v>
      </c>
      <c r="AB34" s="4"/>
      <c r="AC34" s="4">
        <v>1000000</v>
      </c>
      <c r="AD34" s="4">
        <v>500000</v>
      </c>
      <c r="AE34" s="4"/>
      <c r="AF34" s="4"/>
      <c r="AG34" s="4"/>
      <c r="AH34" s="4"/>
      <c r="AI34" s="4"/>
      <c r="AJ34" s="4"/>
      <c r="AK34" s="4">
        <f t="shared" si="10"/>
        <v>1500000</v>
      </c>
      <c r="AL34" s="4"/>
      <c r="AM34" s="4">
        <f t="shared" si="11"/>
        <v>1500000</v>
      </c>
      <c r="AN34" s="4">
        <f t="shared" si="12"/>
        <v>0</v>
      </c>
      <c r="AO34" s="3"/>
      <c r="AP34" s="4">
        <f t="shared" si="13"/>
        <v>1500000</v>
      </c>
      <c r="AQ34" s="3"/>
      <c r="AR34" s="4"/>
      <c r="AS34" s="3"/>
      <c r="AT34" s="4"/>
      <c r="AU34" s="4">
        <f t="shared" si="14"/>
        <v>0</v>
      </c>
      <c r="AV34" s="3"/>
      <c r="AW34" s="3"/>
      <c r="AX34" s="4"/>
      <c r="AY34" s="3"/>
      <c r="AZ34" s="4">
        <f t="shared" si="15"/>
        <v>0</v>
      </c>
      <c r="BA34" s="3"/>
      <c r="BB34" s="3"/>
      <c r="BC34" s="3"/>
    </row>
    <row r="35" spans="1:55" s="5" customFormat="1">
      <c r="A35" s="3">
        <f t="shared" si="16"/>
        <v>27</v>
      </c>
      <c r="B35" s="42">
        <v>2044</v>
      </c>
      <c r="C35" s="130" t="s">
        <v>374</v>
      </c>
      <c r="D35" s="131">
        <v>105000</v>
      </c>
      <c r="E35" s="4"/>
      <c r="F35" s="4">
        <f t="shared" si="9"/>
        <v>105000</v>
      </c>
      <c r="G35" s="4">
        <v>0</v>
      </c>
      <c r="H35" s="4">
        <v>0</v>
      </c>
      <c r="I35" s="4">
        <v>0</v>
      </c>
      <c r="J35" s="4"/>
      <c r="K35" s="4">
        <f t="shared" si="0"/>
        <v>0</v>
      </c>
      <c r="L35" s="4">
        <f t="shared" si="1"/>
        <v>0</v>
      </c>
      <c r="M35" s="4">
        <f t="shared" si="2"/>
        <v>0</v>
      </c>
      <c r="N35" s="4">
        <v>105000</v>
      </c>
      <c r="O35" s="4">
        <f t="shared" si="3"/>
        <v>0</v>
      </c>
      <c r="P35" s="4">
        <f t="shared" si="4"/>
        <v>0</v>
      </c>
      <c r="Q35" s="4"/>
      <c r="R35" s="131">
        <f>105000-105000</f>
        <v>0</v>
      </c>
      <c r="S35" s="4">
        <f t="shared" si="5"/>
        <v>0</v>
      </c>
      <c r="T35" s="4">
        <f t="shared" si="6"/>
        <v>0</v>
      </c>
      <c r="U35" s="4">
        <f t="shared" si="7"/>
        <v>105000</v>
      </c>
      <c r="V35" s="4"/>
      <c r="W35" s="4"/>
      <c r="X35" s="4"/>
      <c r="Y35" s="4"/>
      <c r="Z35" s="4">
        <f>U35</f>
        <v>105000</v>
      </c>
      <c r="AA35" s="58">
        <v>747000</v>
      </c>
      <c r="AB35" s="4"/>
      <c r="AC35" s="4"/>
      <c r="AD35" s="4"/>
      <c r="AE35" s="4"/>
      <c r="AF35" s="4"/>
      <c r="AG35" s="4"/>
      <c r="AH35" s="4"/>
      <c r="AI35" s="4"/>
      <c r="AJ35" s="4"/>
      <c r="AK35" s="4">
        <f t="shared" si="10"/>
        <v>0</v>
      </c>
      <c r="AL35" s="4"/>
      <c r="AM35" s="4">
        <f t="shared" si="11"/>
        <v>0</v>
      </c>
      <c r="AN35" s="4">
        <f t="shared" si="12"/>
        <v>105000</v>
      </c>
      <c r="AO35" s="3"/>
      <c r="AP35" s="4">
        <f t="shared" si="13"/>
        <v>0</v>
      </c>
      <c r="AQ35" s="3"/>
      <c r="AR35" s="3"/>
      <c r="AS35" s="3"/>
      <c r="AT35" s="4"/>
      <c r="AU35" s="4">
        <f t="shared" si="14"/>
        <v>0</v>
      </c>
      <c r="AV35" s="3"/>
      <c r="AW35" s="3"/>
      <c r="AX35" s="3"/>
      <c r="AY35" s="3"/>
      <c r="AZ35" s="4">
        <f t="shared" si="15"/>
        <v>0</v>
      </c>
      <c r="BA35" s="3"/>
      <c r="BB35" s="3"/>
      <c r="BC35" s="4">
        <v>105000</v>
      </c>
    </row>
    <row r="36" spans="1:55" s="5" customFormat="1">
      <c r="A36" s="3">
        <f t="shared" si="16"/>
        <v>28</v>
      </c>
      <c r="B36" s="42">
        <v>2045</v>
      </c>
      <c r="C36" s="130" t="s">
        <v>375</v>
      </c>
      <c r="D36" s="131">
        <f>100000+105000</f>
        <v>205000</v>
      </c>
      <c r="E36" s="4"/>
      <c r="F36" s="4">
        <f t="shared" si="9"/>
        <v>205000</v>
      </c>
      <c r="G36" s="4">
        <v>0</v>
      </c>
      <c r="H36" s="4">
        <v>0</v>
      </c>
      <c r="I36" s="4">
        <v>0</v>
      </c>
      <c r="J36" s="4"/>
      <c r="K36" s="4">
        <f t="shared" si="0"/>
        <v>0</v>
      </c>
      <c r="L36" s="4">
        <f t="shared" si="1"/>
        <v>0</v>
      </c>
      <c r="M36" s="4">
        <f t="shared" si="2"/>
        <v>0</v>
      </c>
      <c r="N36" s="4">
        <v>205000</v>
      </c>
      <c r="O36" s="4">
        <f t="shared" si="3"/>
        <v>0</v>
      </c>
      <c r="P36" s="4">
        <f t="shared" si="4"/>
        <v>0</v>
      </c>
      <c r="Q36" s="4"/>
      <c r="R36" s="131">
        <f>100000+105000-205000</f>
        <v>0</v>
      </c>
      <c r="S36" s="4">
        <f t="shared" ref="S36:S41" si="17">SUM(Q36:R36)</f>
        <v>0</v>
      </c>
      <c r="T36" s="4">
        <f t="shared" si="6"/>
        <v>0</v>
      </c>
      <c r="U36" s="4">
        <f t="shared" si="7"/>
        <v>205000</v>
      </c>
      <c r="V36" s="4"/>
      <c r="W36" s="4"/>
      <c r="X36" s="4"/>
      <c r="Y36" s="4"/>
      <c r="Z36" s="4">
        <f t="shared" ref="Z36:Z41" si="18">U36</f>
        <v>205000</v>
      </c>
      <c r="AA36" s="58">
        <v>747000</v>
      </c>
      <c r="AB36" s="4"/>
      <c r="AC36" s="4"/>
      <c r="AD36" s="4"/>
      <c r="AE36" s="4"/>
      <c r="AF36" s="4">
        <v>205000</v>
      </c>
      <c r="AG36" s="4"/>
      <c r="AH36" s="4"/>
      <c r="AI36" s="4"/>
      <c r="AJ36" s="4"/>
      <c r="AK36" s="4">
        <f t="shared" si="10"/>
        <v>205000</v>
      </c>
      <c r="AL36" s="4"/>
      <c r="AM36" s="4">
        <f t="shared" si="11"/>
        <v>205000</v>
      </c>
      <c r="AN36" s="4">
        <f t="shared" si="12"/>
        <v>0</v>
      </c>
      <c r="AO36" s="3"/>
      <c r="AP36" s="4">
        <f t="shared" si="13"/>
        <v>0</v>
      </c>
      <c r="AQ36" s="4"/>
      <c r="AR36" s="3"/>
      <c r="AS36" s="4">
        <v>205000</v>
      </c>
      <c r="AT36" s="4"/>
      <c r="AU36" s="4">
        <f t="shared" si="14"/>
        <v>0</v>
      </c>
      <c r="AV36" s="3"/>
      <c r="AW36" s="4"/>
      <c r="AX36" s="4"/>
      <c r="AY36" s="3"/>
      <c r="AZ36" s="4">
        <f t="shared" si="15"/>
        <v>0</v>
      </c>
      <c r="BA36" s="3"/>
      <c r="BB36" s="3"/>
      <c r="BC36" s="4"/>
    </row>
    <row r="37" spans="1:55" s="5" customFormat="1">
      <c r="A37" s="3">
        <f t="shared" si="16"/>
        <v>29</v>
      </c>
      <c r="B37" s="42">
        <v>2046</v>
      </c>
      <c r="C37" s="130" t="s">
        <v>376</v>
      </c>
      <c r="D37" s="131">
        <v>30000</v>
      </c>
      <c r="E37" s="4"/>
      <c r="F37" s="4">
        <f t="shared" si="9"/>
        <v>30000</v>
      </c>
      <c r="G37" s="4">
        <v>0</v>
      </c>
      <c r="H37" s="4">
        <v>0</v>
      </c>
      <c r="I37" s="4"/>
      <c r="J37" s="4"/>
      <c r="K37" s="4">
        <f t="shared" si="0"/>
        <v>0</v>
      </c>
      <c r="L37" s="4">
        <f t="shared" si="1"/>
        <v>0</v>
      </c>
      <c r="M37" s="4">
        <f t="shared" si="2"/>
        <v>0</v>
      </c>
      <c r="N37" s="4">
        <v>30000</v>
      </c>
      <c r="O37" s="4">
        <f t="shared" si="3"/>
        <v>0</v>
      </c>
      <c r="P37" s="4">
        <f t="shared" si="4"/>
        <v>0</v>
      </c>
      <c r="Q37" s="4"/>
      <c r="R37" s="131">
        <f>30000-30000</f>
        <v>0</v>
      </c>
      <c r="S37" s="4">
        <f t="shared" si="17"/>
        <v>0</v>
      </c>
      <c r="T37" s="4">
        <f t="shared" si="6"/>
        <v>0</v>
      </c>
      <c r="U37" s="4">
        <f t="shared" si="7"/>
        <v>30000</v>
      </c>
      <c r="V37" s="4"/>
      <c r="W37" s="4"/>
      <c r="X37" s="4"/>
      <c r="Y37" s="4"/>
      <c r="Z37" s="4">
        <f t="shared" si="18"/>
        <v>30000</v>
      </c>
      <c r="AA37" s="58">
        <v>747000</v>
      </c>
      <c r="AB37" s="4"/>
      <c r="AC37" s="4"/>
      <c r="AD37" s="4"/>
      <c r="AE37" s="4"/>
      <c r="AF37" s="4"/>
      <c r="AG37" s="4"/>
      <c r="AH37" s="4"/>
      <c r="AI37" s="4"/>
      <c r="AJ37" s="4"/>
      <c r="AK37" s="4">
        <f t="shared" si="10"/>
        <v>0</v>
      </c>
      <c r="AL37" s="4"/>
      <c r="AM37" s="4">
        <f t="shared" si="11"/>
        <v>0</v>
      </c>
      <c r="AN37" s="4">
        <f t="shared" si="12"/>
        <v>30000</v>
      </c>
      <c r="AO37" s="3"/>
      <c r="AP37" s="4">
        <f t="shared" si="13"/>
        <v>0</v>
      </c>
      <c r="AQ37" s="4"/>
      <c r="AR37" s="3"/>
      <c r="AS37" s="4"/>
      <c r="AT37" s="4"/>
      <c r="AU37" s="4">
        <f t="shared" si="14"/>
        <v>0</v>
      </c>
      <c r="AV37" s="3"/>
      <c r="AW37" s="4"/>
      <c r="AX37" s="3"/>
      <c r="AY37" s="3"/>
      <c r="AZ37" s="4">
        <f t="shared" si="15"/>
        <v>0</v>
      </c>
      <c r="BA37" s="3"/>
      <c r="BB37" s="3"/>
      <c r="BC37" s="4">
        <v>30000</v>
      </c>
    </row>
    <row r="38" spans="1:55" s="5" customFormat="1">
      <c r="A38" s="3">
        <f t="shared" si="16"/>
        <v>30</v>
      </c>
      <c r="B38" s="42">
        <v>2047</v>
      </c>
      <c r="C38" s="130" t="s">
        <v>377</v>
      </c>
      <c r="D38" s="131">
        <v>170000</v>
      </c>
      <c r="E38" s="4"/>
      <c r="F38" s="4">
        <f t="shared" si="9"/>
        <v>170000</v>
      </c>
      <c r="G38" s="4">
        <v>0</v>
      </c>
      <c r="H38" s="4">
        <v>0</v>
      </c>
      <c r="I38" s="4">
        <v>0</v>
      </c>
      <c r="J38" s="4"/>
      <c r="K38" s="4">
        <f t="shared" si="0"/>
        <v>0</v>
      </c>
      <c r="L38" s="4">
        <f t="shared" si="1"/>
        <v>0</v>
      </c>
      <c r="M38" s="4">
        <f t="shared" si="2"/>
        <v>0</v>
      </c>
      <c r="N38" s="4">
        <v>170000</v>
      </c>
      <c r="O38" s="4">
        <f t="shared" si="3"/>
        <v>0</v>
      </c>
      <c r="P38" s="4">
        <f t="shared" si="4"/>
        <v>0</v>
      </c>
      <c r="Q38" s="4"/>
      <c r="R38" s="131">
        <f>170000-170000</f>
        <v>0</v>
      </c>
      <c r="S38" s="4">
        <f t="shared" si="17"/>
        <v>0</v>
      </c>
      <c r="T38" s="4">
        <f t="shared" si="6"/>
        <v>0</v>
      </c>
      <c r="U38" s="4">
        <f t="shared" si="7"/>
        <v>170000</v>
      </c>
      <c r="V38" s="4"/>
      <c r="W38" s="4"/>
      <c r="X38" s="4"/>
      <c r="Y38" s="4"/>
      <c r="Z38" s="4">
        <f t="shared" si="18"/>
        <v>170000</v>
      </c>
      <c r="AA38" s="58">
        <v>747000</v>
      </c>
      <c r="AB38" s="4"/>
      <c r="AC38" s="4"/>
      <c r="AD38" s="4"/>
      <c r="AE38" s="4"/>
      <c r="AF38" s="4"/>
      <c r="AG38" s="4"/>
      <c r="AH38" s="4"/>
      <c r="AI38" s="4"/>
      <c r="AJ38" s="4"/>
      <c r="AK38" s="4">
        <f t="shared" si="10"/>
        <v>0</v>
      </c>
      <c r="AL38" s="4"/>
      <c r="AM38" s="4">
        <f t="shared" si="11"/>
        <v>0</v>
      </c>
      <c r="AN38" s="4">
        <f t="shared" si="12"/>
        <v>170000</v>
      </c>
      <c r="AO38" s="3"/>
      <c r="AP38" s="4">
        <f t="shared" si="13"/>
        <v>0</v>
      </c>
      <c r="AQ38" s="4"/>
      <c r="AR38" s="3"/>
      <c r="AS38" s="4"/>
      <c r="AT38" s="4"/>
      <c r="AU38" s="4">
        <f t="shared" si="14"/>
        <v>0</v>
      </c>
      <c r="AV38" s="3"/>
      <c r="AW38" s="4"/>
      <c r="AX38" s="3"/>
      <c r="AY38" s="3"/>
      <c r="AZ38" s="4">
        <f t="shared" si="15"/>
        <v>0</v>
      </c>
      <c r="BA38" s="3"/>
      <c r="BB38" s="3"/>
      <c r="BC38" s="4">
        <v>170000</v>
      </c>
    </row>
    <row r="39" spans="1:55" s="5" customFormat="1">
      <c r="A39" s="3">
        <f t="shared" si="16"/>
        <v>31</v>
      </c>
      <c r="B39" s="42">
        <v>2048</v>
      </c>
      <c r="C39" s="130" t="s">
        <v>378</v>
      </c>
      <c r="D39" s="131">
        <v>45000</v>
      </c>
      <c r="E39" s="4"/>
      <c r="F39" s="4">
        <f t="shared" si="9"/>
        <v>45000</v>
      </c>
      <c r="G39" s="4">
        <v>0</v>
      </c>
      <c r="H39" s="4">
        <v>0</v>
      </c>
      <c r="I39" s="4"/>
      <c r="J39" s="4"/>
      <c r="K39" s="4">
        <f t="shared" si="0"/>
        <v>0</v>
      </c>
      <c r="L39" s="4">
        <f t="shared" si="1"/>
        <v>0</v>
      </c>
      <c r="M39" s="4">
        <f t="shared" si="2"/>
        <v>0</v>
      </c>
      <c r="N39" s="4">
        <v>45000</v>
      </c>
      <c r="O39" s="4">
        <f t="shared" si="3"/>
        <v>0</v>
      </c>
      <c r="P39" s="4">
        <f t="shared" si="4"/>
        <v>0</v>
      </c>
      <c r="Q39" s="4"/>
      <c r="R39" s="131">
        <f>45000-45000</f>
        <v>0</v>
      </c>
      <c r="S39" s="4">
        <f t="shared" si="17"/>
        <v>0</v>
      </c>
      <c r="T39" s="4">
        <f t="shared" si="6"/>
        <v>0</v>
      </c>
      <c r="U39" s="4">
        <f t="shared" si="7"/>
        <v>45000</v>
      </c>
      <c r="V39" s="4"/>
      <c r="W39" s="4"/>
      <c r="X39" s="4"/>
      <c r="Y39" s="4"/>
      <c r="Z39" s="4">
        <f t="shared" si="18"/>
        <v>45000</v>
      </c>
      <c r="AA39" s="58">
        <v>747000</v>
      </c>
      <c r="AB39" s="4"/>
      <c r="AC39" s="4"/>
      <c r="AD39" s="4"/>
      <c r="AE39" s="4"/>
      <c r="AF39" s="4"/>
      <c r="AG39" s="4"/>
      <c r="AH39" s="4"/>
      <c r="AI39" s="4"/>
      <c r="AJ39" s="4"/>
      <c r="AK39" s="4">
        <f t="shared" si="10"/>
        <v>0</v>
      </c>
      <c r="AL39" s="4"/>
      <c r="AM39" s="4">
        <f t="shared" si="11"/>
        <v>0</v>
      </c>
      <c r="AN39" s="4">
        <f t="shared" si="12"/>
        <v>45000</v>
      </c>
      <c r="AO39" s="3"/>
      <c r="AP39" s="4">
        <f t="shared" si="13"/>
        <v>0</v>
      </c>
      <c r="AQ39" s="4"/>
      <c r="AR39" s="3"/>
      <c r="AS39" s="4"/>
      <c r="AT39" s="4"/>
      <c r="AU39" s="4">
        <f t="shared" si="14"/>
        <v>0</v>
      </c>
      <c r="AV39" s="3"/>
      <c r="AW39" s="4"/>
      <c r="AX39" s="3"/>
      <c r="AY39" s="3"/>
      <c r="AZ39" s="4">
        <f t="shared" si="15"/>
        <v>0</v>
      </c>
      <c r="BA39" s="3"/>
      <c r="BB39" s="3"/>
      <c r="BC39" s="4">
        <v>45000</v>
      </c>
    </row>
    <row r="40" spans="1:55" s="5" customFormat="1">
      <c r="A40" s="3">
        <f t="shared" si="16"/>
        <v>32</v>
      </c>
      <c r="B40" s="42">
        <v>2049</v>
      </c>
      <c r="C40" s="130" t="s">
        <v>379</v>
      </c>
      <c r="D40" s="131">
        <v>24500</v>
      </c>
      <c r="E40" s="4"/>
      <c r="F40" s="4">
        <f t="shared" si="9"/>
        <v>24500</v>
      </c>
      <c r="G40" s="4">
        <v>0</v>
      </c>
      <c r="H40" s="4">
        <v>0</v>
      </c>
      <c r="I40" s="4">
        <v>0</v>
      </c>
      <c r="J40" s="4"/>
      <c r="K40" s="4">
        <f t="shared" si="0"/>
        <v>0</v>
      </c>
      <c r="L40" s="4">
        <f t="shared" si="1"/>
        <v>0</v>
      </c>
      <c r="M40" s="4">
        <f t="shared" si="2"/>
        <v>0</v>
      </c>
      <c r="N40" s="4">
        <v>24500</v>
      </c>
      <c r="O40" s="4">
        <f t="shared" si="3"/>
        <v>0</v>
      </c>
      <c r="P40" s="4">
        <f t="shared" si="4"/>
        <v>0</v>
      </c>
      <c r="Q40" s="4"/>
      <c r="R40" s="131">
        <f>24500-24500</f>
        <v>0</v>
      </c>
      <c r="S40" s="4">
        <f t="shared" si="17"/>
        <v>0</v>
      </c>
      <c r="T40" s="4">
        <f t="shared" si="6"/>
        <v>0</v>
      </c>
      <c r="U40" s="4">
        <f t="shared" si="7"/>
        <v>24500</v>
      </c>
      <c r="V40" s="4"/>
      <c r="W40" s="4"/>
      <c r="X40" s="4"/>
      <c r="Y40" s="4"/>
      <c r="Z40" s="4">
        <f t="shared" si="18"/>
        <v>24500</v>
      </c>
      <c r="AA40" s="58">
        <v>747000</v>
      </c>
      <c r="AB40" s="4"/>
      <c r="AC40" s="4"/>
      <c r="AD40" s="4"/>
      <c r="AE40" s="4"/>
      <c r="AF40" s="4">
        <v>24500</v>
      </c>
      <c r="AG40" s="4"/>
      <c r="AH40" s="4"/>
      <c r="AI40" s="4"/>
      <c r="AJ40" s="4"/>
      <c r="AK40" s="4">
        <f t="shared" si="10"/>
        <v>24500</v>
      </c>
      <c r="AL40" s="4"/>
      <c r="AM40" s="4">
        <f t="shared" si="11"/>
        <v>24500</v>
      </c>
      <c r="AN40" s="4">
        <f t="shared" si="12"/>
        <v>0</v>
      </c>
      <c r="AO40" s="3"/>
      <c r="AP40" s="4">
        <f t="shared" si="13"/>
        <v>0</v>
      </c>
      <c r="AQ40" s="4"/>
      <c r="AR40" s="4"/>
      <c r="AS40" s="4">
        <v>24500</v>
      </c>
      <c r="AT40" s="4"/>
      <c r="AU40" s="4">
        <f t="shared" si="14"/>
        <v>0</v>
      </c>
      <c r="AV40" s="3"/>
      <c r="AW40" s="4"/>
      <c r="AX40" s="4"/>
      <c r="AY40" s="3"/>
      <c r="AZ40" s="4">
        <f t="shared" si="15"/>
        <v>0</v>
      </c>
      <c r="BA40" s="3"/>
      <c r="BB40" s="3"/>
      <c r="BC40" s="4"/>
    </row>
    <row r="41" spans="1:55" s="5" customFormat="1">
      <c r="A41" s="3">
        <f t="shared" si="16"/>
        <v>33</v>
      </c>
      <c r="B41" s="42">
        <v>2050</v>
      </c>
      <c r="C41" s="130" t="s">
        <v>380</v>
      </c>
      <c r="D41" s="131">
        <v>24500</v>
      </c>
      <c r="E41" s="4"/>
      <c r="F41" s="4">
        <f t="shared" si="9"/>
        <v>24500</v>
      </c>
      <c r="G41" s="4">
        <v>0</v>
      </c>
      <c r="H41" s="4">
        <v>0</v>
      </c>
      <c r="I41" s="4"/>
      <c r="J41" s="4"/>
      <c r="K41" s="4">
        <f t="shared" si="0"/>
        <v>0</v>
      </c>
      <c r="L41" s="4">
        <f t="shared" si="1"/>
        <v>0</v>
      </c>
      <c r="M41" s="4">
        <f t="shared" si="2"/>
        <v>0</v>
      </c>
      <c r="N41" s="4">
        <v>24500</v>
      </c>
      <c r="O41" s="4">
        <f t="shared" si="3"/>
        <v>0</v>
      </c>
      <c r="P41" s="4">
        <f t="shared" si="4"/>
        <v>0</v>
      </c>
      <c r="Q41" s="4"/>
      <c r="R41" s="131">
        <f>24500-24500</f>
        <v>0</v>
      </c>
      <c r="S41" s="4">
        <f t="shared" si="17"/>
        <v>0</v>
      </c>
      <c r="T41" s="4">
        <f t="shared" si="6"/>
        <v>0</v>
      </c>
      <c r="U41" s="4">
        <f t="shared" si="7"/>
        <v>24500</v>
      </c>
      <c r="V41" s="4"/>
      <c r="W41" s="4"/>
      <c r="X41" s="4"/>
      <c r="Y41" s="4"/>
      <c r="Z41" s="4">
        <f t="shared" si="18"/>
        <v>24500</v>
      </c>
      <c r="AA41" s="58">
        <v>747000</v>
      </c>
      <c r="AB41" s="4"/>
      <c r="AC41" s="4"/>
      <c r="AD41" s="4"/>
      <c r="AE41" s="4"/>
      <c r="AF41" s="4">
        <v>24500</v>
      </c>
      <c r="AG41" s="4"/>
      <c r="AH41" s="4"/>
      <c r="AI41" s="4"/>
      <c r="AJ41" s="4"/>
      <c r="AK41" s="4">
        <f t="shared" si="10"/>
        <v>24500</v>
      </c>
      <c r="AL41" s="4"/>
      <c r="AM41" s="4">
        <f t="shared" si="11"/>
        <v>24500</v>
      </c>
      <c r="AN41" s="4">
        <f t="shared" si="12"/>
        <v>0</v>
      </c>
      <c r="AO41" s="3"/>
      <c r="AP41" s="4">
        <f t="shared" si="13"/>
        <v>0</v>
      </c>
      <c r="AQ41" s="4"/>
      <c r="AR41" s="4"/>
      <c r="AS41" s="4">
        <v>24500</v>
      </c>
      <c r="AT41" s="4"/>
      <c r="AU41" s="4">
        <f t="shared" si="14"/>
        <v>0</v>
      </c>
      <c r="AV41" s="3"/>
      <c r="AW41" s="4"/>
      <c r="AX41" s="4"/>
      <c r="AY41" s="3"/>
      <c r="AZ41" s="4">
        <f t="shared" si="15"/>
        <v>0</v>
      </c>
      <c r="BA41" s="3"/>
      <c r="BB41" s="3"/>
      <c r="BC41" s="4"/>
    </row>
    <row r="42" spans="1:55" s="56" customFormat="1" ht="15.5">
      <c r="A42" s="48">
        <f>A41</f>
        <v>33</v>
      </c>
      <c r="B42" s="48" t="s">
        <v>67</v>
      </c>
      <c r="C42" s="48" t="s">
        <v>545</v>
      </c>
      <c r="D42" s="13">
        <f t="shared" ref="D42:BC42" si="19">SUM(D9:D41)</f>
        <v>13213000</v>
      </c>
      <c r="E42" s="13">
        <f t="shared" si="19"/>
        <v>9209000</v>
      </c>
      <c r="F42" s="13">
        <f t="shared" si="19"/>
        <v>4004000</v>
      </c>
      <c r="G42" s="13">
        <f t="shared" si="19"/>
        <v>7179000</v>
      </c>
      <c r="H42" s="13">
        <f t="shared" si="19"/>
        <v>6083098.8599999994</v>
      </c>
      <c r="I42" s="13">
        <f t="shared" si="19"/>
        <v>0</v>
      </c>
      <c r="J42" s="13">
        <f t="shared" si="19"/>
        <v>413078.86</v>
      </c>
      <c r="K42" s="13">
        <f t="shared" si="19"/>
        <v>413078.86</v>
      </c>
      <c r="L42" s="13">
        <f t="shared" si="19"/>
        <v>6496177.7199999997</v>
      </c>
      <c r="M42" s="13">
        <f t="shared" si="19"/>
        <v>682822.2799999998</v>
      </c>
      <c r="N42" s="13">
        <f t="shared" si="19"/>
        <v>2734000</v>
      </c>
      <c r="O42" s="13">
        <f t="shared" si="19"/>
        <v>3300000</v>
      </c>
      <c r="P42" s="13">
        <f t="shared" si="19"/>
        <v>682822.2799999998</v>
      </c>
      <c r="Q42" s="13">
        <f t="shared" si="19"/>
        <v>0</v>
      </c>
      <c r="R42" s="13">
        <f t="shared" si="19"/>
        <v>0</v>
      </c>
      <c r="S42" s="13">
        <f t="shared" si="19"/>
        <v>0</v>
      </c>
      <c r="T42" s="13">
        <f t="shared" si="19"/>
        <v>0</v>
      </c>
      <c r="U42" s="13">
        <f t="shared" si="19"/>
        <v>2734000</v>
      </c>
      <c r="V42" s="13">
        <f t="shared" si="19"/>
        <v>0</v>
      </c>
      <c r="W42" s="13">
        <f t="shared" si="19"/>
        <v>2130000</v>
      </c>
      <c r="X42" s="13">
        <f t="shared" si="19"/>
        <v>0</v>
      </c>
      <c r="Y42" s="13">
        <f t="shared" si="19"/>
        <v>0</v>
      </c>
      <c r="Z42" s="13">
        <f t="shared" si="19"/>
        <v>604000</v>
      </c>
      <c r="AA42" s="13">
        <f t="shared" si="19"/>
        <v>24651000</v>
      </c>
      <c r="AB42" s="13">
        <f t="shared" si="19"/>
        <v>0</v>
      </c>
      <c r="AC42" s="13">
        <f t="shared" ref="AC42:AI42" si="20">SUM(AC9:AC41)</f>
        <v>1150000</v>
      </c>
      <c r="AD42" s="13">
        <f t="shared" si="20"/>
        <v>550000</v>
      </c>
      <c r="AE42" s="13">
        <f t="shared" si="20"/>
        <v>0</v>
      </c>
      <c r="AF42" s="13">
        <f t="shared" si="20"/>
        <v>254000</v>
      </c>
      <c r="AG42" s="13">
        <f t="shared" si="20"/>
        <v>0</v>
      </c>
      <c r="AH42" s="13">
        <f t="shared" si="20"/>
        <v>0</v>
      </c>
      <c r="AI42" s="13">
        <f t="shared" si="20"/>
        <v>0</v>
      </c>
      <c r="AJ42" s="13">
        <f t="shared" si="19"/>
        <v>0</v>
      </c>
      <c r="AK42" s="13">
        <f t="shared" si="19"/>
        <v>1954000</v>
      </c>
      <c r="AL42" s="13">
        <f t="shared" si="19"/>
        <v>0</v>
      </c>
      <c r="AM42" s="13">
        <f t="shared" si="19"/>
        <v>1954000</v>
      </c>
      <c r="AN42" s="13">
        <f t="shared" si="19"/>
        <v>780000</v>
      </c>
      <c r="AO42" s="13">
        <f t="shared" si="19"/>
        <v>0</v>
      </c>
      <c r="AP42" s="13">
        <f t="shared" si="19"/>
        <v>1700000</v>
      </c>
      <c r="AQ42" s="13">
        <f t="shared" si="19"/>
        <v>0</v>
      </c>
      <c r="AR42" s="13">
        <f t="shared" si="19"/>
        <v>0</v>
      </c>
      <c r="AS42" s="13">
        <f t="shared" si="19"/>
        <v>254000</v>
      </c>
      <c r="AT42" s="13">
        <f t="shared" si="19"/>
        <v>0</v>
      </c>
      <c r="AU42" s="13">
        <f t="shared" si="19"/>
        <v>0</v>
      </c>
      <c r="AV42" s="13">
        <f t="shared" si="19"/>
        <v>0</v>
      </c>
      <c r="AW42" s="13">
        <f t="shared" si="19"/>
        <v>0</v>
      </c>
      <c r="AX42" s="13">
        <f t="shared" si="19"/>
        <v>0</v>
      </c>
      <c r="AY42" s="13">
        <f t="shared" si="19"/>
        <v>0</v>
      </c>
      <c r="AZ42" s="13">
        <f t="shared" si="19"/>
        <v>430000</v>
      </c>
      <c r="BA42" s="13">
        <f t="shared" si="19"/>
        <v>0</v>
      </c>
      <c r="BB42" s="13">
        <f t="shared" si="19"/>
        <v>0</v>
      </c>
      <c r="BC42" s="13">
        <f t="shared" si="19"/>
        <v>350000</v>
      </c>
    </row>
    <row r="43" spans="1:55">
      <c r="U43" s="22"/>
      <c r="V43" s="61"/>
      <c r="W43" s="61"/>
      <c r="X43" s="61"/>
      <c r="Y43" s="61"/>
      <c r="Z43" s="384"/>
      <c r="AX43" s="15"/>
    </row>
    <row r="44" spans="1:55">
      <c r="U44" s="22"/>
      <c r="V44" s="61"/>
      <c r="W44" s="61"/>
      <c r="X44" s="61"/>
      <c r="Y44" s="61"/>
      <c r="Z44" s="384"/>
      <c r="AL44" s="45"/>
      <c r="AM44" s="45"/>
      <c r="AN44" s="45"/>
      <c r="AO44" s="45"/>
      <c r="AP44" s="45"/>
      <c r="AQ44" s="45"/>
      <c r="AR44" s="45"/>
      <c r="AS44" s="45"/>
      <c r="AX44" s="15"/>
      <c r="AY44" s="15"/>
    </row>
    <row r="45" spans="1:55">
      <c r="A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55">
      <c r="A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U46" s="22"/>
      <c r="W46" s="61"/>
      <c r="Z46" s="384"/>
    </row>
    <row r="47" spans="1:55">
      <c r="A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U47" s="22"/>
      <c r="W47" s="61"/>
      <c r="Z47" s="384"/>
    </row>
    <row r="48" spans="1:55">
      <c r="A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O48" s="15"/>
      <c r="U48" s="22"/>
      <c r="W48" s="61"/>
      <c r="Z48" s="384"/>
    </row>
    <row r="49" spans="1:26">
      <c r="A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U49" s="22"/>
      <c r="W49" s="61"/>
      <c r="Z49" s="384"/>
    </row>
    <row r="50" spans="1:26">
      <c r="A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U50" s="22"/>
      <c r="W50" s="61"/>
      <c r="Z50" s="384"/>
    </row>
    <row r="51" spans="1:26">
      <c r="A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U51" s="22"/>
      <c r="W51" s="61"/>
      <c r="Z51" s="384"/>
    </row>
    <row r="52" spans="1:26">
      <c r="A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U52" s="22"/>
      <c r="W52" s="61"/>
      <c r="Z52" s="384"/>
    </row>
    <row r="53" spans="1:26">
      <c r="A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U53" s="22"/>
      <c r="W53" s="61"/>
      <c r="Z53" s="384"/>
    </row>
    <row r="54" spans="1:26">
      <c r="A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U54" s="22"/>
      <c r="W54" s="61"/>
      <c r="Z54" s="384"/>
    </row>
    <row r="55" spans="1:26">
      <c r="A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R55" s="15"/>
      <c r="S55" s="15"/>
    </row>
    <row r="56" spans="1:26">
      <c r="A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26">
      <c r="A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60" spans="1:26">
      <c r="A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O60" s="17" t="s">
        <v>143</v>
      </c>
      <c r="R60" s="17" t="s">
        <v>143</v>
      </c>
      <c r="S60" s="17" t="s">
        <v>273</v>
      </c>
    </row>
    <row r="61" spans="1:26">
      <c r="A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O61" s="17" t="s">
        <v>272</v>
      </c>
      <c r="Q61" s="17">
        <v>25000</v>
      </c>
      <c r="R61" s="17">
        <v>160000</v>
      </c>
    </row>
    <row r="62" spans="1:26">
      <c r="A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R62" s="17" t="e">
        <f>#REF!</f>
        <v>#REF!</v>
      </c>
      <c r="S62" s="17" t="s">
        <v>278</v>
      </c>
    </row>
    <row r="63" spans="1:26">
      <c r="A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7" t="e">
        <f>SUM(R61:R62)</f>
        <v>#REF!</v>
      </c>
      <c r="S63" s="15"/>
      <c r="T63" s="15"/>
    </row>
  </sheetData>
  <sheetProtection formatCells="0" formatColumns="0" formatRows="0" insertColumns="0" insertRows="0" insertHyperlinks="0" deleteColumns="0" deleteRows="0" sort="0" autoFilter="0" pivotTables="0"/>
  <mergeCells count="3">
    <mergeCell ref="AB6:AK6"/>
    <mergeCell ref="AO6:AS6"/>
    <mergeCell ref="U6:Z6"/>
  </mergeCells>
  <conditionalFormatting sqref="AD7">
    <cfRule type="cellIs" dxfId="116" priority="7" operator="equal">
      <formula>0</formula>
    </cfRule>
  </conditionalFormatting>
  <conditionalFormatting sqref="AE7">
    <cfRule type="cellIs" dxfId="115" priority="6" operator="equal">
      <formula>0</formula>
    </cfRule>
  </conditionalFormatting>
  <conditionalFormatting sqref="AF7">
    <cfRule type="cellIs" dxfId="114" priority="5" operator="equal">
      <formula>0</formula>
    </cfRule>
  </conditionalFormatting>
  <conditionalFormatting sqref="AG7">
    <cfRule type="cellIs" dxfId="113" priority="4" operator="equal">
      <formula>0</formula>
    </cfRule>
  </conditionalFormatting>
  <conditionalFormatting sqref="AH7">
    <cfRule type="cellIs" dxfId="112" priority="3" operator="equal">
      <formula>0</formula>
    </cfRule>
  </conditionalFormatting>
  <conditionalFormatting sqref="AI7">
    <cfRule type="cellIs" dxfId="111" priority="2" operator="equal">
      <formula>0</formula>
    </cfRule>
  </conditionalFormatting>
  <conditionalFormatting sqref="AJ7">
    <cfRule type="cellIs" dxfId="110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4:BC49"/>
  <sheetViews>
    <sheetView showZeros="0" rightToLeft="1" zoomScaleNormal="100" workbookViewId="0">
      <pane xSplit="5" ySplit="7" topLeftCell="J8" activePane="bottomRight" state="frozen"/>
      <selection activeCell="T20" sqref="T20"/>
      <selection pane="topRight" activeCell="T20" sqref="T20"/>
      <selection pane="bottomLeft" activeCell="T20" sqref="T20"/>
      <selection pane="bottomRight" activeCell="T20" sqref="T20"/>
    </sheetView>
  </sheetViews>
  <sheetFormatPr defaultColWidth="9.1796875" defaultRowHeight="14"/>
  <cols>
    <col min="1" max="1" width="5.26953125" style="40" customWidth="1"/>
    <col min="2" max="2" width="6.7265625" style="15" customWidth="1"/>
    <col min="3" max="3" width="35.7265625" style="15" customWidth="1"/>
    <col min="4" max="4" width="11.54296875" style="17" hidden="1" customWidth="1"/>
    <col min="5" max="5" width="11.1796875" style="17" hidden="1" customWidth="1"/>
    <col min="6" max="6" width="10.54296875" style="17" hidden="1" customWidth="1"/>
    <col min="7" max="7" width="11.1796875" style="17" hidden="1" customWidth="1"/>
    <col min="8" max="10" width="12.7265625" style="17" hidden="1" customWidth="1"/>
    <col min="11" max="11" width="11.26953125" style="17" hidden="1" customWidth="1"/>
    <col min="12" max="12" width="11.1796875" style="17" hidden="1" customWidth="1"/>
    <col min="13" max="13" width="10.54296875" style="17" hidden="1" customWidth="1"/>
    <col min="14" max="14" width="10.453125" style="17" hidden="1" customWidth="1"/>
    <col min="15" max="15" width="11.453125" style="17" hidden="1" customWidth="1"/>
    <col min="16" max="17" width="11.1796875" style="17" hidden="1" customWidth="1"/>
    <col min="18" max="18" width="9.7265625" style="17" hidden="1" customWidth="1"/>
    <col min="19" max="19" width="10.26953125" style="17" hidden="1" customWidth="1"/>
    <col min="20" max="20" width="7.26953125" style="17" customWidth="1"/>
    <col min="21" max="23" width="9.7265625" style="15" customWidth="1"/>
    <col min="24" max="25" width="7.7265625" style="15" customWidth="1"/>
    <col min="26" max="26" width="9.7265625" style="17" customWidth="1"/>
    <col min="27" max="27" width="7.81640625" style="15" hidden="1" customWidth="1"/>
    <col min="28" max="28" width="9" style="45" hidden="1" customWidth="1"/>
    <col min="29" max="37" width="9.1796875" style="20" hidden="1" customWidth="1"/>
    <col min="38" max="38" width="10" style="20" hidden="1" customWidth="1"/>
    <col min="39" max="39" width="10.7265625" style="20" customWidth="1"/>
    <col min="40" max="40" width="9.7265625" style="20" customWidth="1"/>
    <col min="41" max="42" width="9.7265625" style="15" customWidth="1"/>
    <col min="43" max="43" width="7.7265625" style="15" customWidth="1"/>
    <col min="44" max="45" width="7.7265625" style="20" customWidth="1"/>
    <col min="46" max="46" width="9.1796875" style="20" hidden="1" customWidth="1"/>
    <col min="47" max="49" width="9.1796875" style="15" hidden="1" customWidth="1"/>
    <col min="50" max="50" width="10" style="20" hidden="1" customWidth="1"/>
    <col min="51" max="52" width="9.1796875" style="20" hidden="1" customWidth="1"/>
    <col min="53" max="55" width="9.1796875" style="15" hidden="1" customWidth="1"/>
    <col min="56" max="16384" width="9.1796875" style="15"/>
  </cols>
  <sheetData>
    <row r="4" spans="1:55" s="39" customFormat="1" ht="18">
      <c r="A4" s="122" t="s">
        <v>1002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B4" s="66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R4" s="33"/>
      <c r="AS4" s="33"/>
      <c r="AT4" s="33"/>
      <c r="AX4" s="33"/>
      <c r="AY4" s="33"/>
      <c r="AZ4" s="33"/>
    </row>
    <row r="5" spans="1:55" s="39" customFormat="1" ht="18"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B5" s="66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R5" s="33"/>
      <c r="AS5" s="33"/>
      <c r="AT5" s="33"/>
      <c r="AX5" s="33"/>
      <c r="AY5" s="33"/>
      <c r="AZ5" s="33"/>
    </row>
    <row r="6" spans="1:55">
      <c r="A6" s="530"/>
      <c r="B6" s="531"/>
      <c r="C6" s="531"/>
      <c r="D6" s="531"/>
      <c r="E6" s="531"/>
      <c r="F6" s="531"/>
      <c r="G6" s="531"/>
      <c r="H6" s="531"/>
      <c r="I6" s="531"/>
      <c r="J6" s="531"/>
      <c r="K6" s="531"/>
      <c r="L6" s="531"/>
      <c r="M6" s="531"/>
      <c r="N6" s="531"/>
      <c r="O6" s="531"/>
      <c r="P6" s="531"/>
      <c r="Q6" s="531"/>
      <c r="R6" s="531"/>
      <c r="S6" s="531"/>
      <c r="T6" s="531"/>
      <c r="U6" s="738" t="s">
        <v>146</v>
      </c>
      <c r="V6" s="739"/>
      <c r="W6" s="739"/>
      <c r="X6" s="739"/>
      <c r="Y6" s="739"/>
      <c r="Z6" s="740"/>
      <c r="AB6" s="735" t="s">
        <v>489</v>
      </c>
      <c r="AC6" s="736"/>
      <c r="AD6" s="736"/>
      <c r="AE6" s="736"/>
      <c r="AF6" s="736"/>
      <c r="AG6" s="736"/>
      <c r="AH6" s="736"/>
      <c r="AI6" s="736"/>
      <c r="AJ6" s="736"/>
      <c r="AK6" s="737"/>
      <c r="AL6" s="110"/>
      <c r="AM6" s="675" t="s">
        <v>489</v>
      </c>
      <c r="AN6" s="496"/>
      <c r="AO6" s="735" t="s">
        <v>834</v>
      </c>
      <c r="AP6" s="736"/>
      <c r="AQ6" s="736"/>
      <c r="AR6" s="736"/>
      <c r="AS6" s="737"/>
      <c r="AT6" s="495" t="s">
        <v>835</v>
      </c>
      <c r="AU6" s="496"/>
      <c r="AV6" s="496"/>
      <c r="AW6" s="497"/>
      <c r="AX6" s="110"/>
      <c r="AY6" s="495" t="s">
        <v>836</v>
      </c>
      <c r="AZ6" s="496"/>
      <c r="BA6" s="496"/>
      <c r="BB6" s="496"/>
      <c r="BC6" s="497"/>
    </row>
    <row r="7" spans="1:55" s="34" customFormat="1" ht="86.25" customHeight="1">
      <c r="A7" s="19" t="s">
        <v>0</v>
      </c>
      <c r="B7" s="19" t="s">
        <v>1</v>
      </c>
      <c r="C7" s="19" t="s">
        <v>2</v>
      </c>
      <c r="D7" s="19" t="s">
        <v>3</v>
      </c>
      <c r="E7" s="19" t="s">
        <v>4</v>
      </c>
      <c r="F7" s="19" t="s">
        <v>5</v>
      </c>
      <c r="G7" s="19" t="s">
        <v>6</v>
      </c>
      <c r="H7" s="19" t="s">
        <v>7</v>
      </c>
      <c r="I7" s="19" t="s">
        <v>9</v>
      </c>
      <c r="J7" s="19" t="s">
        <v>318</v>
      </c>
      <c r="K7" s="19" t="s">
        <v>10</v>
      </c>
      <c r="L7" s="19" t="s">
        <v>11</v>
      </c>
      <c r="M7" s="11" t="s">
        <v>309</v>
      </c>
      <c r="N7" s="19" t="s">
        <v>310</v>
      </c>
      <c r="O7" s="19" t="s">
        <v>311</v>
      </c>
      <c r="P7" s="19" t="s">
        <v>12</v>
      </c>
      <c r="Q7" s="19" t="s">
        <v>312</v>
      </c>
      <c r="R7" s="19" t="s">
        <v>313</v>
      </c>
      <c r="S7" s="19" t="s">
        <v>314</v>
      </c>
      <c r="T7" s="19" t="s">
        <v>315</v>
      </c>
      <c r="U7" s="19" t="s">
        <v>316</v>
      </c>
      <c r="V7" s="19" t="s">
        <v>13</v>
      </c>
      <c r="W7" s="19" t="s">
        <v>14</v>
      </c>
      <c r="X7" s="19" t="s">
        <v>15</v>
      </c>
      <c r="Y7" s="19" t="s">
        <v>523</v>
      </c>
      <c r="Z7" s="11" t="s">
        <v>140</v>
      </c>
      <c r="AA7" s="55" t="s">
        <v>16</v>
      </c>
      <c r="AB7" s="107" t="s">
        <v>490</v>
      </c>
      <c r="AC7" s="107" t="s">
        <v>491</v>
      </c>
      <c r="AD7" s="107" t="s">
        <v>492</v>
      </c>
      <c r="AE7" s="107" t="s">
        <v>493</v>
      </c>
      <c r="AF7" s="107" t="s">
        <v>494</v>
      </c>
      <c r="AG7" s="107" t="s">
        <v>495</v>
      </c>
      <c r="AH7" s="107" t="s">
        <v>496</v>
      </c>
      <c r="AI7" s="107" t="s">
        <v>497</v>
      </c>
      <c r="AJ7" s="107" t="s">
        <v>498</v>
      </c>
      <c r="AK7" s="498" t="s">
        <v>837</v>
      </c>
      <c r="AL7" s="498" t="s">
        <v>838</v>
      </c>
      <c r="AM7" s="498" t="s">
        <v>839</v>
      </c>
      <c r="AN7" s="498" t="s">
        <v>840</v>
      </c>
      <c r="AO7" s="498" t="s">
        <v>13</v>
      </c>
      <c r="AP7" s="498" t="s">
        <v>14</v>
      </c>
      <c r="AQ7" s="498" t="s">
        <v>15</v>
      </c>
      <c r="AR7" s="498" t="s">
        <v>523</v>
      </c>
      <c r="AS7" s="498" t="s">
        <v>140</v>
      </c>
      <c r="AT7" s="498" t="s">
        <v>13</v>
      </c>
      <c r="AU7" s="498" t="s">
        <v>14</v>
      </c>
      <c r="AV7" s="498" t="s">
        <v>15</v>
      </c>
      <c r="AW7" s="498" t="s">
        <v>523</v>
      </c>
      <c r="AX7" s="498" t="s">
        <v>140</v>
      </c>
      <c r="AY7" s="107" t="s">
        <v>13</v>
      </c>
      <c r="AZ7" s="107" t="s">
        <v>14</v>
      </c>
      <c r="BA7" s="107" t="s">
        <v>15</v>
      </c>
      <c r="BB7" s="107" t="s">
        <v>523</v>
      </c>
      <c r="BC7" s="107" t="s">
        <v>140</v>
      </c>
    </row>
    <row r="8" spans="1:55" s="5" customFormat="1" ht="15.5">
      <c r="A8" s="3"/>
      <c r="B8" s="3"/>
      <c r="C8" s="48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58"/>
      <c r="AB8" s="326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</row>
    <row r="9" spans="1:55" s="5" customFormat="1">
      <c r="A9" s="3">
        <v>1</v>
      </c>
      <c r="B9" s="3">
        <v>135</v>
      </c>
      <c r="C9" s="3" t="s">
        <v>100</v>
      </c>
      <c r="D9" s="4">
        <v>4582000</v>
      </c>
      <c r="E9" s="4">
        <v>4582000</v>
      </c>
      <c r="F9" s="4">
        <f t="shared" ref="F9:F20" si="0">D9-E9</f>
        <v>0</v>
      </c>
      <c r="G9" s="4">
        <v>1233000</v>
      </c>
      <c r="H9" s="4">
        <v>1097952.73</v>
      </c>
      <c r="I9" s="4"/>
      <c r="J9" s="4"/>
      <c r="K9" s="4">
        <f t="shared" ref="K9:K20" si="1">I9+J9</f>
        <v>0</v>
      </c>
      <c r="L9" s="4">
        <f t="shared" ref="L9:L20" si="2">H9+K9</f>
        <v>1097952.73</v>
      </c>
      <c r="M9" s="4">
        <f t="shared" ref="M9:M20" si="3">P9+S9</f>
        <v>135047.27000000002</v>
      </c>
      <c r="N9" s="4"/>
      <c r="O9" s="4">
        <f t="shared" ref="O9:O20" si="4">D9-L9-M9-N9</f>
        <v>3349000</v>
      </c>
      <c r="P9" s="4">
        <f t="shared" ref="P9:P20" si="5">G9-L9</f>
        <v>135047.27000000002</v>
      </c>
      <c r="Q9" s="4"/>
      <c r="R9" s="4"/>
      <c r="S9" s="4">
        <f t="shared" ref="S9:S20" si="6">SUM(Q9:R9)</f>
        <v>0</v>
      </c>
      <c r="T9" s="4">
        <f t="shared" ref="T9:T20" si="7">P9-M9+S9</f>
        <v>0</v>
      </c>
      <c r="U9" s="4">
        <f t="shared" ref="U9:U20" si="8">N9-T9</f>
        <v>0</v>
      </c>
      <c r="V9" s="4"/>
      <c r="W9" s="4">
        <f>U9-V9-Y9-Z9</f>
        <v>0</v>
      </c>
      <c r="X9" s="4"/>
      <c r="Y9" s="4"/>
      <c r="Z9" s="4"/>
      <c r="AA9" s="58">
        <v>747000</v>
      </c>
      <c r="AB9" s="326"/>
      <c r="AC9" s="4"/>
      <c r="AD9" s="4"/>
      <c r="AE9" s="4"/>
      <c r="AF9" s="4"/>
      <c r="AG9" s="4"/>
      <c r="AH9" s="4"/>
      <c r="AI9" s="4"/>
      <c r="AJ9" s="4"/>
      <c r="AK9" s="3">
        <f>SUM(AB9:AJ9)</f>
        <v>0</v>
      </c>
      <c r="AL9" s="4"/>
      <c r="AM9" s="4">
        <f>AL9+AK9</f>
        <v>0</v>
      </c>
      <c r="AN9" s="4">
        <f>U9-AM9</f>
        <v>0</v>
      </c>
      <c r="AO9" s="3"/>
      <c r="AP9" s="4">
        <f>AM9-AO9</f>
        <v>0</v>
      </c>
      <c r="AQ9" s="3"/>
      <c r="AR9" s="4"/>
      <c r="AS9" s="3"/>
      <c r="AT9" s="3"/>
      <c r="AU9" s="4">
        <f>AL9-AT9</f>
        <v>0</v>
      </c>
      <c r="AV9" s="3"/>
      <c r="AW9" s="3"/>
      <c r="AX9" s="4">
        <f>AG9-AW9</f>
        <v>0</v>
      </c>
      <c r="AY9" s="3"/>
      <c r="AZ9" s="4">
        <f>AN9-AY9-BC9</f>
        <v>0</v>
      </c>
      <c r="BA9" s="3"/>
      <c r="BB9" s="3"/>
      <c r="BC9" s="3"/>
    </row>
    <row r="10" spans="1:55" s="5" customFormat="1">
      <c r="A10" s="3">
        <f>A9+1</f>
        <v>2</v>
      </c>
      <c r="B10" s="3">
        <v>1134</v>
      </c>
      <c r="C10" s="3" t="s">
        <v>101</v>
      </c>
      <c r="D10" s="4">
        <v>2700000</v>
      </c>
      <c r="E10" s="4">
        <v>2535000</v>
      </c>
      <c r="F10" s="4">
        <f t="shared" si="0"/>
        <v>165000</v>
      </c>
      <c r="G10" s="4">
        <v>2495000</v>
      </c>
      <c r="H10" s="4">
        <v>2243260.7999999998</v>
      </c>
      <c r="I10" s="4"/>
      <c r="J10" s="4">
        <v>22156.93</v>
      </c>
      <c r="K10" s="4">
        <f t="shared" si="1"/>
        <v>22156.93</v>
      </c>
      <c r="L10" s="4">
        <f t="shared" si="2"/>
        <v>2265417.73</v>
      </c>
      <c r="M10" s="4">
        <f t="shared" si="3"/>
        <v>229582.27000000002</v>
      </c>
      <c r="N10" s="4"/>
      <c r="O10" s="4">
        <f t="shared" si="4"/>
        <v>205000</v>
      </c>
      <c r="P10" s="4">
        <f t="shared" si="5"/>
        <v>229582.27000000002</v>
      </c>
      <c r="Q10" s="4"/>
      <c r="R10" s="4"/>
      <c r="S10" s="4">
        <f t="shared" si="6"/>
        <v>0</v>
      </c>
      <c r="T10" s="4">
        <f t="shared" si="7"/>
        <v>0</v>
      </c>
      <c r="U10" s="4">
        <f t="shared" si="8"/>
        <v>0</v>
      </c>
      <c r="V10" s="4"/>
      <c r="W10" s="4">
        <f>U10-V10-Y10-Z10</f>
        <v>0</v>
      </c>
      <c r="X10" s="4"/>
      <c r="Y10" s="4"/>
      <c r="Z10" s="4"/>
      <c r="AA10" s="58">
        <v>746000</v>
      </c>
      <c r="AB10" s="326"/>
      <c r="AC10" s="4"/>
      <c r="AD10" s="4"/>
      <c r="AE10" s="4"/>
      <c r="AF10" s="4"/>
      <c r="AG10" s="4"/>
      <c r="AH10" s="4"/>
      <c r="AI10" s="4"/>
      <c r="AJ10" s="4"/>
      <c r="AK10" s="4">
        <f t="shared" ref="AK10:AK20" si="9">SUM(AB10:AJ10)</f>
        <v>0</v>
      </c>
      <c r="AL10" s="4"/>
      <c r="AM10" s="4">
        <f t="shared" ref="AM10:AM20" si="10">AL10+AK10</f>
        <v>0</v>
      </c>
      <c r="AN10" s="4">
        <f t="shared" ref="AN10:AN20" si="11">U10-AM10</f>
        <v>0</v>
      </c>
      <c r="AO10" s="3"/>
      <c r="AP10" s="4">
        <f t="shared" ref="AP10:AP20" si="12">AM10-AO10</f>
        <v>0</v>
      </c>
      <c r="AQ10" s="3"/>
      <c r="AR10" s="4"/>
      <c r="AS10" s="3"/>
      <c r="AT10" s="3"/>
      <c r="AU10" s="4">
        <f t="shared" ref="AU10:AU20" si="13">AL10-AT10</f>
        <v>0</v>
      </c>
      <c r="AV10" s="3"/>
      <c r="AW10" s="3"/>
      <c r="AX10" s="4">
        <f t="shared" ref="AX10:AX20" si="14">AG10-AW10</f>
        <v>0</v>
      </c>
      <c r="AY10" s="3"/>
      <c r="AZ10" s="4">
        <f t="shared" ref="AZ10:AZ20" si="15">AN10-AY10-BC10</f>
        <v>0</v>
      </c>
      <c r="BA10" s="3"/>
      <c r="BB10" s="3"/>
      <c r="BC10" s="3"/>
    </row>
    <row r="11" spans="1:55" s="5" customFormat="1">
      <c r="A11" s="3">
        <f t="shared" ref="A11:A20" si="16">A10+1</f>
        <v>3</v>
      </c>
      <c r="B11" s="3">
        <v>1345</v>
      </c>
      <c r="C11" s="3" t="s">
        <v>102</v>
      </c>
      <c r="D11" s="4">
        <v>1739000</v>
      </c>
      <c r="E11" s="4">
        <v>1739000</v>
      </c>
      <c r="F11" s="4">
        <f t="shared" si="0"/>
        <v>0</v>
      </c>
      <c r="G11" s="4">
        <v>765000</v>
      </c>
      <c r="H11" s="4">
        <v>672961.6</v>
      </c>
      <c r="I11" s="4"/>
      <c r="J11" s="4">
        <v>59395.5</v>
      </c>
      <c r="K11" s="4">
        <f t="shared" si="1"/>
        <v>59395.5</v>
      </c>
      <c r="L11" s="4">
        <f t="shared" si="2"/>
        <v>732357.1</v>
      </c>
      <c r="M11" s="4">
        <f t="shared" si="3"/>
        <v>32642.900000000023</v>
      </c>
      <c r="N11" s="4">
        <v>150000</v>
      </c>
      <c r="O11" s="4">
        <f t="shared" si="4"/>
        <v>824000</v>
      </c>
      <c r="P11" s="4">
        <f t="shared" si="5"/>
        <v>32642.900000000023</v>
      </c>
      <c r="Q11" s="4"/>
      <c r="R11" s="4"/>
      <c r="S11" s="4">
        <f t="shared" si="6"/>
        <v>0</v>
      </c>
      <c r="T11" s="4">
        <f t="shared" si="7"/>
        <v>0</v>
      </c>
      <c r="U11" s="4">
        <f t="shared" si="8"/>
        <v>150000</v>
      </c>
      <c r="V11" s="4"/>
      <c r="W11" s="4">
        <f t="shared" ref="W11:W19" si="17">U11-V11-Y11-Z11</f>
        <v>150000</v>
      </c>
      <c r="X11" s="4"/>
      <c r="Y11" s="4"/>
      <c r="Z11" s="4"/>
      <c r="AA11" s="58">
        <v>870000</v>
      </c>
      <c r="AB11" s="326"/>
      <c r="AC11" s="4"/>
      <c r="AD11" s="4">
        <v>50000</v>
      </c>
      <c r="AE11" s="4"/>
      <c r="AF11" s="4"/>
      <c r="AG11" s="4"/>
      <c r="AH11" s="4"/>
      <c r="AI11" s="4"/>
      <c r="AJ11" s="4">
        <v>20000</v>
      </c>
      <c r="AK11" s="4">
        <f t="shared" si="9"/>
        <v>70000</v>
      </c>
      <c r="AL11" s="4"/>
      <c r="AM11" s="4">
        <f t="shared" si="10"/>
        <v>70000</v>
      </c>
      <c r="AN11" s="4">
        <f t="shared" si="11"/>
        <v>80000</v>
      </c>
      <c r="AO11" s="3"/>
      <c r="AP11" s="4">
        <f t="shared" si="12"/>
        <v>70000</v>
      </c>
      <c r="AQ11" s="3"/>
      <c r="AR11" s="4"/>
      <c r="AS11" s="3"/>
      <c r="AT11" s="4"/>
      <c r="AU11" s="4">
        <f t="shared" si="13"/>
        <v>0</v>
      </c>
      <c r="AV11" s="3"/>
      <c r="AW11" s="3"/>
      <c r="AX11" s="4">
        <f t="shared" si="14"/>
        <v>0</v>
      </c>
      <c r="AY11" s="3"/>
      <c r="AZ11" s="4">
        <f t="shared" si="15"/>
        <v>80000</v>
      </c>
      <c r="BA11" s="3"/>
      <c r="BB11" s="3"/>
      <c r="BC11" s="3"/>
    </row>
    <row r="12" spans="1:55" s="5" customFormat="1">
      <c r="A12" s="3">
        <f t="shared" si="16"/>
        <v>4</v>
      </c>
      <c r="B12" s="244">
        <v>1566</v>
      </c>
      <c r="C12" s="244" t="s">
        <v>985</v>
      </c>
      <c r="D12" s="4">
        <v>700000</v>
      </c>
      <c r="E12" s="4">
        <v>700000</v>
      </c>
      <c r="F12" s="4"/>
      <c r="G12" s="4">
        <v>700000</v>
      </c>
      <c r="H12" s="4">
        <v>681473.26</v>
      </c>
      <c r="I12" s="4"/>
      <c r="J12" s="4">
        <v>4377</v>
      </c>
      <c r="K12" s="4">
        <f t="shared" si="1"/>
        <v>4377</v>
      </c>
      <c r="L12" s="4">
        <f t="shared" si="2"/>
        <v>685850.26</v>
      </c>
      <c r="M12" s="4">
        <f t="shared" si="3"/>
        <v>14149.739999999991</v>
      </c>
      <c r="N12" s="4"/>
      <c r="O12" s="4">
        <f t="shared" si="4"/>
        <v>0</v>
      </c>
      <c r="P12" s="4">
        <f t="shared" si="5"/>
        <v>14149.739999999991</v>
      </c>
      <c r="Q12" s="4"/>
      <c r="R12" s="4"/>
      <c r="S12" s="4">
        <f t="shared" si="6"/>
        <v>0</v>
      </c>
      <c r="T12" s="4">
        <f t="shared" si="7"/>
        <v>0</v>
      </c>
      <c r="U12" s="4">
        <f t="shared" si="8"/>
        <v>0</v>
      </c>
      <c r="V12" s="4"/>
      <c r="W12" s="4">
        <f t="shared" si="17"/>
        <v>0</v>
      </c>
      <c r="X12" s="4"/>
      <c r="Y12" s="4"/>
      <c r="Z12" s="4"/>
      <c r="AA12" s="58">
        <v>870000</v>
      </c>
      <c r="AB12" s="326"/>
      <c r="AC12" s="4"/>
      <c r="AD12" s="4"/>
      <c r="AE12" s="4"/>
      <c r="AF12" s="4"/>
      <c r="AG12" s="4"/>
      <c r="AH12" s="4"/>
      <c r="AI12" s="4"/>
      <c r="AJ12" s="4"/>
      <c r="AK12" s="4">
        <f t="shared" si="9"/>
        <v>0</v>
      </c>
      <c r="AL12" s="4"/>
      <c r="AM12" s="4">
        <f t="shared" si="10"/>
        <v>0</v>
      </c>
      <c r="AN12" s="4">
        <f t="shared" si="11"/>
        <v>0</v>
      </c>
      <c r="AO12" s="3"/>
      <c r="AP12" s="4">
        <f t="shared" si="12"/>
        <v>0</v>
      </c>
      <c r="AQ12" s="3"/>
      <c r="AR12" s="4"/>
      <c r="AS12" s="3"/>
      <c r="AT12" s="4"/>
      <c r="AU12" s="4">
        <f t="shared" si="13"/>
        <v>0</v>
      </c>
      <c r="AV12" s="3"/>
      <c r="AW12" s="3"/>
      <c r="AX12" s="4">
        <f t="shared" si="14"/>
        <v>0</v>
      </c>
      <c r="AY12" s="3"/>
      <c r="AZ12" s="4">
        <f t="shared" si="15"/>
        <v>0</v>
      </c>
      <c r="BA12" s="3"/>
      <c r="BB12" s="3"/>
      <c r="BC12" s="3"/>
    </row>
    <row r="13" spans="1:55" s="5" customFormat="1">
      <c r="A13" s="3">
        <f t="shared" si="16"/>
        <v>5</v>
      </c>
      <c r="B13" s="3">
        <v>1579</v>
      </c>
      <c r="C13" s="3" t="s">
        <v>103</v>
      </c>
      <c r="D13" s="4">
        <v>170000</v>
      </c>
      <c r="E13" s="4">
        <v>170000</v>
      </c>
      <c r="F13" s="4">
        <f t="shared" si="0"/>
        <v>0</v>
      </c>
      <c r="G13" s="4">
        <v>170000</v>
      </c>
      <c r="H13" s="4">
        <v>140763.65</v>
      </c>
      <c r="I13" s="4"/>
      <c r="J13" s="4">
        <v>5878.61</v>
      </c>
      <c r="K13" s="4">
        <f t="shared" si="1"/>
        <v>5878.61</v>
      </c>
      <c r="L13" s="4">
        <f t="shared" si="2"/>
        <v>146642.25999999998</v>
      </c>
      <c r="M13" s="4">
        <f t="shared" si="3"/>
        <v>23357.74000000002</v>
      </c>
      <c r="N13" s="4"/>
      <c r="O13" s="4">
        <f t="shared" si="4"/>
        <v>0</v>
      </c>
      <c r="P13" s="4">
        <f t="shared" si="5"/>
        <v>23357.74000000002</v>
      </c>
      <c r="Q13" s="4"/>
      <c r="R13" s="4"/>
      <c r="S13" s="4">
        <f t="shared" si="6"/>
        <v>0</v>
      </c>
      <c r="T13" s="4">
        <f t="shared" si="7"/>
        <v>0</v>
      </c>
      <c r="U13" s="4">
        <f t="shared" si="8"/>
        <v>0</v>
      </c>
      <c r="V13" s="4"/>
      <c r="W13" s="4">
        <f t="shared" si="17"/>
        <v>0</v>
      </c>
      <c r="X13" s="4"/>
      <c r="Y13" s="4"/>
      <c r="Z13" s="4"/>
      <c r="AA13" s="58">
        <v>870000</v>
      </c>
      <c r="AB13" s="326"/>
      <c r="AC13" s="4"/>
      <c r="AD13" s="4"/>
      <c r="AE13" s="4"/>
      <c r="AF13" s="4"/>
      <c r="AG13" s="4"/>
      <c r="AH13" s="4"/>
      <c r="AI13" s="4"/>
      <c r="AJ13" s="4"/>
      <c r="AK13" s="4">
        <f t="shared" si="9"/>
        <v>0</v>
      </c>
      <c r="AL13" s="4"/>
      <c r="AM13" s="4">
        <f t="shared" si="10"/>
        <v>0</v>
      </c>
      <c r="AN13" s="4">
        <f t="shared" si="11"/>
        <v>0</v>
      </c>
      <c r="AO13" s="3"/>
      <c r="AP13" s="4">
        <f t="shared" si="12"/>
        <v>0</v>
      </c>
      <c r="AQ13" s="3"/>
      <c r="AR13" s="4"/>
      <c r="AS13" s="3"/>
      <c r="AT13" s="4"/>
      <c r="AU13" s="4">
        <f t="shared" si="13"/>
        <v>0</v>
      </c>
      <c r="AV13" s="3"/>
      <c r="AW13" s="3"/>
      <c r="AX13" s="4">
        <f t="shared" si="14"/>
        <v>0</v>
      </c>
      <c r="AY13" s="3"/>
      <c r="AZ13" s="4">
        <f t="shared" si="15"/>
        <v>0</v>
      </c>
      <c r="BA13" s="3"/>
      <c r="BB13" s="3"/>
      <c r="BC13" s="3"/>
    </row>
    <row r="14" spans="1:55" s="5" customFormat="1">
      <c r="A14" s="3">
        <f t="shared" si="16"/>
        <v>6</v>
      </c>
      <c r="B14" s="3">
        <v>1598</v>
      </c>
      <c r="C14" s="3" t="s">
        <v>104</v>
      </c>
      <c r="D14" s="4">
        <f>384500+30000</f>
        <v>414500</v>
      </c>
      <c r="E14" s="4">
        <v>284500</v>
      </c>
      <c r="F14" s="4">
        <f t="shared" si="0"/>
        <v>130000</v>
      </c>
      <c r="G14" s="4">
        <v>284500</v>
      </c>
      <c r="H14" s="4">
        <v>136323.66</v>
      </c>
      <c r="I14" s="4"/>
      <c r="J14" s="4">
        <v>88053.48</v>
      </c>
      <c r="K14" s="4">
        <f t="shared" si="1"/>
        <v>88053.48</v>
      </c>
      <c r="L14" s="4">
        <f t="shared" si="2"/>
        <v>224377.14</v>
      </c>
      <c r="M14" s="4">
        <f t="shared" si="3"/>
        <v>60122.859999999986</v>
      </c>
      <c r="N14" s="4">
        <f>100000+30000</f>
        <v>130000</v>
      </c>
      <c r="O14" s="4">
        <f t="shared" si="4"/>
        <v>0</v>
      </c>
      <c r="P14" s="4">
        <f t="shared" si="5"/>
        <v>60122.859999999986</v>
      </c>
      <c r="Q14" s="4"/>
      <c r="R14" s="4"/>
      <c r="S14" s="4">
        <f t="shared" si="6"/>
        <v>0</v>
      </c>
      <c r="T14" s="4">
        <f t="shared" si="7"/>
        <v>0</v>
      </c>
      <c r="U14" s="4">
        <f t="shared" si="8"/>
        <v>130000</v>
      </c>
      <c r="V14" s="4"/>
      <c r="W14" s="4">
        <f t="shared" si="17"/>
        <v>130000</v>
      </c>
      <c r="X14" s="4"/>
      <c r="Y14" s="4"/>
      <c r="Z14" s="4"/>
      <c r="AA14" s="58">
        <v>870000</v>
      </c>
      <c r="AB14" s="326"/>
      <c r="AC14" s="4"/>
      <c r="AD14" s="4">
        <v>50000</v>
      </c>
      <c r="AE14" s="4"/>
      <c r="AF14" s="4"/>
      <c r="AG14" s="4"/>
      <c r="AH14" s="4"/>
      <c r="AI14" s="4"/>
      <c r="AJ14" s="4">
        <v>80000</v>
      </c>
      <c r="AK14" s="4">
        <f t="shared" si="9"/>
        <v>130000</v>
      </c>
      <c r="AL14" s="4"/>
      <c r="AM14" s="4">
        <f t="shared" si="10"/>
        <v>130000</v>
      </c>
      <c r="AN14" s="4">
        <f t="shared" si="11"/>
        <v>0</v>
      </c>
      <c r="AO14" s="3"/>
      <c r="AP14" s="4">
        <f t="shared" si="12"/>
        <v>130000</v>
      </c>
      <c r="AQ14" s="3"/>
      <c r="AR14" s="4"/>
      <c r="AS14" s="3"/>
      <c r="AT14" s="4"/>
      <c r="AU14" s="4">
        <f t="shared" si="13"/>
        <v>0</v>
      </c>
      <c r="AV14" s="3"/>
      <c r="AW14" s="3"/>
      <c r="AX14" s="4">
        <f t="shared" si="14"/>
        <v>0</v>
      </c>
      <c r="AY14" s="3"/>
      <c r="AZ14" s="4">
        <f t="shared" si="15"/>
        <v>0</v>
      </c>
      <c r="BA14" s="3"/>
      <c r="BB14" s="3"/>
      <c r="BC14" s="3"/>
    </row>
    <row r="15" spans="1:55" s="5" customFormat="1" ht="28">
      <c r="A15" s="3">
        <f t="shared" si="16"/>
        <v>7</v>
      </c>
      <c r="B15" s="244">
        <v>1685</v>
      </c>
      <c r="C15" s="244" t="s">
        <v>1046</v>
      </c>
      <c r="D15" s="4">
        <v>180000</v>
      </c>
      <c r="E15" s="4">
        <v>180000</v>
      </c>
      <c r="F15" s="4">
        <f t="shared" si="0"/>
        <v>0</v>
      </c>
      <c r="G15" s="4">
        <v>180000</v>
      </c>
      <c r="H15" s="4">
        <v>87165</v>
      </c>
      <c r="I15" s="4"/>
      <c r="J15" s="4"/>
      <c r="K15" s="4">
        <f t="shared" si="1"/>
        <v>0</v>
      </c>
      <c r="L15" s="4">
        <f t="shared" si="2"/>
        <v>87165</v>
      </c>
      <c r="M15" s="4">
        <f t="shared" si="3"/>
        <v>92835</v>
      </c>
      <c r="N15" s="4"/>
      <c r="O15" s="4">
        <f t="shared" si="4"/>
        <v>0</v>
      </c>
      <c r="P15" s="4">
        <f t="shared" si="5"/>
        <v>92835</v>
      </c>
      <c r="Q15" s="4"/>
      <c r="R15" s="4"/>
      <c r="S15" s="4">
        <f t="shared" si="6"/>
        <v>0</v>
      </c>
      <c r="T15" s="4">
        <f t="shared" si="7"/>
        <v>0</v>
      </c>
      <c r="U15" s="4">
        <f t="shared" si="8"/>
        <v>0</v>
      </c>
      <c r="V15" s="4"/>
      <c r="W15" s="4">
        <f t="shared" si="17"/>
        <v>0</v>
      </c>
      <c r="X15" s="4"/>
      <c r="Y15" s="4"/>
      <c r="Z15" s="4"/>
      <c r="AA15" s="58">
        <v>870000</v>
      </c>
      <c r="AB15" s="326"/>
      <c r="AC15" s="4"/>
      <c r="AD15" s="4"/>
      <c r="AE15" s="4"/>
      <c r="AF15" s="4"/>
      <c r="AG15" s="4"/>
      <c r="AH15" s="4"/>
      <c r="AI15" s="4"/>
      <c r="AJ15" s="4"/>
      <c r="AK15" s="4">
        <f t="shared" si="9"/>
        <v>0</v>
      </c>
      <c r="AL15" s="4"/>
      <c r="AM15" s="4">
        <f t="shared" si="10"/>
        <v>0</v>
      </c>
      <c r="AN15" s="4">
        <f t="shared" si="11"/>
        <v>0</v>
      </c>
      <c r="AO15" s="3"/>
      <c r="AP15" s="4">
        <f t="shared" si="12"/>
        <v>0</v>
      </c>
      <c r="AQ15" s="3"/>
      <c r="AR15" s="4"/>
      <c r="AS15" s="3"/>
      <c r="AT15" s="4"/>
      <c r="AU15" s="4">
        <f t="shared" si="13"/>
        <v>0</v>
      </c>
      <c r="AV15" s="3"/>
      <c r="AW15" s="3"/>
      <c r="AX15" s="4">
        <f t="shared" si="14"/>
        <v>0</v>
      </c>
      <c r="AY15" s="3"/>
      <c r="AZ15" s="4">
        <f t="shared" si="15"/>
        <v>0</v>
      </c>
      <c r="BA15" s="3"/>
      <c r="BB15" s="3"/>
      <c r="BC15" s="3"/>
    </row>
    <row r="16" spans="1:55" s="5" customFormat="1">
      <c r="A16" s="3">
        <f t="shared" si="16"/>
        <v>8</v>
      </c>
      <c r="B16" s="3">
        <v>1831</v>
      </c>
      <c r="C16" s="3" t="s">
        <v>240</v>
      </c>
      <c r="D16" s="4">
        <f>146059+20000</f>
        <v>166059</v>
      </c>
      <c r="E16" s="4">
        <v>146059</v>
      </c>
      <c r="F16" s="4">
        <f t="shared" si="0"/>
        <v>20000</v>
      </c>
      <c r="G16" s="4">
        <v>50000</v>
      </c>
      <c r="H16" s="4">
        <f>-46976+85001</f>
        <v>38025</v>
      </c>
      <c r="I16" s="4"/>
      <c r="J16" s="4"/>
      <c r="K16" s="4">
        <f t="shared" si="1"/>
        <v>0</v>
      </c>
      <c r="L16" s="4">
        <f t="shared" si="2"/>
        <v>38025</v>
      </c>
      <c r="M16" s="4">
        <f t="shared" si="3"/>
        <v>46976</v>
      </c>
      <c r="N16" s="4">
        <f>20000+146059-85001</f>
        <v>81058</v>
      </c>
      <c r="O16" s="4">
        <f t="shared" si="4"/>
        <v>0</v>
      </c>
      <c r="P16" s="4">
        <f t="shared" si="5"/>
        <v>11975</v>
      </c>
      <c r="Q16" s="4">
        <v>35001</v>
      </c>
      <c r="R16" s="4"/>
      <c r="S16" s="4">
        <f t="shared" si="6"/>
        <v>35001</v>
      </c>
      <c r="T16" s="4">
        <f t="shared" si="7"/>
        <v>0</v>
      </c>
      <c r="U16" s="4">
        <f t="shared" si="8"/>
        <v>81058</v>
      </c>
      <c r="V16" s="4"/>
      <c r="W16" s="4">
        <f t="shared" si="17"/>
        <v>20000</v>
      </c>
      <c r="X16" s="4"/>
      <c r="Y16" s="4"/>
      <c r="Z16" s="4">
        <f>146059-85001</f>
        <v>61058</v>
      </c>
      <c r="AA16" s="58">
        <v>870000</v>
      </c>
      <c r="AB16" s="326"/>
      <c r="AC16" s="518"/>
      <c r="AD16" s="518"/>
      <c r="AE16" s="518"/>
      <c r="AF16" s="518"/>
      <c r="AG16" s="518"/>
      <c r="AH16" s="518"/>
      <c r="AI16" s="518"/>
      <c r="AJ16" s="518"/>
      <c r="AK16" s="4">
        <f t="shared" si="9"/>
        <v>0</v>
      </c>
      <c r="AL16" s="4"/>
      <c r="AM16" s="4">
        <f t="shared" si="10"/>
        <v>0</v>
      </c>
      <c r="AN16" s="4">
        <f t="shared" si="11"/>
        <v>81058</v>
      </c>
      <c r="AO16" s="3"/>
      <c r="AP16" s="4">
        <f t="shared" si="12"/>
        <v>0</v>
      </c>
      <c r="AQ16" s="3"/>
      <c r="AR16" s="4"/>
      <c r="AS16" s="3"/>
      <c r="AT16" s="4"/>
      <c r="AU16" s="4">
        <f t="shared" si="13"/>
        <v>0</v>
      </c>
      <c r="AV16" s="3"/>
      <c r="AW16" s="3"/>
      <c r="AX16" s="4">
        <f t="shared" si="14"/>
        <v>0</v>
      </c>
      <c r="AY16" s="3"/>
      <c r="AZ16" s="4">
        <f t="shared" si="15"/>
        <v>0</v>
      </c>
      <c r="BA16" s="3"/>
      <c r="BB16" s="3"/>
      <c r="BC16" s="4">
        <v>81058</v>
      </c>
    </row>
    <row r="17" spans="1:55" s="5" customFormat="1">
      <c r="A17" s="3">
        <f t="shared" si="16"/>
        <v>9</v>
      </c>
      <c r="B17" s="3">
        <v>1866</v>
      </c>
      <c r="C17" s="3" t="s">
        <v>245</v>
      </c>
      <c r="D17" s="4">
        <v>300000</v>
      </c>
      <c r="E17" s="4">
        <v>300000</v>
      </c>
      <c r="F17" s="4">
        <f t="shared" si="0"/>
        <v>0</v>
      </c>
      <c r="G17" s="4">
        <v>150000</v>
      </c>
      <c r="H17" s="4">
        <v>47503.39</v>
      </c>
      <c r="I17" s="4"/>
      <c r="J17" s="4">
        <v>17835.41</v>
      </c>
      <c r="K17" s="4">
        <f t="shared" si="1"/>
        <v>17835.41</v>
      </c>
      <c r="L17" s="4">
        <f t="shared" si="2"/>
        <v>65338.8</v>
      </c>
      <c r="M17" s="4">
        <f t="shared" si="3"/>
        <v>84661.2</v>
      </c>
      <c r="N17" s="4"/>
      <c r="O17" s="4">
        <f t="shared" si="4"/>
        <v>150000</v>
      </c>
      <c r="P17" s="4">
        <f t="shared" si="5"/>
        <v>84661.2</v>
      </c>
      <c r="Q17" s="4"/>
      <c r="R17" s="4"/>
      <c r="S17" s="4">
        <f t="shared" si="6"/>
        <v>0</v>
      </c>
      <c r="T17" s="4">
        <f t="shared" si="7"/>
        <v>0</v>
      </c>
      <c r="U17" s="4">
        <f t="shared" si="8"/>
        <v>0</v>
      </c>
      <c r="V17" s="4"/>
      <c r="W17" s="4">
        <f t="shared" si="17"/>
        <v>0</v>
      </c>
      <c r="X17" s="4"/>
      <c r="Y17" s="4"/>
      <c r="Z17" s="4"/>
      <c r="AA17" s="58">
        <v>870000</v>
      </c>
      <c r="AB17" s="326"/>
      <c r="AC17" s="4"/>
      <c r="AD17" s="4"/>
      <c r="AE17" s="4"/>
      <c r="AF17" s="4"/>
      <c r="AG17" s="4"/>
      <c r="AH17" s="4"/>
      <c r="AI17" s="4"/>
      <c r="AJ17" s="4"/>
      <c r="AK17" s="4">
        <f t="shared" si="9"/>
        <v>0</v>
      </c>
      <c r="AL17" s="4"/>
      <c r="AM17" s="4">
        <f t="shared" si="10"/>
        <v>0</v>
      </c>
      <c r="AN17" s="4">
        <f t="shared" si="11"/>
        <v>0</v>
      </c>
      <c r="AO17" s="3"/>
      <c r="AP17" s="4">
        <f t="shared" si="12"/>
        <v>0</v>
      </c>
      <c r="AQ17" s="3"/>
      <c r="AR17" s="4"/>
      <c r="AS17" s="3"/>
      <c r="AT17" s="4"/>
      <c r="AU17" s="4">
        <f t="shared" si="13"/>
        <v>0</v>
      </c>
      <c r="AV17" s="3"/>
      <c r="AW17" s="3"/>
      <c r="AX17" s="4">
        <f t="shared" si="14"/>
        <v>0</v>
      </c>
      <c r="AY17" s="3"/>
      <c r="AZ17" s="4">
        <f t="shared" si="15"/>
        <v>0</v>
      </c>
      <c r="BA17" s="3"/>
      <c r="BB17" s="3"/>
      <c r="BC17" s="3"/>
    </row>
    <row r="18" spans="1:55" s="5" customFormat="1">
      <c r="A18" s="3">
        <f t="shared" si="16"/>
        <v>10</v>
      </c>
      <c r="B18" s="3">
        <v>1922</v>
      </c>
      <c r="C18" s="3" t="s">
        <v>242</v>
      </c>
      <c r="D18" s="4">
        <v>330000</v>
      </c>
      <c r="E18" s="4">
        <v>330000</v>
      </c>
      <c r="F18" s="4">
        <f t="shared" si="0"/>
        <v>0</v>
      </c>
      <c r="G18" s="4">
        <v>100000</v>
      </c>
      <c r="H18" s="4">
        <v>0</v>
      </c>
      <c r="I18" s="4"/>
      <c r="J18" s="4"/>
      <c r="K18" s="4">
        <f t="shared" si="1"/>
        <v>0</v>
      </c>
      <c r="L18" s="4">
        <f t="shared" si="2"/>
        <v>0</v>
      </c>
      <c r="M18" s="4">
        <f t="shared" si="3"/>
        <v>100000</v>
      </c>
      <c r="N18" s="4">
        <v>100000</v>
      </c>
      <c r="O18" s="4">
        <f t="shared" si="4"/>
        <v>130000</v>
      </c>
      <c r="P18" s="4">
        <f t="shared" si="5"/>
        <v>100000</v>
      </c>
      <c r="Q18" s="4"/>
      <c r="R18" s="4"/>
      <c r="S18" s="4">
        <f t="shared" si="6"/>
        <v>0</v>
      </c>
      <c r="T18" s="4">
        <f t="shared" si="7"/>
        <v>0</v>
      </c>
      <c r="U18" s="4">
        <f t="shared" si="8"/>
        <v>100000</v>
      </c>
      <c r="V18" s="4"/>
      <c r="W18" s="4">
        <f t="shared" si="17"/>
        <v>100000</v>
      </c>
      <c r="X18" s="4"/>
      <c r="Y18" s="4"/>
      <c r="Z18" s="4"/>
      <c r="AA18" s="58">
        <v>870000</v>
      </c>
      <c r="AB18" s="326"/>
      <c r="AC18" s="4"/>
      <c r="AD18" s="4">
        <v>50000</v>
      </c>
      <c r="AE18" s="4"/>
      <c r="AF18" s="4"/>
      <c r="AG18" s="4"/>
      <c r="AH18" s="4"/>
      <c r="AI18" s="4"/>
      <c r="AJ18" s="4">
        <v>50000</v>
      </c>
      <c r="AK18" s="4">
        <f t="shared" si="9"/>
        <v>100000</v>
      </c>
      <c r="AL18" s="4"/>
      <c r="AM18" s="4">
        <f t="shared" si="10"/>
        <v>100000</v>
      </c>
      <c r="AN18" s="4">
        <f t="shared" si="11"/>
        <v>0</v>
      </c>
      <c r="AO18" s="3"/>
      <c r="AP18" s="4">
        <f t="shared" si="12"/>
        <v>100000</v>
      </c>
      <c r="AQ18" s="3"/>
      <c r="AR18" s="4"/>
      <c r="AS18" s="3"/>
      <c r="AT18" s="4"/>
      <c r="AU18" s="4">
        <f t="shared" si="13"/>
        <v>0</v>
      </c>
      <c r="AV18" s="3"/>
      <c r="AW18" s="3"/>
      <c r="AX18" s="4">
        <f t="shared" si="14"/>
        <v>0</v>
      </c>
      <c r="AY18" s="3"/>
      <c r="AZ18" s="4">
        <f t="shared" si="15"/>
        <v>0</v>
      </c>
      <c r="BA18" s="3"/>
      <c r="BB18" s="3"/>
      <c r="BC18" s="3"/>
    </row>
    <row r="19" spans="1:55" s="5" customFormat="1">
      <c r="A19" s="3">
        <f t="shared" si="16"/>
        <v>11</v>
      </c>
      <c r="B19" s="3">
        <v>1998</v>
      </c>
      <c r="C19" s="3" t="s">
        <v>337</v>
      </c>
      <c r="D19" s="4">
        <v>4630000</v>
      </c>
      <c r="E19" s="4">
        <v>4630000</v>
      </c>
      <c r="F19" s="4">
        <f t="shared" si="0"/>
        <v>0</v>
      </c>
      <c r="G19" s="4">
        <v>0</v>
      </c>
      <c r="H19" s="4">
        <v>0</v>
      </c>
      <c r="I19" s="4"/>
      <c r="J19" s="4"/>
      <c r="K19" s="4">
        <f t="shared" si="1"/>
        <v>0</v>
      </c>
      <c r="L19" s="4">
        <f t="shared" si="2"/>
        <v>0</v>
      </c>
      <c r="M19" s="4">
        <f t="shared" si="3"/>
        <v>0</v>
      </c>
      <c r="N19" s="4">
        <f>2500000-500000</f>
        <v>2000000</v>
      </c>
      <c r="O19" s="4">
        <f t="shared" si="4"/>
        <v>2630000</v>
      </c>
      <c r="P19" s="4">
        <f t="shared" si="5"/>
        <v>0</v>
      </c>
      <c r="Q19" s="4"/>
      <c r="R19" s="4"/>
      <c r="S19" s="4">
        <f t="shared" si="6"/>
        <v>0</v>
      </c>
      <c r="T19" s="4">
        <f t="shared" si="7"/>
        <v>0</v>
      </c>
      <c r="U19" s="4">
        <f t="shared" si="8"/>
        <v>2000000</v>
      </c>
      <c r="V19" s="4">
        <f>500000+200000</f>
        <v>700000</v>
      </c>
      <c r="W19" s="4">
        <f t="shared" si="17"/>
        <v>300000</v>
      </c>
      <c r="X19" s="4"/>
      <c r="Y19" s="4"/>
      <c r="Z19" s="4">
        <v>1000000</v>
      </c>
      <c r="AA19" s="58">
        <v>870000</v>
      </c>
      <c r="AB19" s="326"/>
      <c r="AC19" s="4"/>
      <c r="AD19" s="4"/>
      <c r="AE19" s="4"/>
      <c r="AF19" s="4"/>
      <c r="AG19" s="4"/>
      <c r="AH19" s="4"/>
      <c r="AI19" s="4"/>
      <c r="AJ19" s="4"/>
      <c r="AK19" s="4">
        <f t="shared" si="9"/>
        <v>0</v>
      </c>
      <c r="AL19" s="4"/>
      <c r="AM19" s="4">
        <f t="shared" si="10"/>
        <v>0</v>
      </c>
      <c r="AN19" s="4">
        <f t="shared" si="11"/>
        <v>2000000</v>
      </c>
      <c r="AO19" s="3"/>
      <c r="AP19" s="4">
        <f t="shared" si="12"/>
        <v>0</v>
      </c>
      <c r="AQ19" s="3"/>
      <c r="AR19" s="4"/>
      <c r="AS19" s="3"/>
      <c r="AT19" s="4"/>
      <c r="AU19" s="4">
        <f t="shared" si="13"/>
        <v>0</v>
      </c>
      <c r="AV19" s="3"/>
      <c r="AW19" s="3"/>
      <c r="AX19" s="4">
        <f t="shared" si="14"/>
        <v>0</v>
      </c>
      <c r="AY19" s="3">
        <v>700000</v>
      </c>
      <c r="AZ19" s="4">
        <f t="shared" si="15"/>
        <v>300000</v>
      </c>
      <c r="BA19" s="3"/>
      <c r="BB19" s="3"/>
      <c r="BC19" s="4">
        <v>1000000</v>
      </c>
    </row>
    <row r="20" spans="1:55" s="5" customFormat="1">
      <c r="A20" s="3">
        <f t="shared" si="16"/>
        <v>12</v>
      </c>
      <c r="B20" s="42">
        <v>2051</v>
      </c>
      <c r="C20" s="3" t="s">
        <v>370</v>
      </c>
      <c r="D20" s="4">
        <v>2600000</v>
      </c>
      <c r="E20" s="4"/>
      <c r="F20" s="4">
        <f t="shared" si="0"/>
        <v>2600000</v>
      </c>
      <c r="G20" s="4">
        <v>0</v>
      </c>
      <c r="H20" s="4">
        <v>0</v>
      </c>
      <c r="I20" s="4">
        <v>0</v>
      </c>
      <c r="J20" s="4"/>
      <c r="K20" s="4">
        <f t="shared" si="1"/>
        <v>0</v>
      </c>
      <c r="L20" s="4">
        <f t="shared" si="2"/>
        <v>0</v>
      </c>
      <c r="M20" s="4">
        <f t="shared" si="3"/>
        <v>0</v>
      </c>
      <c r="N20" s="4">
        <f>2600000-1850000</f>
        <v>750000</v>
      </c>
      <c r="O20" s="4">
        <f t="shared" si="4"/>
        <v>1850000</v>
      </c>
      <c r="P20" s="4">
        <f t="shared" si="5"/>
        <v>0</v>
      </c>
      <c r="Q20" s="4"/>
      <c r="R20" s="4"/>
      <c r="S20" s="4">
        <f t="shared" si="6"/>
        <v>0</v>
      </c>
      <c r="T20" s="4">
        <f t="shared" si="7"/>
        <v>0</v>
      </c>
      <c r="U20" s="4">
        <f t="shared" si="8"/>
        <v>750000</v>
      </c>
      <c r="V20" s="4">
        <f>2000000-1850000+450000</f>
        <v>600000</v>
      </c>
      <c r="W20" s="4">
        <f>U20-V20-Y20-Z20</f>
        <v>150000</v>
      </c>
      <c r="X20" s="4"/>
      <c r="Y20" s="4"/>
      <c r="Z20" s="4"/>
      <c r="AA20" s="58">
        <v>746000</v>
      </c>
      <c r="AB20" s="326"/>
      <c r="AC20" s="3"/>
      <c r="AD20" s="4">
        <v>100000</v>
      </c>
      <c r="AE20" s="4"/>
      <c r="AF20" s="4"/>
      <c r="AG20" s="4"/>
      <c r="AH20" s="4"/>
      <c r="AI20" s="4"/>
      <c r="AJ20" s="4">
        <v>300000</v>
      </c>
      <c r="AK20" s="4">
        <f t="shared" si="9"/>
        <v>400000</v>
      </c>
      <c r="AL20" s="4"/>
      <c r="AM20" s="4">
        <f t="shared" si="10"/>
        <v>400000</v>
      </c>
      <c r="AN20" s="4">
        <f t="shared" si="11"/>
        <v>350000</v>
      </c>
      <c r="AO20" s="4">
        <v>250000</v>
      </c>
      <c r="AP20" s="4">
        <f t="shared" si="12"/>
        <v>150000</v>
      </c>
      <c r="AQ20" s="3"/>
      <c r="AR20" s="4"/>
      <c r="AS20" s="4"/>
      <c r="AT20" s="4"/>
      <c r="AU20" s="4">
        <f t="shared" si="13"/>
        <v>0</v>
      </c>
      <c r="AV20" s="3"/>
      <c r="AW20" s="3"/>
      <c r="AX20" s="4">
        <f t="shared" si="14"/>
        <v>0</v>
      </c>
      <c r="AY20" s="4">
        <v>350000</v>
      </c>
      <c r="AZ20" s="4">
        <f t="shared" si="15"/>
        <v>0</v>
      </c>
      <c r="BA20" s="3"/>
      <c r="BB20" s="3"/>
      <c r="BC20" s="3"/>
    </row>
    <row r="21" spans="1:55" s="56" customFormat="1" ht="15.5">
      <c r="A21" s="48">
        <f>A20</f>
        <v>12</v>
      </c>
      <c r="B21" s="48"/>
      <c r="C21" s="48" t="s">
        <v>105</v>
      </c>
      <c r="D21" s="13">
        <f t="shared" ref="D21:BC21" si="18">SUM(D9:D20)</f>
        <v>18511559</v>
      </c>
      <c r="E21" s="13">
        <f t="shared" si="18"/>
        <v>15596559</v>
      </c>
      <c r="F21" s="13">
        <f t="shared" si="18"/>
        <v>2915000</v>
      </c>
      <c r="G21" s="13">
        <f t="shared" si="18"/>
        <v>6127500</v>
      </c>
      <c r="H21" s="13">
        <f t="shared" si="18"/>
        <v>5145429.09</v>
      </c>
      <c r="I21" s="13">
        <f t="shared" si="18"/>
        <v>0</v>
      </c>
      <c r="J21" s="13">
        <f t="shared" si="18"/>
        <v>197696.93</v>
      </c>
      <c r="K21" s="13">
        <f t="shared" si="18"/>
        <v>197696.93</v>
      </c>
      <c r="L21" s="13">
        <f t="shared" si="18"/>
        <v>5343126.0199999996</v>
      </c>
      <c r="M21" s="13">
        <f t="shared" si="18"/>
        <v>819374.98</v>
      </c>
      <c r="N21" s="13">
        <f t="shared" si="18"/>
        <v>3211058</v>
      </c>
      <c r="O21" s="13">
        <f t="shared" si="18"/>
        <v>9138000</v>
      </c>
      <c r="P21" s="13">
        <f t="shared" si="18"/>
        <v>784373.98</v>
      </c>
      <c r="Q21" s="13">
        <f t="shared" si="18"/>
        <v>35001</v>
      </c>
      <c r="R21" s="13">
        <f t="shared" si="18"/>
        <v>0</v>
      </c>
      <c r="S21" s="13">
        <f t="shared" si="18"/>
        <v>35001</v>
      </c>
      <c r="T21" s="13">
        <f t="shared" si="18"/>
        <v>0</v>
      </c>
      <c r="U21" s="13">
        <f t="shared" si="18"/>
        <v>3211058</v>
      </c>
      <c r="V21" s="13">
        <f t="shared" si="18"/>
        <v>1300000</v>
      </c>
      <c r="W21" s="13">
        <f t="shared" si="18"/>
        <v>850000</v>
      </c>
      <c r="X21" s="13">
        <f t="shared" si="18"/>
        <v>0</v>
      </c>
      <c r="Y21" s="13">
        <f t="shared" si="18"/>
        <v>0</v>
      </c>
      <c r="Z21" s="13">
        <f t="shared" si="18"/>
        <v>1061058</v>
      </c>
      <c r="AA21" s="13">
        <f t="shared" si="18"/>
        <v>10069000</v>
      </c>
      <c r="AB21" s="13">
        <f t="shared" si="18"/>
        <v>0</v>
      </c>
      <c r="AC21" s="13">
        <f t="shared" ref="AC21:AI21" si="19">SUM(AC9:AC20)</f>
        <v>0</v>
      </c>
      <c r="AD21" s="13">
        <f t="shared" si="19"/>
        <v>250000</v>
      </c>
      <c r="AE21" s="13">
        <f t="shared" si="19"/>
        <v>0</v>
      </c>
      <c r="AF21" s="13">
        <f t="shared" si="19"/>
        <v>0</v>
      </c>
      <c r="AG21" s="13">
        <f t="shared" si="19"/>
        <v>0</v>
      </c>
      <c r="AH21" s="13">
        <f t="shared" si="19"/>
        <v>0</v>
      </c>
      <c r="AI21" s="13">
        <f t="shared" si="19"/>
        <v>0</v>
      </c>
      <c r="AJ21" s="13">
        <f t="shared" si="18"/>
        <v>450000</v>
      </c>
      <c r="AK21" s="13">
        <f t="shared" si="18"/>
        <v>700000</v>
      </c>
      <c r="AL21" s="13">
        <f t="shared" si="18"/>
        <v>0</v>
      </c>
      <c r="AM21" s="13">
        <f t="shared" si="18"/>
        <v>700000</v>
      </c>
      <c r="AN21" s="13">
        <f t="shared" si="18"/>
        <v>2511058</v>
      </c>
      <c r="AO21" s="13">
        <f t="shared" si="18"/>
        <v>250000</v>
      </c>
      <c r="AP21" s="13">
        <f t="shared" si="18"/>
        <v>450000</v>
      </c>
      <c r="AQ21" s="13">
        <f t="shared" si="18"/>
        <v>0</v>
      </c>
      <c r="AR21" s="13">
        <f t="shared" si="18"/>
        <v>0</v>
      </c>
      <c r="AS21" s="13">
        <f t="shared" si="18"/>
        <v>0</v>
      </c>
      <c r="AT21" s="13">
        <f t="shared" si="18"/>
        <v>0</v>
      </c>
      <c r="AU21" s="13">
        <f t="shared" si="18"/>
        <v>0</v>
      </c>
      <c r="AV21" s="13">
        <f t="shared" si="18"/>
        <v>0</v>
      </c>
      <c r="AW21" s="13">
        <f t="shared" si="18"/>
        <v>0</v>
      </c>
      <c r="AX21" s="13">
        <f t="shared" si="18"/>
        <v>0</v>
      </c>
      <c r="AY21" s="13">
        <f t="shared" si="18"/>
        <v>1050000</v>
      </c>
      <c r="AZ21" s="13">
        <f t="shared" si="18"/>
        <v>380000</v>
      </c>
      <c r="BA21" s="13">
        <f t="shared" si="18"/>
        <v>0</v>
      </c>
      <c r="BB21" s="13">
        <f t="shared" si="18"/>
        <v>0</v>
      </c>
      <c r="BC21" s="13">
        <f t="shared" si="18"/>
        <v>1081058</v>
      </c>
    </row>
    <row r="22" spans="1:55" s="21" customFormat="1" ht="16.5" customHeight="1"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Z22" s="60"/>
      <c r="AA22" s="65"/>
      <c r="AB22" s="68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R22" s="49"/>
      <c r="AS22" s="49"/>
      <c r="AT22" s="49"/>
      <c r="AX22" s="49"/>
      <c r="AY22" s="49"/>
      <c r="AZ22" s="49"/>
    </row>
    <row r="23" spans="1:55" s="64" customFormat="1" ht="16.5" customHeight="1">
      <c r="A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17"/>
      <c r="P23" s="17"/>
      <c r="Q23" s="17"/>
      <c r="R23" s="17"/>
      <c r="S23" s="17"/>
      <c r="T23" s="17"/>
      <c r="U23" s="17"/>
      <c r="V23" s="17"/>
      <c r="W23" s="63"/>
      <c r="X23" s="63"/>
      <c r="Y23" s="63"/>
      <c r="Z23" s="63"/>
      <c r="AA23" s="63"/>
      <c r="AB23" s="69"/>
      <c r="AC23" s="63"/>
      <c r="AD23" s="63"/>
      <c r="AE23" s="63"/>
      <c r="AF23" s="63"/>
      <c r="AG23" s="63"/>
      <c r="AH23" s="63"/>
      <c r="AI23" s="63"/>
      <c r="AJ23" s="63"/>
      <c r="AK23" s="519">
        <f>AK21/U21</f>
        <v>0.21799668520468954</v>
      </c>
      <c r="AL23" s="63"/>
      <c r="AM23" s="63"/>
      <c r="AN23" s="63"/>
      <c r="AR23" s="63"/>
      <c r="AS23" s="63"/>
      <c r="AT23" s="63"/>
      <c r="AX23" s="63"/>
      <c r="AY23" s="63"/>
      <c r="AZ23" s="63"/>
    </row>
    <row r="24" spans="1:55" s="64" customFormat="1" ht="16.5" customHeight="1">
      <c r="D24" s="63"/>
      <c r="E24" s="63"/>
      <c r="F24" s="63"/>
      <c r="G24" s="63"/>
      <c r="H24" s="63"/>
      <c r="I24" s="63"/>
      <c r="J24" s="63"/>
      <c r="K24" s="63"/>
      <c r="L24" s="63">
        <f>K23+H23</f>
        <v>0</v>
      </c>
      <c r="M24" s="63">
        <f>P23+S23-T23</f>
        <v>0</v>
      </c>
      <c r="N24" s="63"/>
      <c r="O24" s="17"/>
      <c r="P24" s="17"/>
      <c r="Q24" s="17"/>
      <c r="R24" s="17"/>
      <c r="S24" s="17"/>
      <c r="T24" s="17"/>
      <c r="U24" s="17"/>
      <c r="V24" s="17"/>
      <c r="W24" s="63"/>
      <c r="X24" s="63"/>
      <c r="Y24" s="63"/>
      <c r="Z24" s="63"/>
      <c r="AB24" s="69"/>
    </row>
    <row r="25" spans="1:55">
      <c r="U25" s="17"/>
      <c r="V25" s="17"/>
    </row>
    <row r="26" spans="1:55">
      <c r="U26" s="17"/>
      <c r="V26" s="17"/>
      <c r="W26" s="61"/>
      <c r="X26" s="61"/>
      <c r="Y26" s="61"/>
      <c r="Z26" s="129"/>
    </row>
    <row r="27" spans="1:55">
      <c r="U27" s="22"/>
      <c r="V27" s="61"/>
      <c r="W27" s="61"/>
      <c r="X27" s="61"/>
      <c r="Y27" s="61"/>
      <c r="Z27" s="129"/>
    </row>
    <row r="28" spans="1:55">
      <c r="U28" s="22"/>
      <c r="V28" s="61"/>
      <c r="W28" s="61"/>
      <c r="X28" s="61"/>
      <c r="Y28" s="61"/>
      <c r="Z28" s="129"/>
    </row>
    <row r="29" spans="1:55">
      <c r="U29" s="22"/>
      <c r="V29" s="61"/>
      <c r="W29" s="61"/>
      <c r="X29" s="61"/>
      <c r="Y29" s="61"/>
      <c r="Z29" s="129"/>
    </row>
    <row r="30" spans="1:55">
      <c r="U30" s="22"/>
      <c r="V30" s="61"/>
      <c r="W30" s="61"/>
      <c r="X30" s="61"/>
      <c r="Y30" s="61"/>
      <c r="Z30" s="129"/>
    </row>
    <row r="31" spans="1:55">
      <c r="A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55">
      <c r="A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U32" s="22"/>
      <c r="W32" s="61"/>
      <c r="Z32" s="129"/>
    </row>
    <row r="33" spans="1:26">
      <c r="A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U33" s="22"/>
      <c r="W33" s="61"/>
      <c r="Z33" s="129"/>
    </row>
    <row r="34" spans="1:26">
      <c r="A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O34" s="15"/>
      <c r="U34" s="22"/>
      <c r="W34" s="61"/>
      <c r="Z34" s="129"/>
    </row>
    <row r="35" spans="1:26">
      <c r="A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U35" s="22"/>
      <c r="W35" s="61"/>
      <c r="Z35" s="129"/>
    </row>
    <row r="36" spans="1:26">
      <c r="A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U36" s="22"/>
      <c r="W36" s="61"/>
      <c r="Z36" s="129"/>
    </row>
    <row r="37" spans="1:26">
      <c r="A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U37" s="22"/>
      <c r="W37" s="61"/>
      <c r="Z37" s="129"/>
    </row>
    <row r="38" spans="1:26">
      <c r="A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U38" s="22"/>
      <c r="W38" s="61"/>
      <c r="Z38" s="129"/>
    </row>
    <row r="39" spans="1:26">
      <c r="A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U39" s="22"/>
      <c r="W39" s="61"/>
      <c r="Z39" s="129"/>
    </row>
    <row r="40" spans="1:26">
      <c r="A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U40" s="22"/>
      <c r="W40" s="61"/>
      <c r="Z40" s="129"/>
    </row>
    <row r="41" spans="1:26">
      <c r="A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R41" s="15"/>
      <c r="S41" s="15"/>
    </row>
    <row r="42" spans="1:26">
      <c r="A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26">
      <c r="A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6" spans="1:26">
      <c r="A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O46" s="17" t="s">
        <v>143</v>
      </c>
      <c r="R46" s="17" t="s">
        <v>143</v>
      </c>
      <c r="S46" s="17" t="s">
        <v>273</v>
      </c>
    </row>
    <row r="47" spans="1:26">
      <c r="A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O47" s="17" t="s">
        <v>272</v>
      </c>
      <c r="Q47" s="17">
        <v>25000</v>
      </c>
      <c r="R47" s="17">
        <v>160000</v>
      </c>
    </row>
    <row r="48" spans="1:26">
      <c r="A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R48" s="17" t="e">
        <f>#REF!</f>
        <v>#REF!</v>
      </c>
      <c r="S48" s="17" t="s">
        <v>278</v>
      </c>
    </row>
    <row r="49" spans="1:20">
      <c r="A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7" t="e">
        <f>SUM(R47:R48)</f>
        <v>#REF!</v>
      </c>
      <c r="S49" s="15"/>
      <c r="T49" s="15"/>
    </row>
  </sheetData>
  <sheetProtection formatCells="0" formatColumns="0" formatRows="0" insertColumns="0" insertRows="0" insertHyperlinks="0" deleteColumns="0" deleteRows="0" sort="0" autoFilter="0" pivotTables="0"/>
  <mergeCells count="3">
    <mergeCell ref="AB6:AK6"/>
    <mergeCell ref="AO6:AS6"/>
    <mergeCell ref="U6:Z6"/>
  </mergeCells>
  <conditionalFormatting sqref="AD7">
    <cfRule type="cellIs" dxfId="109" priority="7" operator="equal">
      <formula>0</formula>
    </cfRule>
  </conditionalFormatting>
  <conditionalFormatting sqref="AE7">
    <cfRule type="cellIs" dxfId="108" priority="6" operator="equal">
      <formula>0</formula>
    </cfRule>
  </conditionalFormatting>
  <conditionalFormatting sqref="AF7">
    <cfRule type="cellIs" dxfId="107" priority="5" operator="equal">
      <formula>0</formula>
    </cfRule>
  </conditionalFormatting>
  <conditionalFormatting sqref="AG7">
    <cfRule type="cellIs" dxfId="106" priority="4" operator="equal">
      <formula>0</formula>
    </cfRule>
  </conditionalFormatting>
  <conditionalFormatting sqref="AH7">
    <cfRule type="cellIs" dxfId="105" priority="3" operator="equal">
      <formula>0</formula>
    </cfRule>
  </conditionalFormatting>
  <conditionalFormatting sqref="AI7">
    <cfRule type="cellIs" dxfId="104" priority="2" operator="equal">
      <formula>0</formula>
    </cfRule>
  </conditionalFormatting>
  <conditionalFormatting sqref="AJ7">
    <cfRule type="cellIs" dxfId="103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4:BC36"/>
  <sheetViews>
    <sheetView showZeros="0" rightToLeft="1" zoomScaleNormal="100" workbookViewId="0">
      <pane xSplit="3" ySplit="7" topLeftCell="G14" activePane="bottomRight" state="frozen"/>
      <selection activeCell="T20" sqref="T20"/>
      <selection pane="topRight" activeCell="T20" sqref="T20"/>
      <selection pane="bottomLeft" activeCell="T20" sqref="T20"/>
      <selection pane="bottomRight" activeCell="T20" sqref="T20"/>
    </sheetView>
  </sheetViews>
  <sheetFormatPr defaultColWidth="9.1796875" defaultRowHeight="14"/>
  <cols>
    <col min="1" max="1" width="5.26953125" style="40" customWidth="1"/>
    <col min="2" max="2" width="6.7265625" style="15" customWidth="1"/>
    <col min="3" max="3" width="31.54296875" style="21" customWidth="1"/>
    <col min="4" max="5" width="10.81640625" style="17" hidden="1" customWidth="1"/>
    <col min="6" max="6" width="9.81640625" style="17" hidden="1" customWidth="1"/>
    <col min="7" max="10" width="12.7265625" style="17" hidden="1" customWidth="1"/>
    <col min="11" max="11" width="11.26953125" style="17" hidden="1" customWidth="1"/>
    <col min="12" max="12" width="10.54296875" style="17" hidden="1" customWidth="1"/>
    <col min="13" max="13" width="9.81640625" style="17" hidden="1" customWidth="1"/>
    <col min="14" max="14" width="10" style="17" hidden="1" customWidth="1"/>
    <col min="15" max="15" width="10.54296875" style="17" hidden="1" customWidth="1"/>
    <col min="16" max="16" width="10.81640625" style="17" hidden="1" customWidth="1"/>
    <col min="17" max="17" width="9.7265625" style="17" hidden="1" customWidth="1"/>
    <col min="18" max="19" width="9.54296875" style="17" hidden="1" customWidth="1"/>
    <col min="20" max="20" width="7.26953125" style="17" customWidth="1"/>
    <col min="21" max="22" width="10.7265625" style="15" customWidth="1"/>
    <col min="23" max="25" width="8.7265625" style="15" customWidth="1"/>
    <col min="26" max="26" width="10.7265625" style="15" customWidth="1"/>
    <col min="27" max="27" width="7.81640625" style="15" hidden="1" customWidth="1"/>
    <col min="28" max="36" width="9.1796875" style="20" hidden="1" customWidth="1"/>
    <col min="37" max="38" width="9.1796875" style="15" hidden="1" customWidth="1"/>
    <col min="39" max="39" width="11.7265625" style="15" customWidth="1"/>
    <col min="40" max="41" width="10.7265625" style="15" customWidth="1"/>
    <col min="42" max="45" width="7.7265625" style="15" customWidth="1"/>
    <col min="46" max="50" width="9.1796875" style="15" hidden="1" customWidth="1"/>
    <col min="51" max="51" width="10.453125" style="15" hidden="1" customWidth="1"/>
    <col min="52" max="55" width="9.1796875" style="15" hidden="1" customWidth="1"/>
    <col min="56" max="16384" width="9.1796875" style="15"/>
  </cols>
  <sheetData>
    <row r="4" spans="1:55" ht="18">
      <c r="A4" s="122" t="s">
        <v>1415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</row>
    <row r="5" spans="1:55" ht="18"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</row>
    <row r="6" spans="1:55">
      <c r="A6" s="530"/>
      <c r="B6" s="531"/>
      <c r="C6" s="531"/>
      <c r="D6" s="531"/>
      <c r="E6" s="531"/>
      <c r="F6" s="531"/>
      <c r="G6" s="531"/>
      <c r="H6" s="531"/>
      <c r="I6" s="531"/>
      <c r="J6" s="531"/>
      <c r="K6" s="531"/>
      <c r="L6" s="531"/>
      <c r="M6" s="531"/>
      <c r="N6" s="531"/>
      <c r="O6" s="531"/>
      <c r="P6" s="531"/>
      <c r="Q6" s="531"/>
      <c r="R6" s="531"/>
      <c r="S6" s="531"/>
      <c r="T6" s="531"/>
      <c r="U6" s="738" t="s">
        <v>146</v>
      </c>
      <c r="V6" s="739"/>
      <c r="W6" s="739"/>
      <c r="X6" s="739"/>
      <c r="Y6" s="739"/>
      <c r="Z6" s="740"/>
      <c r="AB6" s="735" t="s">
        <v>489</v>
      </c>
      <c r="AC6" s="736"/>
      <c r="AD6" s="736"/>
      <c r="AE6" s="736"/>
      <c r="AF6" s="736"/>
      <c r="AG6" s="736"/>
      <c r="AH6" s="736"/>
      <c r="AI6" s="736"/>
      <c r="AJ6" s="736"/>
      <c r="AK6" s="737"/>
      <c r="AL6" s="110"/>
      <c r="AM6" s="675" t="s">
        <v>489</v>
      </c>
      <c r="AN6" s="496"/>
      <c r="AO6" s="735" t="s">
        <v>834</v>
      </c>
      <c r="AP6" s="736"/>
      <c r="AQ6" s="736"/>
      <c r="AR6" s="736"/>
      <c r="AS6" s="737"/>
      <c r="AT6" s="495" t="s">
        <v>835</v>
      </c>
      <c r="AU6" s="496"/>
      <c r="AV6" s="496"/>
      <c r="AW6" s="497"/>
      <c r="AX6" s="110"/>
      <c r="AY6" s="495" t="s">
        <v>836</v>
      </c>
      <c r="AZ6" s="496"/>
      <c r="BA6" s="496"/>
      <c r="BB6" s="496"/>
      <c r="BC6" s="497"/>
    </row>
    <row r="7" spans="1:55" s="41" customFormat="1" ht="70">
      <c r="A7" s="11" t="s">
        <v>0</v>
      </c>
      <c r="B7" s="11" t="s">
        <v>1</v>
      </c>
      <c r="C7" s="11" t="s">
        <v>2</v>
      </c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  <c r="I7" s="11" t="s">
        <v>9</v>
      </c>
      <c r="J7" s="11" t="s">
        <v>318</v>
      </c>
      <c r="K7" s="11" t="s">
        <v>10</v>
      </c>
      <c r="L7" s="11" t="s">
        <v>11</v>
      </c>
      <c r="M7" s="11" t="s">
        <v>309</v>
      </c>
      <c r="N7" s="11" t="s">
        <v>310</v>
      </c>
      <c r="O7" s="11" t="s">
        <v>311</v>
      </c>
      <c r="P7" s="11" t="s">
        <v>12</v>
      </c>
      <c r="Q7" s="11" t="s">
        <v>312</v>
      </c>
      <c r="R7" s="11" t="s">
        <v>313</v>
      </c>
      <c r="S7" s="11" t="s">
        <v>314</v>
      </c>
      <c r="T7" s="11" t="s">
        <v>315</v>
      </c>
      <c r="U7" s="11" t="s">
        <v>316</v>
      </c>
      <c r="V7" s="11" t="s">
        <v>13</v>
      </c>
      <c r="W7" s="11" t="s">
        <v>14</v>
      </c>
      <c r="X7" s="11" t="s">
        <v>15</v>
      </c>
      <c r="Y7" s="11" t="s">
        <v>523</v>
      </c>
      <c r="Z7" s="11" t="s">
        <v>140</v>
      </c>
      <c r="AA7" s="11" t="s">
        <v>16</v>
      </c>
      <c r="AB7" s="107" t="s">
        <v>490</v>
      </c>
      <c r="AC7" s="107" t="s">
        <v>491</v>
      </c>
      <c r="AD7" s="107" t="s">
        <v>492</v>
      </c>
      <c r="AE7" s="107" t="s">
        <v>493</v>
      </c>
      <c r="AF7" s="107" t="s">
        <v>494</v>
      </c>
      <c r="AG7" s="107" t="s">
        <v>495</v>
      </c>
      <c r="AH7" s="107" t="s">
        <v>496</v>
      </c>
      <c r="AI7" s="107" t="s">
        <v>497</v>
      </c>
      <c r="AJ7" s="107" t="s">
        <v>498</v>
      </c>
      <c r="AK7" s="498" t="s">
        <v>837</v>
      </c>
      <c r="AL7" s="498" t="s">
        <v>838</v>
      </c>
      <c r="AM7" s="498" t="s">
        <v>839</v>
      </c>
      <c r="AN7" s="498" t="s">
        <v>840</v>
      </c>
      <c r="AO7" s="498" t="s">
        <v>13</v>
      </c>
      <c r="AP7" s="498" t="s">
        <v>14</v>
      </c>
      <c r="AQ7" s="498" t="s">
        <v>15</v>
      </c>
      <c r="AR7" s="498" t="s">
        <v>523</v>
      </c>
      <c r="AS7" s="498" t="s">
        <v>140</v>
      </c>
      <c r="AT7" s="498" t="s">
        <v>13</v>
      </c>
      <c r="AU7" s="498" t="s">
        <v>14</v>
      </c>
      <c r="AV7" s="498" t="s">
        <v>15</v>
      </c>
      <c r="AW7" s="498" t="s">
        <v>523</v>
      </c>
      <c r="AX7" s="498" t="s">
        <v>140</v>
      </c>
      <c r="AY7" s="107" t="s">
        <v>13</v>
      </c>
      <c r="AZ7" s="107" t="s">
        <v>14</v>
      </c>
      <c r="BA7" s="107" t="s">
        <v>15</v>
      </c>
      <c r="BB7" s="107" t="s">
        <v>523</v>
      </c>
      <c r="BC7" s="107" t="s">
        <v>140</v>
      </c>
    </row>
    <row r="8" spans="1:55" s="5" customFormat="1">
      <c r="A8" s="3"/>
      <c r="B8" s="3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3"/>
      <c r="AA8" s="5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</row>
    <row r="9" spans="1:55" s="6" customFormat="1">
      <c r="A9" s="3">
        <f>A8+1</f>
        <v>1</v>
      </c>
      <c r="B9" s="3">
        <v>1519</v>
      </c>
      <c r="C9" s="3" t="s">
        <v>138</v>
      </c>
      <c r="D9" s="4">
        <v>8493000</v>
      </c>
      <c r="E9" s="4">
        <v>2030000</v>
      </c>
      <c r="F9" s="4">
        <f>D9-E9</f>
        <v>6463000</v>
      </c>
      <c r="G9" s="4">
        <v>730000</v>
      </c>
      <c r="H9" s="4">
        <v>727317.36</v>
      </c>
      <c r="I9" s="4"/>
      <c r="J9" s="4"/>
      <c r="K9" s="4">
        <f>SUM(I9:J9)</f>
        <v>0</v>
      </c>
      <c r="L9" s="4">
        <f t="shared" ref="L9:L21" si="0">H9+K9</f>
        <v>727317.36</v>
      </c>
      <c r="M9" s="4">
        <f t="shared" ref="M9:M21" si="1">P9+S9</f>
        <v>2682.640000000014</v>
      </c>
      <c r="N9" s="4">
        <f>3300000-2300000</f>
        <v>1000000</v>
      </c>
      <c r="O9" s="4">
        <f t="shared" ref="O9:O21" si="2">D9-L9-M9-N9</f>
        <v>6763000</v>
      </c>
      <c r="P9" s="4">
        <f t="shared" ref="P9:P21" si="3">G9-L9</f>
        <v>2682.640000000014</v>
      </c>
      <c r="Q9" s="4"/>
      <c r="R9" s="4"/>
      <c r="S9" s="4">
        <f t="shared" ref="S9:S21" si="4">SUM(Q9:R9)</f>
        <v>0</v>
      </c>
      <c r="T9" s="4">
        <f>P9-M9+S9</f>
        <v>0</v>
      </c>
      <c r="U9" s="4">
        <f>N9</f>
        <v>1000000</v>
      </c>
      <c r="V9" s="4">
        <f t="shared" ref="V9:V21" si="5">U9-W9-Y9-Z9</f>
        <v>1000000</v>
      </c>
      <c r="W9" s="4"/>
      <c r="X9" s="4"/>
      <c r="Y9" s="4"/>
      <c r="Z9" s="4"/>
      <c r="AA9" s="3">
        <v>732000</v>
      </c>
      <c r="AB9" s="3"/>
      <c r="AC9" s="4"/>
      <c r="AD9" s="4"/>
      <c r="AE9" s="4"/>
      <c r="AF9" s="4"/>
      <c r="AG9" s="4"/>
      <c r="AH9" s="4"/>
      <c r="AI9" s="4"/>
      <c r="AJ9" s="4"/>
      <c r="AK9" s="4">
        <f>SUM(AB9:AJ9)</f>
        <v>0</v>
      </c>
      <c r="AL9" s="4"/>
      <c r="AM9" s="4">
        <f>AL9+AK9</f>
        <v>0</v>
      </c>
      <c r="AN9" s="4">
        <f>U9-AM9</f>
        <v>1000000</v>
      </c>
      <c r="AO9" s="4">
        <f>AM9</f>
        <v>0</v>
      </c>
      <c r="AP9" s="4"/>
      <c r="AQ9" s="4"/>
      <c r="AR9" s="4"/>
      <c r="AS9" s="4"/>
      <c r="AT9" s="4">
        <f>AL9</f>
        <v>0</v>
      </c>
      <c r="AU9" s="4"/>
      <c r="AV9" s="4"/>
      <c r="AW9" s="4"/>
      <c r="AX9" s="4"/>
      <c r="AY9" s="4">
        <f>AN9-BC9</f>
        <v>1000000</v>
      </c>
      <c r="AZ9" s="4"/>
      <c r="BA9" s="4"/>
      <c r="BB9" s="4"/>
      <c r="BC9" s="4"/>
    </row>
    <row r="10" spans="1:55" s="5" customFormat="1">
      <c r="A10" s="3">
        <f>A9+1</f>
        <v>2</v>
      </c>
      <c r="B10" s="3">
        <v>1867</v>
      </c>
      <c r="C10" s="3" t="s">
        <v>236</v>
      </c>
      <c r="D10" s="4">
        <v>1520000</v>
      </c>
      <c r="E10" s="4">
        <v>720000</v>
      </c>
      <c r="F10" s="4">
        <f t="shared" ref="F10:F21" si="6">D10-E10</f>
        <v>800000</v>
      </c>
      <c r="G10" s="4">
        <v>200000</v>
      </c>
      <c r="H10" s="4">
        <v>139575.9</v>
      </c>
      <c r="I10" s="4"/>
      <c r="J10" s="4"/>
      <c r="K10" s="4">
        <f t="shared" ref="K10:K17" si="7">SUM(I10:J10)</f>
        <v>0</v>
      </c>
      <c r="L10" s="4">
        <f t="shared" si="0"/>
        <v>139575.9</v>
      </c>
      <c r="M10" s="4">
        <f t="shared" si="1"/>
        <v>60424.100000000006</v>
      </c>
      <c r="N10" s="4">
        <v>250000</v>
      </c>
      <c r="O10" s="4">
        <f t="shared" si="2"/>
        <v>1070000</v>
      </c>
      <c r="P10" s="4">
        <f t="shared" si="3"/>
        <v>60424.100000000006</v>
      </c>
      <c r="Q10" s="4"/>
      <c r="R10" s="4"/>
      <c r="S10" s="4">
        <f t="shared" si="4"/>
        <v>0</v>
      </c>
      <c r="T10" s="4"/>
      <c r="U10" s="4">
        <f t="shared" ref="U10:U18" si="8">N10</f>
        <v>250000</v>
      </c>
      <c r="V10" s="4">
        <f t="shared" si="5"/>
        <v>250000</v>
      </c>
      <c r="W10" s="4"/>
      <c r="X10" s="4"/>
      <c r="Y10" s="4"/>
      <c r="Z10" s="3"/>
      <c r="AA10" s="3">
        <v>732000</v>
      </c>
      <c r="AB10" s="3"/>
      <c r="AC10" s="4"/>
      <c r="AD10" s="4"/>
      <c r="AE10" s="4"/>
      <c r="AF10" s="4"/>
      <c r="AG10" s="4"/>
      <c r="AH10" s="4"/>
      <c r="AI10" s="4"/>
      <c r="AJ10" s="4">
        <v>200000</v>
      </c>
      <c r="AK10" s="4">
        <f>SUM(AB10:AJ10)</f>
        <v>200000</v>
      </c>
      <c r="AL10" s="4"/>
      <c r="AM10" s="4">
        <f t="shared" ref="AM10:AM21" si="9">AL10+AK10</f>
        <v>200000</v>
      </c>
      <c r="AN10" s="4">
        <f t="shared" ref="AN10:AN21" si="10">U10-AM10</f>
        <v>50000</v>
      </c>
      <c r="AO10" s="4">
        <f t="shared" ref="AO10:AO21" si="11">AM10</f>
        <v>200000</v>
      </c>
      <c r="AP10" s="4"/>
      <c r="AQ10" s="4"/>
      <c r="AR10" s="4"/>
      <c r="AS10" s="4"/>
      <c r="AT10" s="4">
        <f t="shared" ref="AT10:AT21" si="12">AL10</f>
        <v>0</v>
      </c>
      <c r="AU10" s="4"/>
      <c r="AV10" s="4"/>
      <c r="AW10" s="4"/>
      <c r="AX10" s="4"/>
      <c r="AY10" s="4">
        <f t="shared" ref="AY10:AY21" si="13">AN10-BC10</f>
        <v>50000</v>
      </c>
      <c r="AZ10" s="4"/>
      <c r="BA10" s="4"/>
      <c r="BB10" s="4"/>
      <c r="BC10" s="4"/>
    </row>
    <row r="11" spans="1:55" s="5" customFormat="1">
      <c r="A11" s="3">
        <f t="shared" ref="A11:A18" si="14">A10+1</f>
        <v>3</v>
      </c>
      <c r="B11" s="3">
        <v>1869</v>
      </c>
      <c r="C11" s="3" t="s">
        <v>237</v>
      </c>
      <c r="D11" s="4">
        <v>8200000</v>
      </c>
      <c r="E11" s="4">
        <v>500000</v>
      </c>
      <c r="F11" s="4">
        <f t="shared" si="6"/>
        <v>7700000</v>
      </c>
      <c r="G11" s="4">
        <v>100000</v>
      </c>
      <c r="H11" s="4">
        <v>0</v>
      </c>
      <c r="I11" s="4"/>
      <c r="J11" s="4"/>
      <c r="K11" s="4">
        <f t="shared" si="7"/>
        <v>0</v>
      </c>
      <c r="L11" s="4">
        <f t="shared" si="0"/>
        <v>0</v>
      </c>
      <c r="M11" s="4">
        <f t="shared" si="1"/>
        <v>100000</v>
      </c>
      <c r="N11" s="4">
        <v>400000</v>
      </c>
      <c r="O11" s="4">
        <f t="shared" si="2"/>
        <v>7700000</v>
      </c>
      <c r="P11" s="4">
        <f t="shared" si="3"/>
        <v>100000</v>
      </c>
      <c r="Q11" s="4"/>
      <c r="R11" s="4"/>
      <c r="S11" s="4">
        <f t="shared" si="4"/>
        <v>0</v>
      </c>
      <c r="T11" s="4">
        <f t="shared" ref="T11:T21" si="15">P11-M11+S11</f>
        <v>0</v>
      </c>
      <c r="U11" s="4">
        <f t="shared" si="8"/>
        <v>400000</v>
      </c>
      <c r="V11" s="4">
        <f t="shared" si="5"/>
        <v>400000</v>
      </c>
      <c r="W11" s="4"/>
      <c r="X11" s="4"/>
      <c r="Y11" s="4"/>
      <c r="Z11" s="3"/>
      <c r="AA11" s="3">
        <v>742000</v>
      </c>
      <c r="AB11" s="3"/>
      <c r="AC11" s="4"/>
      <c r="AD11" s="4"/>
      <c r="AE11" s="4"/>
      <c r="AF11" s="4"/>
      <c r="AG11" s="4"/>
      <c r="AH11" s="4"/>
      <c r="AI11" s="4"/>
      <c r="AJ11" s="4"/>
      <c r="AK11" s="4">
        <f>SUM(AB11:AJ11)</f>
        <v>0</v>
      </c>
      <c r="AL11" s="4"/>
      <c r="AM11" s="4">
        <f t="shared" si="9"/>
        <v>0</v>
      </c>
      <c r="AN11" s="4">
        <f t="shared" si="10"/>
        <v>400000</v>
      </c>
      <c r="AO11" s="4">
        <f t="shared" si="11"/>
        <v>0</v>
      </c>
      <c r="AP11" s="4"/>
      <c r="AQ11" s="4"/>
      <c r="AR11" s="4"/>
      <c r="AS11" s="4"/>
      <c r="AT11" s="4">
        <f t="shared" si="12"/>
        <v>0</v>
      </c>
      <c r="AU11" s="4"/>
      <c r="AV11" s="4"/>
      <c r="AW11" s="4"/>
      <c r="AX11" s="4"/>
      <c r="AY11" s="4">
        <f t="shared" si="13"/>
        <v>400000</v>
      </c>
      <c r="AZ11" s="4"/>
      <c r="BA11" s="4"/>
      <c r="BB11" s="4"/>
      <c r="BC11" s="4"/>
    </row>
    <row r="12" spans="1:55" s="5" customFormat="1">
      <c r="A12" s="3">
        <f t="shared" si="14"/>
        <v>4</v>
      </c>
      <c r="B12" s="3">
        <v>1870</v>
      </c>
      <c r="C12" s="3" t="s">
        <v>239</v>
      </c>
      <c r="D12" s="4">
        <v>7230000</v>
      </c>
      <c r="E12" s="4">
        <v>7230000</v>
      </c>
      <c r="F12" s="4">
        <f t="shared" si="6"/>
        <v>0</v>
      </c>
      <c r="G12" s="4">
        <v>6500000</v>
      </c>
      <c r="H12" s="4">
        <v>5149035.42</v>
      </c>
      <c r="I12" s="4"/>
      <c r="J12" s="4"/>
      <c r="K12" s="4">
        <f t="shared" si="7"/>
        <v>0</v>
      </c>
      <c r="L12" s="4">
        <f t="shared" si="0"/>
        <v>5149035.42</v>
      </c>
      <c r="M12" s="4">
        <f t="shared" si="1"/>
        <v>1350964.58</v>
      </c>
      <c r="N12" s="4">
        <v>730000</v>
      </c>
      <c r="O12" s="4">
        <f t="shared" si="2"/>
        <v>0</v>
      </c>
      <c r="P12" s="4">
        <f t="shared" si="3"/>
        <v>1350964.58</v>
      </c>
      <c r="Q12" s="4"/>
      <c r="R12" s="4"/>
      <c r="S12" s="4">
        <f t="shared" si="4"/>
        <v>0</v>
      </c>
      <c r="T12" s="4">
        <f t="shared" si="15"/>
        <v>0</v>
      </c>
      <c r="U12" s="4">
        <f t="shared" si="8"/>
        <v>730000</v>
      </c>
      <c r="V12" s="4">
        <f t="shared" si="5"/>
        <v>730000</v>
      </c>
      <c r="W12" s="4"/>
      <c r="X12" s="4"/>
      <c r="Y12" s="4"/>
      <c r="Z12" s="3"/>
      <c r="AA12" s="3">
        <v>742000</v>
      </c>
      <c r="AB12" s="3"/>
      <c r="AC12" s="4"/>
      <c r="AD12" s="4"/>
      <c r="AE12" s="4"/>
      <c r="AF12" s="4"/>
      <c r="AG12" s="4"/>
      <c r="AH12" s="4"/>
      <c r="AI12" s="4"/>
      <c r="AJ12" s="4"/>
      <c r="AK12" s="4">
        <f>SUM(AB12:AJ12)</f>
        <v>0</v>
      </c>
      <c r="AL12" s="4"/>
      <c r="AM12" s="4">
        <f t="shared" si="9"/>
        <v>0</v>
      </c>
      <c r="AN12" s="4">
        <f t="shared" si="10"/>
        <v>730000</v>
      </c>
      <c r="AO12" s="4">
        <f t="shared" si="11"/>
        <v>0</v>
      </c>
      <c r="AP12" s="4"/>
      <c r="AQ12" s="4"/>
      <c r="AR12" s="4"/>
      <c r="AS12" s="4"/>
      <c r="AT12" s="4">
        <f t="shared" si="12"/>
        <v>0</v>
      </c>
      <c r="AU12" s="4"/>
      <c r="AV12" s="4"/>
      <c r="AW12" s="4"/>
      <c r="AX12" s="4"/>
      <c r="AY12" s="4">
        <f t="shared" si="13"/>
        <v>730000</v>
      </c>
      <c r="AZ12" s="4"/>
      <c r="BA12" s="4"/>
      <c r="BB12" s="4"/>
      <c r="BC12" s="4"/>
    </row>
    <row r="13" spans="1:55" s="5" customFormat="1">
      <c r="A13" s="3">
        <f t="shared" si="14"/>
        <v>5</v>
      </c>
      <c r="B13" s="3">
        <v>1932</v>
      </c>
      <c r="C13" s="3" t="s">
        <v>238</v>
      </c>
      <c r="D13" s="4">
        <v>5000000</v>
      </c>
      <c r="E13" s="4">
        <v>5000000</v>
      </c>
      <c r="F13" s="4">
        <f t="shared" si="6"/>
        <v>0</v>
      </c>
      <c r="G13" s="4">
        <v>200000</v>
      </c>
      <c r="H13" s="4">
        <v>97534.29</v>
      </c>
      <c r="I13" s="4"/>
      <c r="J13" s="4"/>
      <c r="K13" s="4">
        <f t="shared" si="7"/>
        <v>0</v>
      </c>
      <c r="L13" s="4">
        <f t="shared" si="0"/>
        <v>97534.29</v>
      </c>
      <c r="M13" s="4">
        <f t="shared" si="1"/>
        <v>102465.71</v>
      </c>
      <c r="N13" s="4">
        <v>4800000</v>
      </c>
      <c r="O13" s="4">
        <f t="shared" si="2"/>
        <v>0</v>
      </c>
      <c r="P13" s="4">
        <f t="shared" si="3"/>
        <v>102465.71</v>
      </c>
      <c r="Q13" s="4"/>
      <c r="R13" s="4"/>
      <c r="S13" s="4">
        <f t="shared" si="4"/>
        <v>0</v>
      </c>
      <c r="T13" s="4">
        <f t="shared" si="15"/>
        <v>0</v>
      </c>
      <c r="U13" s="4">
        <f t="shared" si="8"/>
        <v>4800000</v>
      </c>
      <c r="V13" s="4">
        <f t="shared" si="5"/>
        <v>0</v>
      </c>
      <c r="W13" s="4"/>
      <c r="X13" s="4"/>
      <c r="Y13" s="4"/>
      <c r="Z13" s="4">
        <v>4800000</v>
      </c>
      <c r="AA13" s="3">
        <v>746000</v>
      </c>
      <c r="AB13" s="3"/>
      <c r="AC13" s="4"/>
      <c r="AD13" s="4"/>
      <c r="AE13" s="4"/>
      <c r="AF13" s="4"/>
      <c r="AG13" s="4"/>
      <c r="AH13" s="4"/>
      <c r="AI13" s="4"/>
      <c r="AJ13" s="4"/>
      <c r="AK13" s="4">
        <f t="shared" ref="AK13:AK21" si="16">SUM(AB13:AJ13)</f>
        <v>0</v>
      </c>
      <c r="AL13" s="4"/>
      <c r="AM13" s="4">
        <f t="shared" si="9"/>
        <v>0</v>
      </c>
      <c r="AN13" s="4">
        <f t="shared" si="10"/>
        <v>4800000</v>
      </c>
      <c r="AO13" s="4">
        <f t="shared" si="11"/>
        <v>0</v>
      </c>
      <c r="AP13" s="4"/>
      <c r="AQ13" s="4"/>
      <c r="AR13" s="4"/>
      <c r="AS13" s="4"/>
      <c r="AT13" s="4">
        <f t="shared" si="12"/>
        <v>0</v>
      </c>
      <c r="AU13" s="4"/>
      <c r="AV13" s="4"/>
      <c r="AW13" s="4"/>
      <c r="AX13" s="4"/>
      <c r="AY13" s="4">
        <f t="shared" si="13"/>
        <v>0</v>
      </c>
      <c r="AZ13" s="4"/>
      <c r="BA13" s="4"/>
      <c r="BB13" s="4"/>
      <c r="BC13" s="4">
        <v>4800000</v>
      </c>
    </row>
    <row r="14" spans="1:55" s="5" customFormat="1" ht="15.5">
      <c r="A14" s="3">
        <f t="shared" si="14"/>
        <v>6</v>
      </c>
      <c r="B14" s="3">
        <v>1934</v>
      </c>
      <c r="C14" s="3" t="s">
        <v>283</v>
      </c>
      <c r="D14" s="80">
        <v>3300000</v>
      </c>
      <c r="E14" s="80">
        <v>3300000</v>
      </c>
      <c r="F14" s="4">
        <f t="shared" si="6"/>
        <v>0</v>
      </c>
      <c r="G14" s="4">
        <v>1300000</v>
      </c>
      <c r="H14" s="4">
        <v>1299322.6599999999</v>
      </c>
      <c r="I14" s="4"/>
      <c r="J14" s="4"/>
      <c r="K14" s="4">
        <f t="shared" si="7"/>
        <v>0</v>
      </c>
      <c r="L14" s="4">
        <f t="shared" si="0"/>
        <v>1299322.6599999999</v>
      </c>
      <c r="M14" s="4">
        <f t="shared" si="1"/>
        <v>2000677.34</v>
      </c>
      <c r="N14" s="4"/>
      <c r="O14" s="4">
        <f t="shared" si="2"/>
        <v>0</v>
      </c>
      <c r="P14" s="4">
        <f t="shared" si="3"/>
        <v>677.34000000008382</v>
      </c>
      <c r="Q14" s="4"/>
      <c r="R14" s="4">
        <v>2000000</v>
      </c>
      <c r="S14" s="4">
        <f t="shared" si="4"/>
        <v>2000000</v>
      </c>
      <c r="T14" s="4">
        <f t="shared" si="15"/>
        <v>0</v>
      </c>
      <c r="U14" s="4">
        <f t="shared" si="8"/>
        <v>0</v>
      </c>
      <c r="V14" s="4">
        <f t="shared" si="5"/>
        <v>-1988999.9999999998</v>
      </c>
      <c r="W14" s="4"/>
      <c r="X14" s="4"/>
      <c r="Y14" s="4"/>
      <c r="Z14" s="4">
        <f>1700000*1.17</f>
        <v>1988999.9999999998</v>
      </c>
      <c r="AA14" s="3">
        <v>742000</v>
      </c>
      <c r="AB14" s="3"/>
      <c r="AC14" s="4"/>
      <c r="AD14" s="4"/>
      <c r="AE14" s="4"/>
      <c r="AF14" s="4"/>
      <c r="AG14" s="4"/>
      <c r="AH14" s="4"/>
      <c r="AI14" s="4"/>
      <c r="AJ14" s="4"/>
      <c r="AK14" s="4">
        <f t="shared" si="16"/>
        <v>0</v>
      </c>
      <c r="AL14" s="4"/>
      <c r="AM14" s="4">
        <f t="shared" si="9"/>
        <v>0</v>
      </c>
      <c r="AN14" s="4">
        <f t="shared" si="10"/>
        <v>0</v>
      </c>
      <c r="AO14" s="4">
        <f t="shared" si="11"/>
        <v>0</v>
      </c>
      <c r="AP14" s="4"/>
      <c r="AQ14" s="4"/>
      <c r="AR14" s="4"/>
      <c r="AS14" s="4"/>
      <c r="AT14" s="4">
        <f t="shared" si="12"/>
        <v>0</v>
      </c>
      <c r="AU14" s="4"/>
      <c r="AV14" s="4"/>
      <c r="AW14" s="4"/>
      <c r="AX14" s="4"/>
      <c r="AY14" s="4">
        <f t="shared" si="13"/>
        <v>-1989000</v>
      </c>
      <c r="AZ14" s="4"/>
      <c r="BA14" s="4"/>
      <c r="BB14" s="4"/>
      <c r="BC14" s="4">
        <v>1989000</v>
      </c>
    </row>
    <row r="15" spans="1:55" s="5" customFormat="1" ht="15.5">
      <c r="A15" s="3">
        <f t="shared" si="14"/>
        <v>7</v>
      </c>
      <c r="B15" s="3">
        <v>1979</v>
      </c>
      <c r="C15" s="3" t="s">
        <v>284</v>
      </c>
      <c r="D15" s="80">
        <v>195000</v>
      </c>
      <c r="E15" s="80">
        <v>195000</v>
      </c>
      <c r="F15" s="4">
        <f t="shared" si="6"/>
        <v>0</v>
      </c>
      <c r="G15" s="4">
        <f>195000-145000</f>
        <v>50000</v>
      </c>
      <c r="H15" s="4">
        <v>0</v>
      </c>
      <c r="I15" s="4"/>
      <c r="J15" s="4"/>
      <c r="K15" s="4">
        <f t="shared" si="7"/>
        <v>0</v>
      </c>
      <c r="L15" s="4">
        <f t="shared" si="0"/>
        <v>0</v>
      </c>
      <c r="M15" s="4">
        <f t="shared" si="1"/>
        <v>50000</v>
      </c>
      <c r="N15" s="4">
        <v>145000</v>
      </c>
      <c r="O15" s="4">
        <f t="shared" si="2"/>
        <v>0</v>
      </c>
      <c r="P15" s="4">
        <v>50000</v>
      </c>
      <c r="Q15" s="4"/>
      <c r="R15" s="4"/>
      <c r="S15" s="4">
        <f t="shared" si="4"/>
        <v>0</v>
      </c>
      <c r="T15" s="4"/>
      <c r="U15" s="4">
        <f t="shared" si="8"/>
        <v>145000</v>
      </c>
      <c r="V15" s="4">
        <f t="shared" si="5"/>
        <v>145000</v>
      </c>
      <c r="W15" s="4"/>
      <c r="X15" s="4"/>
      <c r="Y15" s="4"/>
      <c r="Z15" s="3"/>
      <c r="AA15" s="3">
        <v>732000</v>
      </c>
      <c r="AB15" s="3"/>
      <c r="AC15" s="4"/>
      <c r="AD15" s="4"/>
      <c r="AE15" s="4"/>
      <c r="AF15" s="4"/>
      <c r="AG15" s="4"/>
      <c r="AH15" s="4"/>
      <c r="AI15" s="4"/>
      <c r="AJ15" s="4"/>
      <c r="AK15" s="4">
        <f t="shared" si="16"/>
        <v>0</v>
      </c>
      <c r="AL15" s="4"/>
      <c r="AM15" s="4">
        <f t="shared" si="9"/>
        <v>0</v>
      </c>
      <c r="AN15" s="4">
        <f t="shared" si="10"/>
        <v>145000</v>
      </c>
      <c r="AO15" s="4">
        <f t="shared" si="11"/>
        <v>0</v>
      </c>
      <c r="AP15" s="4"/>
      <c r="AQ15" s="4"/>
      <c r="AR15" s="4"/>
      <c r="AS15" s="4"/>
      <c r="AT15" s="4">
        <f t="shared" si="12"/>
        <v>0</v>
      </c>
      <c r="AU15" s="4"/>
      <c r="AV15" s="4"/>
      <c r="AW15" s="4"/>
      <c r="AX15" s="4"/>
      <c r="AY15" s="4">
        <f t="shared" si="13"/>
        <v>145000</v>
      </c>
      <c r="AZ15" s="4"/>
      <c r="BA15" s="4"/>
      <c r="BB15" s="4"/>
      <c r="BC15" s="4"/>
    </row>
    <row r="16" spans="1:55" s="5" customFormat="1" ht="28">
      <c r="A16" s="3">
        <f t="shared" si="14"/>
        <v>8</v>
      </c>
      <c r="B16" s="3">
        <v>1980</v>
      </c>
      <c r="C16" s="3" t="s">
        <v>341</v>
      </c>
      <c r="D16" s="80">
        <v>1150000</v>
      </c>
      <c r="E16" s="80">
        <v>1150000</v>
      </c>
      <c r="F16" s="4">
        <f t="shared" si="6"/>
        <v>0</v>
      </c>
      <c r="G16" s="4">
        <f>350000+100000</f>
        <v>450000</v>
      </c>
      <c r="H16" s="4">
        <v>292539.62</v>
      </c>
      <c r="I16" s="4"/>
      <c r="J16" s="4"/>
      <c r="K16" s="4">
        <f t="shared" si="7"/>
        <v>0</v>
      </c>
      <c r="L16" s="4">
        <f t="shared" si="0"/>
        <v>292539.62</v>
      </c>
      <c r="M16" s="4">
        <f t="shared" si="1"/>
        <v>157460.38</v>
      </c>
      <c r="N16" s="4">
        <v>400000</v>
      </c>
      <c r="O16" s="4">
        <f t="shared" si="2"/>
        <v>300000</v>
      </c>
      <c r="P16" s="4">
        <f t="shared" si="3"/>
        <v>157460.38</v>
      </c>
      <c r="Q16" s="4"/>
      <c r="R16" s="4"/>
      <c r="S16" s="4">
        <f t="shared" si="4"/>
        <v>0</v>
      </c>
      <c r="T16" s="4">
        <f t="shared" si="15"/>
        <v>0</v>
      </c>
      <c r="U16" s="4">
        <f t="shared" si="8"/>
        <v>400000</v>
      </c>
      <c r="V16" s="4">
        <f t="shared" si="5"/>
        <v>400000</v>
      </c>
      <c r="W16" s="4"/>
      <c r="X16" s="4"/>
      <c r="Y16" s="4"/>
      <c r="Z16" s="3"/>
      <c r="AA16" s="3">
        <v>746000</v>
      </c>
      <c r="AB16" s="3"/>
      <c r="AC16" s="4"/>
      <c r="AD16" s="4"/>
      <c r="AE16" s="4"/>
      <c r="AF16" s="4"/>
      <c r="AG16" s="4"/>
      <c r="AH16" s="4"/>
      <c r="AI16" s="4"/>
      <c r="AJ16" s="4"/>
      <c r="AK16" s="4">
        <f t="shared" si="16"/>
        <v>0</v>
      </c>
      <c r="AL16" s="4"/>
      <c r="AM16" s="4">
        <f t="shared" si="9"/>
        <v>0</v>
      </c>
      <c r="AN16" s="4">
        <f t="shared" si="10"/>
        <v>400000</v>
      </c>
      <c r="AO16" s="4">
        <f t="shared" si="11"/>
        <v>0</v>
      </c>
      <c r="AP16" s="4"/>
      <c r="AQ16" s="4"/>
      <c r="AR16" s="4"/>
      <c r="AS16" s="4"/>
      <c r="AT16" s="4">
        <f t="shared" si="12"/>
        <v>0</v>
      </c>
      <c r="AU16" s="4"/>
      <c r="AV16" s="4"/>
      <c r="AW16" s="4"/>
      <c r="AX16" s="4"/>
      <c r="AY16" s="4">
        <f t="shared" si="13"/>
        <v>400000</v>
      </c>
      <c r="AZ16" s="4"/>
      <c r="BA16" s="4"/>
      <c r="BB16" s="4"/>
      <c r="BC16" s="4"/>
    </row>
    <row r="17" spans="1:55" s="5" customFormat="1" ht="15.5">
      <c r="A17" s="3">
        <f t="shared" si="14"/>
        <v>9</v>
      </c>
      <c r="B17" s="3">
        <v>1981</v>
      </c>
      <c r="C17" s="3" t="s">
        <v>285</v>
      </c>
      <c r="D17" s="80">
        <v>1100000</v>
      </c>
      <c r="E17" s="80">
        <v>980000</v>
      </c>
      <c r="F17" s="4">
        <f t="shared" si="6"/>
        <v>120000</v>
      </c>
      <c r="G17" s="4">
        <f>400000+200000</f>
        <v>600000</v>
      </c>
      <c r="H17" s="4">
        <v>384914.67</v>
      </c>
      <c r="I17" s="4"/>
      <c r="J17" s="4"/>
      <c r="K17" s="4">
        <f t="shared" si="7"/>
        <v>0</v>
      </c>
      <c r="L17" s="4">
        <f t="shared" si="0"/>
        <v>384914.67</v>
      </c>
      <c r="M17" s="4">
        <f t="shared" si="1"/>
        <v>215085.33000000002</v>
      </c>
      <c r="N17" s="4">
        <v>400000</v>
      </c>
      <c r="O17" s="4">
        <f t="shared" si="2"/>
        <v>100000.00000000006</v>
      </c>
      <c r="P17" s="4">
        <f t="shared" si="3"/>
        <v>215085.33000000002</v>
      </c>
      <c r="Q17" s="4"/>
      <c r="R17" s="4"/>
      <c r="S17" s="4">
        <f t="shared" si="4"/>
        <v>0</v>
      </c>
      <c r="T17" s="4">
        <f t="shared" si="15"/>
        <v>0</v>
      </c>
      <c r="U17" s="4">
        <f t="shared" si="8"/>
        <v>400000</v>
      </c>
      <c r="V17" s="4">
        <f t="shared" si="5"/>
        <v>400000</v>
      </c>
      <c r="W17" s="4"/>
      <c r="X17" s="4"/>
      <c r="Y17" s="4"/>
      <c r="Z17" s="3"/>
      <c r="AA17" s="3">
        <v>746000</v>
      </c>
      <c r="AB17" s="3"/>
      <c r="AC17" s="4"/>
      <c r="AD17" s="4"/>
      <c r="AE17" s="4"/>
      <c r="AF17" s="4"/>
      <c r="AG17" s="4"/>
      <c r="AH17" s="4"/>
      <c r="AI17" s="4"/>
      <c r="AJ17" s="4"/>
      <c r="AK17" s="4">
        <f t="shared" si="16"/>
        <v>0</v>
      </c>
      <c r="AL17" s="4"/>
      <c r="AM17" s="4">
        <f t="shared" si="9"/>
        <v>0</v>
      </c>
      <c r="AN17" s="4">
        <f t="shared" si="10"/>
        <v>400000</v>
      </c>
      <c r="AO17" s="4">
        <f t="shared" si="11"/>
        <v>0</v>
      </c>
      <c r="AP17" s="4"/>
      <c r="AQ17" s="4"/>
      <c r="AR17" s="4"/>
      <c r="AS17" s="4"/>
      <c r="AT17" s="4">
        <f t="shared" si="12"/>
        <v>0</v>
      </c>
      <c r="AU17" s="4"/>
      <c r="AV17" s="4"/>
      <c r="AW17" s="4"/>
      <c r="AX17" s="4"/>
      <c r="AY17" s="4">
        <f t="shared" si="13"/>
        <v>400000</v>
      </c>
      <c r="AZ17" s="4"/>
      <c r="BA17" s="4"/>
      <c r="BB17" s="4"/>
      <c r="BC17" s="4"/>
    </row>
    <row r="18" spans="1:55" s="5" customFormat="1" ht="28">
      <c r="A18" s="3">
        <f t="shared" si="14"/>
        <v>10</v>
      </c>
      <c r="B18" s="3">
        <v>2002</v>
      </c>
      <c r="C18" s="3" t="s">
        <v>979</v>
      </c>
      <c r="D18" s="80">
        <v>865000</v>
      </c>
      <c r="E18" s="80">
        <v>865000</v>
      </c>
      <c r="F18" s="4">
        <f t="shared" si="6"/>
        <v>0</v>
      </c>
      <c r="G18" s="4">
        <v>865000</v>
      </c>
      <c r="H18" s="4"/>
      <c r="I18" s="4"/>
      <c r="J18" s="4"/>
      <c r="K18" s="4"/>
      <c r="L18" s="4">
        <f t="shared" si="0"/>
        <v>0</v>
      </c>
      <c r="M18" s="4">
        <f t="shared" si="1"/>
        <v>865000</v>
      </c>
      <c r="N18" s="4"/>
      <c r="O18" s="4">
        <f t="shared" si="2"/>
        <v>0</v>
      </c>
      <c r="P18" s="4">
        <f t="shared" si="3"/>
        <v>865000</v>
      </c>
      <c r="Q18" s="4"/>
      <c r="R18" s="4"/>
      <c r="S18" s="4">
        <f t="shared" si="4"/>
        <v>0</v>
      </c>
      <c r="T18" s="4">
        <f t="shared" si="15"/>
        <v>0</v>
      </c>
      <c r="U18" s="4">
        <f t="shared" si="8"/>
        <v>0</v>
      </c>
      <c r="V18" s="4">
        <f t="shared" si="5"/>
        <v>0</v>
      </c>
      <c r="W18" s="4"/>
      <c r="X18" s="4"/>
      <c r="Y18" s="4"/>
      <c r="Z18" s="3"/>
      <c r="AA18" s="3">
        <v>742000</v>
      </c>
      <c r="AB18" s="3"/>
      <c r="AC18" s="4"/>
      <c r="AD18" s="4"/>
      <c r="AE18" s="4"/>
      <c r="AF18" s="4"/>
      <c r="AG18" s="4"/>
      <c r="AH18" s="4"/>
      <c r="AI18" s="4"/>
      <c r="AJ18" s="4"/>
      <c r="AK18" s="4">
        <f t="shared" si="16"/>
        <v>0</v>
      </c>
      <c r="AL18" s="4"/>
      <c r="AM18" s="4">
        <f t="shared" si="9"/>
        <v>0</v>
      </c>
      <c r="AN18" s="4">
        <f t="shared" si="10"/>
        <v>0</v>
      </c>
      <c r="AO18" s="4">
        <f t="shared" si="11"/>
        <v>0</v>
      </c>
      <c r="AP18" s="4"/>
      <c r="AQ18" s="4"/>
      <c r="AR18" s="4"/>
      <c r="AS18" s="4"/>
      <c r="AT18" s="4">
        <f t="shared" si="12"/>
        <v>0</v>
      </c>
      <c r="AU18" s="4"/>
      <c r="AV18" s="4"/>
      <c r="AW18" s="4"/>
      <c r="AX18" s="4"/>
      <c r="AY18" s="4">
        <f t="shared" si="13"/>
        <v>0</v>
      </c>
      <c r="AZ18" s="4"/>
      <c r="BA18" s="4"/>
      <c r="BB18" s="4"/>
      <c r="BC18" s="4"/>
    </row>
    <row r="19" spans="1:55" s="5" customFormat="1" ht="15.5">
      <c r="A19" s="3">
        <f>A18+1</f>
        <v>11</v>
      </c>
      <c r="B19" s="3">
        <v>2052</v>
      </c>
      <c r="C19" s="3" t="s">
        <v>382</v>
      </c>
      <c r="D19" s="80">
        <v>355000</v>
      </c>
      <c r="E19" s="80"/>
      <c r="F19" s="4">
        <f t="shared" si="6"/>
        <v>355000</v>
      </c>
      <c r="G19" s="4">
        <v>0</v>
      </c>
      <c r="H19" s="4">
        <v>0</v>
      </c>
      <c r="I19" s="4"/>
      <c r="J19" s="4"/>
      <c r="K19" s="4">
        <f>SUM(I19:J19)</f>
        <v>0</v>
      </c>
      <c r="L19" s="4">
        <f t="shared" si="0"/>
        <v>0</v>
      </c>
      <c r="M19" s="4">
        <f t="shared" si="1"/>
        <v>0</v>
      </c>
      <c r="N19" s="4">
        <v>355000</v>
      </c>
      <c r="O19" s="4">
        <f t="shared" si="2"/>
        <v>0</v>
      </c>
      <c r="P19" s="4">
        <f t="shared" si="3"/>
        <v>0</v>
      </c>
      <c r="Q19" s="4"/>
      <c r="R19" s="4"/>
      <c r="S19" s="4">
        <f t="shared" si="4"/>
        <v>0</v>
      </c>
      <c r="T19" s="4">
        <f t="shared" si="15"/>
        <v>0</v>
      </c>
      <c r="U19" s="4">
        <f>N19-T19</f>
        <v>355000</v>
      </c>
      <c r="V19" s="4">
        <f t="shared" si="5"/>
        <v>355000</v>
      </c>
      <c r="W19" s="4"/>
      <c r="X19" s="4"/>
      <c r="Y19" s="4"/>
      <c r="Z19" s="3"/>
      <c r="AA19" s="3">
        <v>732000</v>
      </c>
      <c r="AB19" s="3"/>
      <c r="AC19" s="4"/>
      <c r="AD19" s="4"/>
      <c r="AE19" s="4"/>
      <c r="AF19" s="4"/>
      <c r="AG19" s="4"/>
      <c r="AH19" s="4"/>
      <c r="AI19" s="4"/>
      <c r="AJ19" s="4"/>
      <c r="AK19" s="4">
        <f t="shared" si="16"/>
        <v>0</v>
      </c>
      <c r="AL19" s="4"/>
      <c r="AM19" s="4">
        <f t="shared" si="9"/>
        <v>0</v>
      </c>
      <c r="AN19" s="4">
        <f t="shared" si="10"/>
        <v>355000</v>
      </c>
      <c r="AO19" s="4">
        <f t="shared" si="11"/>
        <v>0</v>
      </c>
      <c r="AP19" s="4"/>
      <c r="AQ19" s="3"/>
      <c r="AR19" s="4"/>
      <c r="AS19" s="4"/>
      <c r="AT19" s="4">
        <f t="shared" si="12"/>
        <v>0</v>
      </c>
      <c r="AU19" s="3"/>
      <c r="AV19" s="3"/>
      <c r="AW19" s="3"/>
      <c r="AX19" s="4"/>
      <c r="AY19" s="4">
        <f t="shared" si="13"/>
        <v>355000</v>
      </c>
      <c r="AZ19" s="3"/>
      <c r="BA19" s="3"/>
      <c r="BB19" s="3"/>
      <c r="BC19" s="3"/>
    </row>
    <row r="20" spans="1:55" s="5" customFormat="1" ht="15.5">
      <c r="A20" s="3">
        <f>A19+1</f>
        <v>12</v>
      </c>
      <c r="B20" s="3">
        <v>2053</v>
      </c>
      <c r="C20" s="3" t="s">
        <v>383</v>
      </c>
      <c r="D20" s="80">
        <v>1000000</v>
      </c>
      <c r="E20" s="80"/>
      <c r="F20" s="4">
        <f t="shared" si="6"/>
        <v>1000000</v>
      </c>
      <c r="G20" s="4">
        <v>0</v>
      </c>
      <c r="H20" s="4">
        <v>0</v>
      </c>
      <c r="I20" s="4"/>
      <c r="J20" s="4"/>
      <c r="K20" s="4">
        <f>SUM(I20:J20)</f>
        <v>0</v>
      </c>
      <c r="L20" s="4">
        <f t="shared" si="0"/>
        <v>0</v>
      </c>
      <c r="M20" s="4">
        <f t="shared" si="1"/>
        <v>0</v>
      </c>
      <c r="N20" s="4">
        <f>1000000-500000</f>
        <v>500000</v>
      </c>
      <c r="O20" s="4">
        <f t="shared" si="2"/>
        <v>500000</v>
      </c>
      <c r="P20" s="4">
        <f t="shared" si="3"/>
        <v>0</v>
      </c>
      <c r="Q20" s="4"/>
      <c r="R20" s="4"/>
      <c r="S20" s="4">
        <f t="shared" si="4"/>
        <v>0</v>
      </c>
      <c r="T20" s="4">
        <f t="shared" si="15"/>
        <v>0</v>
      </c>
      <c r="U20" s="4">
        <f>N20-T20</f>
        <v>500000</v>
      </c>
      <c r="V20" s="4">
        <f t="shared" si="5"/>
        <v>500000</v>
      </c>
      <c r="W20" s="4"/>
      <c r="X20" s="4"/>
      <c r="Y20" s="4"/>
      <c r="Z20" s="3"/>
      <c r="AA20" s="3">
        <v>749000</v>
      </c>
      <c r="AB20" s="3"/>
      <c r="AC20" s="4"/>
      <c r="AD20" s="4"/>
      <c r="AE20" s="4"/>
      <c r="AF20" s="4"/>
      <c r="AG20" s="4"/>
      <c r="AH20" s="4"/>
      <c r="AI20" s="4"/>
      <c r="AJ20" s="4"/>
      <c r="AK20" s="4">
        <f t="shared" si="16"/>
        <v>0</v>
      </c>
      <c r="AL20" s="4"/>
      <c r="AM20" s="4">
        <f t="shared" si="9"/>
        <v>0</v>
      </c>
      <c r="AN20" s="4">
        <f t="shared" si="10"/>
        <v>500000</v>
      </c>
      <c r="AO20" s="4">
        <f t="shared" si="11"/>
        <v>0</v>
      </c>
      <c r="AP20" s="4"/>
      <c r="AQ20" s="3"/>
      <c r="AR20" s="4"/>
      <c r="AS20" s="4"/>
      <c r="AT20" s="4">
        <f t="shared" si="12"/>
        <v>0</v>
      </c>
      <c r="AU20" s="3"/>
      <c r="AV20" s="3"/>
      <c r="AW20" s="3"/>
      <c r="AX20" s="4"/>
      <c r="AY20" s="4">
        <f t="shared" si="13"/>
        <v>500000</v>
      </c>
      <c r="AZ20" s="3"/>
      <c r="BA20" s="3"/>
      <c r="BB20" s="3"/>
      <c r="BC20" s="3"/>
    </row>
    <row r="21" spans="1:55" s="5" customFormat="1" ht="15.5">
      <c r="A21" s="3">
        <f>A20+1</f>
        <v>13</v>
      </c>
      <c r="B21" s="3">
        <v>2054</v>
      </c>
      <c r="C21" s="3" t="s">
        <v>384</v>
      </c>
      <c r="D21" s="80">
        <v>650000</v>
      </c>
      <c r="E21" s="80"/>
      <c r="F21" s="4">
        <f t="shared" si="6"/>
        <v>650000</v>
      </c>
      <c r="G21" s="4">
        <v>0</v>
      </c>
      <c r="H21" s="4">
        <v>0</v>
      </c>
      <c r="I21" s="4"/>
      <c r="J21" s="4"/>
      <c r="K21" s="4">
        <f>SUM(I21:J21)</f>
        <v>0</v>
      </c>
      <c r="L21" s="4">
        <f t="shared" si="0"/>
        <v>0</v>
      </c>
      <c r="M21" s="4">
        <f t="shared" si="1"/>
        <v>0</v>
      </c>
      <c r="N21" s="4">
        <f>650000-450000</f>
        <v>200000</v>
      </c>
      <c r="O21" s="4">
        <f t="shared" si="2"/>
        <v>450000</v>
      </c>
      <c r="P21" s="4">
        <f t="shared" si="3"/>
        <v>0</v>
      </c>
      <c r="Q21" s="4"/>
      <c r="R21" s="4"/>
      <c r="S21" s="4">
        <f t="shared" si="4"/>
        <v>0</v>
      </c>
      <c r="T21" s="4">
        <f t="shared" si="15"/>
        <v>0</v>
      </c>
      <c r="U21" s="4">
        <f>N21-T21</f>
        <v>200000</v>
      </c>
      <c r="V21" s="4">
        <f t="shared" si="5"/>
        <v>200000</v>
      </c>
      <c r="W21" s="4"/>
      <c r="X21" s="4"/>
      <c r="Y21" s="4"/>
      <c r="Z21" s="3"/>
      <c r="AA21" s="3">
        <v>749000</v>
      </c>
      <c r="AB21" s="3"/>
      <c r="AC21" s="4"/>
      <c r="AD21" s="4"/>
      <c r="AE21" s="4"/>
      <c r="AF21" s="4"/>
      <c r="AG21" s="4"/>
      <c r="AH21" s="4"/>
      <c r="AI21" s="4"/>
      <c r="AJ21" s="4"/>
      <c r="AK21" s="4">
        <f t="shared" si="16"/>
        <v>0</v>
      </c>
      <c r="AL21" s="4"/>
      <c r="AM21" s="4">
        <f t="shared" si="9"/>
        <v>0</v>
      </c>
      <c r="AN21" s="4">
        <f t="shared" si="10"/>
        <v>200000</v>
      </c>
      <c r="AO21" s="4">
        <f t="shared" si="11"/>
        <v>0</v>
      </c>
      <c r="AP21" s="4"/>
      <c r="AQ21" s="3"/>
      <c r="AR21" s="4"/>
      <c r="AS21" s="4"/>
      <c r="AT21" s="4">
        <f t="shared" si="12"/>
        <v>0</v>
      </c>
      <c r="AU21" s="3"/>
      <c r="AV21" s="3"/>
      <c r="AW21" s="3"/>
      <c r="AX21" s="4"/>
      <c r="AY21" s="4">
        <f t="shared" si="13"/>
        <v>200000</v>
      </c>
      <c r="AZ21" s="3"/>
      <c r="BA21" s="3"/>
      <c r="BB21" s="3"/>
      <c r="BC21" s="3"/>
    </row>
    <row r="22" spans="1:55" s="56" customFormat="1" ht="15.5">
      <c r="A22" s="48">
        <f>A21</f>
        <v>13</v>
      </c>
      <c r="B22" s="77"/>
      <c r="C22" s="48" t="s">
        <v>1416</v>
      </c>
      <c r="D22" s="132">
        <f t="shared" ref="D22:BC22" si="17">SUM(D9:D21)</f>
        <v>39058000</v>
      </c>
      <c r="E22" s="132">
        <f t="shared" si="17"/>
        <v>21970000</v>
      </c>
      <c r="F22" s="132">
        <f t="shared" si="17"/>
        <v>17088000</v>
      </c>
      <c r="G22" s="132">
        <f t="shared" si="17"/>
        <v>10995000</v>
      </c>
      <c r="H22" s="132">
        <f t="shared" si="17"/>
        <v>8090239.9199999999</v>
      </c>
      <c r="I22" s="132">
        <f t="shared" si="17"/>
        <v>0</v>
      </c>
      <c r="J22" s="132">
        <f t="shared" si="17"/>
        <v>0</v>
      </c>
      <c r="K22" s="132">
        <f t="shared" si="17"/>
        <v>0</v>
      </c>
      <c r="L22" s="132">
        <f t="shared" si="17"/>
        <v>8090239.9199999999</v>
      </c>
      <c r="M22" s="132">
        <f t="shared" si="17"/>
        <v>4904760.08</v>
      </c>
      <c r="N22" s="132">
        <f t="shared" si="17"/>
        <v>9180000</v>
      </c>
      <c r="O22" s="132">
        <f t="shared" si="17"/>
        <v>16883000</v>
      </c>
      <c r="P22" s="132">
        <f t="shared" si="17"/>
        <v>2904760.08</v>
      </c>
      <c r="Q22" s="132">
        <f t="shared" si="17"/>
        <v>0</v>
      </c>
      <c r="R22" s="132">
        <f t="shared" si="17"/>
        <v>2000000</v>
      </c>
      <c r="S22" s="132">
        <f t="shared" si="17"/>
        <v>2000000</v>
      </c>
      <c r="T22" s="132">
        <f t="shared" si="17"/>
        <v>0</v>
      </c>
      <c r="U22" s="132">
        <f t="shared" si="17"/>
        <v>9180000</v>
      </c>
      <c r="V22" s="132">
        <f t="shared" si="17"/>
        <v>2391000</v>
      </c>
      <c r="W22" s="132">
        <f t="shared" si="17"/>
        <v>0</v>
      </c>
      <c r="X22" s="132">
        <f t="shared" si="17"/>
        <v>0</v>
      </c>
      <c r="Y22" s="132">
        <f t="shared" si="17"/>
        <v>0</v>
      </c>
      <c r="Z22" s="132">
        <f t="shared" si="17"/>
        <v>6789000</v>
      </c>
      <c r="AA22" s="132">
        <f t="shared" si="17"/>
        <v>9632000</v>
      </c>
      <c r="AB22" s="132">
        <f t="shared" si="17"/>
        <v>0</v>
      </c>
      <c r="AC22" s="132">
        <f t="shared" ref="AC22:AI22" si="18">SUM(AC9:AC21)</f>
        <v>0</v>
      </c>
      <c r="AD22" s="132">
        <f t="shared" si="18"/>
        <v>0</v>
      </c>
      <c r="AE22" s="132">
        <f t="shared" si="18"/>
        <v>0</v>
      </c>
      <c r="AF22" s="132">
        <f t="shared" si="18"/>
        <v>0</v>
      </c>
      <c r="AG22" s="132">
        <f t="shared" si="18"/>
        <v>0</v>
      </c>
      <c r="AH22" s="132">
        <f t="shared" si="18"/>
        <v>0</v>
      </c>
      <c r="AI22" s="132">
        <f t="shared" si="18"/>
        <v>0</v>
      </c>
      <c r="AJ22" s="132">
        <f t="shared" si="17"/>
        <v>200000</v>
      </c>
      <c r="AK22" s="132">
        <f t="shared" si="17"/>
        <v>200000</v>
      </c>
      <c r="AL22" s="132">
        <f t="shared" si="17"/>
        <v>0</v>
      </c>
      <c r="AM22" s="132">
        <f t="shared" si="17"/>
        <v>200000</v>
      </c>
      <c r="AN22" s="132">
        <f t="shared" si="17"/>
        <v>8980000</v>
      </c>
      <c r="AO22" s="132">
        <f t="shared" si="17"/>
        <v>200000</v>
      </c>
      <c r="AP22" s="132">
        <f t="shared" si="17"/>
        <v>0</v>
      </c>
      <c r="AQ22" s="132">
        <f t="shared" si="17"/>
        <v>0</v>
      </c>
      <c r="AR22" s="132">
        <f t="shared" si="17"/>
        <v>0</v>
      </c>
      <c r="AS22" s="132">
        <f t="shared" si="17"/>
        <v>0</v>
      </c>
      <c r="AT22" s="132">
        <f t="shared" si="17"/>
        <v>0</v>
      </c>
      <c r="AU22" s="132">
        <f t="shared" si="17"/>
        <v>0</v>
      </c>
      <c r="AV22" s="132">
        <f t="shared" si="17"/>
        <v>0</v>
      </c>
      <c r="AW22" s="132">
        <f t="shared" si="17"/>
        <v>0</v>
      </c>
      <c r="AX22" s="132">
        <f t="shared" si="17"/>
        <v>0</v>
      </c>
      <c r="AY22" s="132">
        <f t="shared" si="17"/>
        <v>2191000</v>
      </c>
      <c r="AZ22" s="132">
        <f t="shared" si="17"/>
        <v>0</v>
      </c>
      <c r="BA22" s="132">
        <f t="shared" si="17"/>
        <v>0</v>
      </c>
      <c r="BB22" s="132">
        <f t="shared" si="17"/>
        <v>0</v>
      </c>
      <c r="BC22" s="132">
        <f t="shared" si="17"/>
        <v>6789000</v>
      </c>
    </row>
    <row r="23" spans="1:55" s="5" customFormat="1">
      <c r="A23" s="31"/>
      <c r="B23" s="31"/>
      <c r="C23" s="31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55">
      <c r="U24" s="17"/>
    </row>
    <row r="25" spans="1:55">
      <c r="M25" s="27"/>
      <c r="U25" s="17"/>
    </row>
    <row r="26" spans="1:55">
      <c r="M26" s="27"/>
      <c r="U26" s="17"/>
    </row>
    <row r="27" spans="1:55">
      <c r="M27" s="27"/>
      <c r="P27" s="45"/>
    </row>
    <row r="28" spans="1:55">
      <c r="G28" s="134"/>
      <c r="M28" s="27"/>
      <c r="P28" s="45"/>
    </row>
    <row r="29" spans="1:55">
      <c r="G29" s="134"/>
      <c r="M29" s="27"/>
      <c r="P29" s="27"/>
    </row>
    <row r="30" spans="1:55">
      <c r="G30" s="134"/>
      <c r="L30" s="17">
        <v>0</v>
      </c>
    </row>
    <row r="31" spans="1:55">
      <c r="G31" s="134"/>
      <c r="L31" s="17">
        <v>0</v>
      </c>
      <c r="P31" s="27"/>
    </row>
    <row r="32" spans="1:55">
      <c r="G32" s="134"/>
    </row>
    <row r="33" spans="7:7">
      <c r="G33" s="134"/>
    </row>
    <row r="34" spans="7:7">
      <c r="G34" s="134"/>
    </row>
    <row r="35" spans="7:7">
      <c r="G35" s="134"/>
    </row>
    <row r="36" spans="7:7">
      <c r="G36" s="134"/>
    </row>
  </sheetData>
  <sheetProtection formatCells="0" formatColumns="0" formatRows="0" insertColumns="0" insertRows="0" insertHyperlinks="0" deleteColumns="0" deleteRows="0" sort="0" autoFilter="0" pivotTables="0"/>
  <mergeCells count="3">
    <mergeCell ref="AB6:AK6"/>
    <mergeCell ref="AO6:AS6"/>
    <mergeCell ref="U6:Z6"/>
  </mergeCells>
  <conditionalFormatting sqref="AD7">
    <cfRule type="cellIs" dxfId="102" priority="7" operator="equal">
      <formula>0</formula>
    </cfRule>
  </conditionalFormatting>
  <conditionalFormatting sqref="AE7">
    <cfRule type="cellIs" dxfId="101" priority="6" operator="equal">
      <formula>0</formula>
    </cfRule>
  </conditionalFormatting>
  <conditionalFormatting sqref="AF7">
    <cfRule type="cellIs" dxfId="100" priority="5" operator="equal">
      <formula>0</formula>
    </cfRule>
  </conditionalFormatting>
  <conditionalFormatting sqref="AG7">
    <cfRule type="cellIs" dxfId="99" priority="4" operator="equal">
      <formula>0</formula>
    </cfRule>
  </conditionalFormatting>
  <conditionalFormatting sqref="AH7">
    <cfRule type="cellIs" dxfId="98" priority="3" operator="equal">
      <formula>0</formula>
    </cfRule>
  </conditionalFormatting>
  <conditionalFormatting sqref="AI7">
    <cfRule type="cellIs" dxfId="97" priority="2" operator="equal">
      <formula>0</formula>
    </cfRule>
  </conditionalFormatting>
  <conditionalFormatting sqref="AJ7">
    <cfRule type="cellIs" dxfId="96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4:BC26"/>
  <sheetViews>
    <sheetView rightToLeft="1" workbookViewId="0">
      <pane xSplit="3" ySplit="7" topLeftCell="G14" activePane="bottomRight" state="frozen"/>
      <selection activeCell="T20" sqref="T20"/>
      <selection pane="topRight" activeCell="T20" sqref="T20"/>
      <selection pane="bottomLeft" activeCell="T20" sqref="T20"/>
      <selection pane="bottomRight" activeCell="T20" sqref="T20"/>
    </sheetView>
  </sheetViews>
  <sheetFormatPr defaultColWidth="9.1796875" defaultRowHeight="14"/>
  <cols>
    <col min="1" max="1" width="4.81640625" style="515" customWidth="1"/>
    <col min="2" max="2" width="5.26953125" style="502" customWidth="1"/>
    <col min="3" max="3" width="31" style="502" customWidth="1"/>
    <col min="4" max="5" width="10.54296875" style="516" hidden="1" customWidth="1"/>
    <col min="6" max="6" width="9.81640625" style="516" hidden="1" customWidth="1"/>
    <col min="7" max="10" width="12.7265625" style="516" hidden="1" customWidth="1"/>
    <col min="11" max="11" width="11.26953125" style="516" hidden="1" customWidth="1"/>
    <col min="12" max="12" width="9.81640625" style="516" hidden="1" customWidth="1"/>
    <col min="13" max="14" width="10.26953125" style="516" hidden="1" customWidth="1"/>
    <col min="15" max="15" width="10" style="516" hidden="1" customWidth="1"/>
    <col min="16" max="17" width="11.1796875" style="516" hidden="1" customWidth="1"/>
    <col min="18" max="19" width="12" style="516" hidden="1" customWidth="1"/>
    <col min="20" max="20" width="8.7265625" style="516" customWidth="1"/>
    <col min="21" max="23" width="9.7265625" style="502" customWidth="1"/>
    <col min="24" max="26" width="8.7265625" style="502" customWidth="1"/>
    <col min="27" max="27" width="7.81640625" style="502" hidden="1" customWidth="1"/>
    <col min="28" max="28" width="7.1796875" style="502" hidden="1" customWidth="1"/>
    <col min="29" max="38" width="9.1796875" style="503" hidden="1" customWidth="1"/>
    <col min="39" max="39" width="11.7265625" style="503" customWidth="1"/>
    <col min="40" max="42" width="9.7265625" style="503" customWidth="1"/>
    <col min="43" max="45" width="8.7265625" style="503" customWidth="1"/>
    <col min="46" max="55" width="9.1796875" style="503" hidden="1" customWidth="1"/>
    <col min="56" max="16384" width="9.1796875" style="503"/>
  </cols>
  <sheetData>
    <row r="4" spans="1:55" ht="18">
      <c r="A4" s="122" t="s">
        <v>1001</v>
      </c>
      <c r="B4" s="501"/>
      <c r="C4" s="501"/>
      <c r="D4" s="501"/>
      <c r="E4" s="501"/>
      <c r="F4" s="501"/>
      <c r="G4" s="501"/>
      <c r="H4" s="501"/>
      <c r="I4" s="501"/>
      <c r="J4" s="501"/>
      <c r="K4" s="501"/>
      <c r="L4" s="501"/>
      <c r="M4" s="501"/>
      <c r="N4" s="501"/>
      <c r="O4" s="501"/>
      <c r="P4" s="501"/>
      <c r="Q4" s="501"/>
      <c r="R4" s="501"/>
      <c r="S4" s="501"/>
      <c r="T4" s="501"/>
      <c r="U4" s="501"/>
      <c r="V4" s="501"/>
      <c r="W4" s="501"/>
      <c r="AB4" s="503"/>
    </row>
    <row r="5" spans="1:55" ht="18">
      <c r="B5" s="501"/>
      <c r="C5" s="501"/>
      <c r="D5" s="501"/>
      <c r="E5" s="501"/>
      <c r="F5" s="501"/>
      <c r="G5" s="501"/>
      <c r="H5" s="501"/>
      <c r="I5" s="501"/>
      <c r="J5" s="501"/>
      <c r="K5" s="501"/>
      <c r="L5" s="501"/>
      <c r="M5" s="501"/>
      <c r="N5" s="501"/>
      <c r="O5" s="501"/>
      <c r="P5" s="501"/>
      <c r="Q5" s="501"/>
      <c r="R5" s="501"/>
      <c r="S5" s="501"/>
      <c r="T5" s="501"/>
      <c r="U5" s="501"/>
      <c r="V5" s="501"/>
      <c r="W5" s="501"/>
      <c r="AB5" s="503"/>
    </row>
    <row r="6" spans="1:55">
      <c r="A6" s="530"/>
      <c r="B6" s="531"/>
      <c r="C6" s="531"/>
      <c r="D6" s="531"/>
      <c r="E6" s="531"/>
      <c r="F6" s="531"/>
      <c r="G6" s="531"/>
      <c r="H6" s="531"/>
      <c r="I6" s="531"/>
      <c r="J6" s="531"/>
      <c r="K6" s="531"/>
      <c r="L6" s="531"/>
      <c r="M6" s="531"/>
      <c r="N6" s="531"/>
      <c r="O6" s="531"/>
      <c r="P6" s="531"/>
      <c r="Q6" s="531"/>
      <c r="R6" s="531"/>
      <c r="S6" s="531"/>
      <c r="T6" s="531"/>
      <c r="U6" s="738" t="s">
        <v>146</v>
      </c>
      <c r="V6" s="739"/>
      <c r="W6" s="739"/>
      <c r="X6" s="739"/>
      <c r="Y6" s="739"/>
      <c r="Z6" s="740"/>
      <c r="AB6" s="735" t="s">
        <v>489</v>
      </c>
      <c r="AC6" s="736"/>
      <c r="AD6" s="736"/>
      <c r="AE6" s="736"/>
      <c r="AF6" s="736"/>
      <c r="AG6" s="736"/>
      <c r="AH6" s="736"/>
      <c r="AI6" s="736"/>
      <c r="AJ6" s="736"/>
      <c r="AK6" s="737"/>
      <c r="AL6" s="110"/>
      <c r="AM6" s="675" t="s">
        <v>489</v>
      </c>
      <c r="AN6" s="496"/>
      <c r="AO6" s="495" t="s">
        <v>834</v>
      </c>
      <c r="AP6" s="496"/>
      <c r="AQ6" s="497"/>
      <c r="AR6" s="110"/>
      <c r="AS6" s="564"/>
      <c r="AT6" s="495" t="s">
        <v>835</v>
      </c>
      <c r="AU6" s="496"/>
      <c r="AV6" s="496"/>
      <c r="AW6" s="497"/>
      <c r="AX6" s="110"/>
      <c r="AY6" s="495" t="s">
        <v>836</v>
      </c>
      <c r="AZ6" s="496"/>
      <c r="BA6" s="496"/>
      <c r="BB6" s="496"/>
      <c r="BC6" s="497"/>
    </row>
    <row r="7" spans="1:55" ht="70">
      <c r="A7" s="504" t="s">
        <v>0</v>
      </c>
      <c r="B7" s="504" t="s">
        <v>1</v>
      </c>
      <c r="C7" s="504" t="s">
        <v>2</v>
      </c>
      <c r="D7" s="504" t="s">
        <v>3</v>
      </c>
      <c r="E7" s="504" t="s">
        <v>4</v>
      </c>
      <c r="F7" s="504" t="s">
        <v>5</v>
      </c>
      <c r="G7" s="504" t="s">
        <v>6</v>
      </c>
      <c r="H7" s="504" t="s">
        <v>7</v>
      </c>
      <c r="I7" s="504" t="s">
        <v>9</v>
      </c>
      <c r="J7" s="504" t="s">
        <v>318</v>
      </c>
      <c r="K7" s="504" t="s">
        <v>10</v>
      </c>
      <c r="L7" s="504" t="s">
        <v>11</v>
      </c>
      <c r="M7" s="2" t="s">
        <v>309</v>
      </c>
      <c r="N7" s="504" t="s">
        <v>310</v>
      </c>
      <c r="O7" s="504" t="s">
        <v>311</v>
      </c>
      <c r="P7" s="504" t="s">
        <v>12</v>
      </c>
      <c r="Q7" s="504" t="s">
        <v>312</v>
      </c>
      <c r="R7" s="504" t="s">
        <v>313</v>
      </c>
      <c r="S7" s="504" t="s">
        <v>314</v>
      </c>
      <c r="T7" s="504" t="s">
        <v>315</v>
      </c>
      <c r="U7" s="504" t="s">
        <v>316</v>
      </c>
      <c r="V7" s="504" t="s">
        <v>13</v>
      </c>
      <c r="W7" s="504" t="s">
        <v>14</v>
      </c>
      <c r="X7" s="504" t="s">
        <v>15</v>
      </c>
      <c r="Y7" s="504" t="s">
        <v>523</v>
      </c>
      <c r="Z7" s="504" t="s">
        <v>140</v>
      </c>
      <c r="AA7" s="504" t="s">
        <v>16</v>
      </c>
      <c r="AB7" s="107" t="s">
        <v>490</v>
      </c>
      <c r="AC7" s="107" t="s">
        <v>491</v>
      </c>
      <c r="AD7" s="107" t="s">
        <v>492</v>
      </c>
      <c r="AE7" s="107" t="s">
        <v>493</v>
      </c>
      <c r="AF7" s="107" t="s">
        <v>494</v>
      </c>
      <c r="AG7" s="107" t="s">
        <v>495</v>
      </c>
      <c r="AH7" s="107" t="s">
        <v>496</v>
      </c>
      <c r="AI7" s="107" t="s">
        <v>497</v>
      </c>
      <c r="AJ7" s="107" t="s">
        <v>498</v>
      </c>
      <c r="AK7" s="498" t="s">
        <v>837</v>
      </c>
      <c r="AL7" s="498" t="s">
        <v>838</v>
      </c>
      <c r="AM7" s="498" t="s">
        <v>839</v>
      </c>
      <c r="AN7" s="498" t="s">
        <v>840</v>
      </c>
      <c r="AO7" s="498" t="s">
        <v>13</v>
      </c>
      <c r="AP7" s="498" t="s">
        <v>14</v>
      </c>
      <c r="AQ7" s="498" t="s">
        <v>15</v>
      </c>
      <c r="AR7" s="498" t="s">
        <v>523</v>
      </c>
      <c r="AS7" s="498" t="s">
        <v>140</v>
      </c>
      <c r="AT7" s="498" t="s">
        <v>13</v>
      </c>
      <c r="AU7" s="498" t="s">
        <v>14</v>
      </c>
      <c r="AV7" s="498" t="s">
        <v>15</v>
      </c>
      <c r="AW7" s="498" t="s">
        <v>523</v>
      </c>
      <c r="AX7" s="498" t="s">
        <v>140</v>
      </c>
      <c r="AY7" s="107" t="s">
        <v>13</v>
      </c>
      <c r="AZ7" s="107" t="s">
        <v>14</v>
      </c>
      <c r="BA7" s="107" t="s">
        <v>15</v>
      </c>
      <c r="BB7" s="107" t="s">
        <v>523</v>
      </c>
      <c r="BC7" s="107" t="s">
        <v>140</v>
      </c>
    </row>
    <row r="8" spans="1:55">
      <c r="A8" s="505"/>
      <c r="B8" s="506"/>
      <c r="C8" s="506"/>
      <c r="D8" s="507"/>
      <c r="E8" s="507"/>
      <c r="F8" s="507"/>
      <c r="G8" s="507"/>
      <c r="H8" s="507"/>
      <c r="I8" s="507"/>
      <c r="J8" s="507"/>
      <c r="K8" s="507"/>
      <c r="L8" s="507"/>
      <c r="M8" s="507"/>
      <c r="N8" s="507"/>
      <c r="O8" s="507"/>
      <c r="P8" s="507"/>
      <c r="Q8" s="507"/>
      <c r="R8" s="507"/>
      <c r="S8" s="507"/>
      <c r="T8" s="507"/>
      <c r="U8" s="506"/>
      <c r="V8" s="506"/>
      <c r="W8" s="506"/>
      <c r="X8" s="506"/>
      <c r="Y8" s="506"/>
      <c r="Z8" s="506"/>
      <c r="AA8" s="506"/>
      <c r="AB8" s="508"/>
      <c r="AC8" s="508"/>
      <c r="AD8" s="508"/>
      <c r="AE8" s="508"/>
      <c r="AF8" s="508"/>
      <c r="AG8" s="508"/>
      <c r="AH8" s="508"/>
      <c r="AI8" s="508"/>
      <c r="AJ8" s="508"/>
      <c r="AK8" s="508"/>
      <c r="AL8" s="508"/>
      <c r="AM8" s="508"/>
      <c r="AN8" s="508"/>
      <c r="AO8" s="508"/>
      <c r="AP8" s="508"/>
      <c r="AQ8" s="508"/>
      <c r="AR8" s="508"/>
      <c r="AS8" s="508"/>
      <c r="AT8" s="508"/>
      <c r="AU8" s="508"/>
      <c r="AV8" s="508"/>
      <c r="AW8" s="508"/>
      <c r="AX8" s="508"/>
      <c r="AY8" s="508"/>
      <c r="AZ8" s="508"/>
      <c r="BA8" s="508"/>
      <c r="BB8" s="508"/>
      <c r="BC8" s="508"/>
    </row>
    <row r="9" spans="1:55">
      <c r="A9" s="509">
        <f>A8+1</f>
        <v>1</v>
      </c>
      <c r="B9" s="510">
        <v>1002</v>
      </c>
      <c r="C9" s="509" t="s">
        <v>246</v>
      </c>
      <c r="D9" s="511">
        <f>2080000+210000</f>
        <v>2290000</v>
      </c>
      <c r="E9" s="511">
        <v>2080000</v>
      </c>
      <c r="F9" s="511">
        <f t="shared" ref="F9:F16" si="0">D9-E9</f>
        <v>210000</v>
      </c>
      <c r="G9" s="511">
        <f>1980000+60000</f>
        <v>2040000</v>
      </c>
      <c r="H9" s="511">
        <v>1926852.26</v>
      </c>
      <c r="I9" s="511"/>
      <c r="J9" s="511">
        <v>112690.15</v>
      </c>
      <c r="K9" s="511">
        <f>SUM(I9:J9)</f>
        <v>112690.15</v>
      </c>
      <c r="L9" s="511">
        <f t="shared" ref="L9:L16" si="1">H9+K9</f>
        <v>2039542.41</v>
      </c>
      <c r="M9" s="4">
        <f>P9+S9</f>
        <v>457.59000000008382</v>
      </c>
      <c r="N9" s="4">
        <v>100000</v>
      </c>
      <c r="O9" s="4">
        <f t="shared" ref="O9:O16" si="2">D9-L9-M9-N9</f>
        <v>150000</v>
      </c>
      <c r="P9" s="4">
        <f t="shared" ref="P9:P16" si="3">G9-L9</f>
        <v>457.59000000008382</v>
      </c>
      <c r="Q9" s="4"/>
      <c r="R9" s="4"/>
      <c r="S9" s="4">
        <f t="shared" ref="S9:S16" si="4">SUM(Q9:R9)</f>
        <v>0</v>
      </c>
      <c r="T9" s="4">
        <f t="shared" ref="T9:T16" si="5">P9-M9+S9</f>
        <v>0</v>
      </c>
      <c r="U9" s="4">
        <f t="shared" ref="U9:U16" si="6">N9-T9</f>
        <v>100000</v>
      </c>
      <c r="V9" s="4">
        <f t="shared" ref="V9:V14" si="7">U9-W9-Y9-AB9</f>
        <v>0</v>
      </c>
      <c r="W9" s="4">
        <v>100000</v>
      </c>
      <c r="X9" s="511"/>
      <c r="Y9" s="511"/>
      <c r="Z9" s="509"/>
      <c r="AA9" s="509">
        <v>760000</v>
      </c>
      <c r="AB9" s="508"/>
      <c r="AC9" s="4"/>
      <c r="AD9" s="4">
        <v>20000</v>
      </c>
      <c r="AE9" s="4"/>
      <c r="AF9" s="4"/>
      <c r="AG9" s="4"/>
      <c r="AH9" s="4"/>
      <c r="AI9" s="4"/>
      <c r="AJ9" s="4"/>
      <c r="AK9" s="4">
        <f>SUM(AB9:AJ9)</f>
        <v>20000</v>
      </c>
      <c r="AL9" s="4"/>
      <c r="AM9" s="4">
        <f>AK9+AL9</f>
        <v>20000</v>
      </c>
      <c r="AN9" s="4">
        <f>U9-AM9</f>
        <v>80000</v>
      </c>
      <c r="AO9" s="4"/>
      <c r="AP9" s="4">
        <f>AM9-AO9</f>
        <v>20000</v>
      </c>
      <c r="AQ9" s="4"/>
      <c r="AR9" s="4"/>
      <c r="AS9" s="4"/>
      <c r="AT9" s="4"/>
      <c r="AU9" s="4">
        <f>AL9-AT9</f>
        <v>0</v>
      </c>
      <c r="AV9" s="4"/>
      <c r="AW9" s="4"/>
      <c r="AX9" s="4"/>
      <c r="AY9" s="4"/>
      <c r="AZ9" s="4">
        <f>AN9-AY9</f>
        <v>80000</v>
      </c>
      <c r="BA9" s="4"/>
      <c r="BB9" s="4"/>
      <c r="BC9" s="4"/>
    </row>
    <row r="10" spans="1:55">
      <c r="A10" s="509">
        <f t="shared" ref="A10:A16" si="8">A9+1</f>
        <v>2</v>
      </c>
      <c r="B10" s="509">
        <v>1497</v>
      </c>
      <c r="C10" s="509" t="s">
        <v>106</v>
      </c>
      <c r="D10" s="511">
        <v>8820000</v>
      </c>
      <c r="E10" s="511">
        <v>8820000</v>
      </c>
      <c r="F10" s="511">
        <f t="shared" si="0"/>
        <v>0</v>
      </c>
      <c r="G10" s="511">
        <f>2615000+133000</f>
        <v>2748000</v>
      </c>
      <c r="H10" s="511">
        <v>2353778.5299999998</v>
      </c>
      <c r="I10" s="511"/>
      <c r="J10" s="511">
        <v>98416</v>
      </c>
      <c r="K10" s="511">
        <f t="shared" ref="K10:K16" si="9">SUM(I10:J10)</f>
        <v>98416</v>
      </c>
      <c r="L10" s="511">
        <f t="shared" si="1"/>
        <v>2452194.5299999998</v>
      </c>
      <c r="M10" s="4">
        <f>P10+S10</f>
        <v>295805.4700000002</v>
      </c>
      <c r="N10" s="4">
        <v>200000</v>
      </c>
      <c r="O10" s="4">
        <f t="shared" si="2"/>
        <v>5872000</v>
      </c>
      <c r="P10" s="4">
        <f t="shared" si="3"/>
        <v>295805.4700000002</v>
      </c>
      <c r="Q10" s="4"/>
      <c r="R10" s="4"/>
      <c r="S10" s="4">
        <f t="shared" si="4"/>
        <v>0</v>
      </c>
      <c r="T10" s="4">
        <f t="shared" si="5"/>
        <v>0</v>
      </c>
      <c r="U10" s="4">
        <f t="shared" si="6"/>
        <v>200000</v>
      </c>
      <c r="V10" s="4">
        <f t="shared" si="7"/>
        <v>0</v>
      </c>
      <c r="W10" s="4">
        <v>200000</v>
      </c>
      <c r="X10" s="511"/>
      <c r="Y10" s="511"/>
      <c r="Z10" s="509"/>
      <c r="AA10" s="509">
        <v>610000</v>
      </c>
      <c r="AB10" s="508"/>
      <c r="AC10" s="4"/>
      <c r="AD10" s="4">
        <v>50000</v>
      </c>
      <c r="AE10" s="4"/>
      <c r="AF10" s="4"/>
      <c r="AG10" s="4"/>
      <c r="AH10" s="4"/>
      <c r="AI10" s="4"/>
      <c r="AJ10" s="4"/>
      <c r="AK10" s="4">
        <f t="shared" ref="AK10:AK16" si="10">SUM(AB10:AJ10)</f>
        <v>50000</v>
      </c>
      <c r="AL10" s="4"/>
      <c r="AM10" s="4">
        <f t="shared" ref="AM10:AM16" si="11">AK10+AL10</f>
        <v>50000</v>
      </c>
      <c r="AN10" s="4">
        <f t="shared" ref="AN10:AN16" si="12">U10-AM10</f>
        <v>150000</v>
      </c>
      <c r="AO10" s="4"/>
      <c r="AP10" s="4">
        <f t="shared" ref="AP10:AP16" si="13">AM10-AO10</f>
        <v>50000</v>
      </c>
      <c r="AQ10" s="4"/>
      <c r="AR10" s="4"/>
      <c r="AS10" s="4"/>
      <c r="AT10" s="4"/>
      <c r="AU10" s="4">
        <f t="shared" ref="AU10:AU16" si="14">AL10-AT10</f>
        <v>0</v>
      </c>
      <c r="AV10" s="4"/>
      <c r="AW10" s="4"/>
      <c r="AX10" s="4"/>
      <c r="AY10" s="4"/>
      <c r="AZ10" s="4">
        <f t="shared" ref="AZ10:AZ16" si="15">AN10-AY10</f>
        <v>150000</v>
      </c>
      <c r="BA10" s="4"/>
      <c r="BB10" s="4"/>
      <c r="BC10" s="4"/>
    </row>
    <row r="11" spans="1:55">
      <c r="A11" s="509">
        <f t="shared" si="8"/>
        <v>3</v>
      </c>
      <c r="B11" s="244">
        <v>1507</v>
      </c>
      <c r="C11" s="244" t="s">
        <v>981</v>
      </c>
      <c r="D11" s="511">
        <v>1600000</v>
      </c>
      <c r="E11" s="511">
        <v>1600000</v>
      </c>
      <c r="F11" s="511">
        <f t="shared" si="0"/>
        <v>0</v>
      </c>
      <c r="G11" s="511">
        <v>1600000</v>
      </c>
      <c r="H11" s="511">
        <v>1576614.95</v>
      </c>
      <c r="I11" s="511"/>
      <c r="J11" s="511">
        <v>18654.810000000001</v>
      </c>
      <c r="K11" s="511">
        <f t="shared" si="9"/>
        <v>18654.810000000001</v>
      </c>
      <c r="L11" s="511">
        <f t="shared" si="1"/>
        <v>1595269.76</v>
      </c>
      <c r="M11" s="4">
        <f>P11+S11</f>
        <v>4730.2399999999907</v>
      </c>
      <c r="N11" s="4"/>
      <c r="O11" s="4">
        <f t="shared" si="2"/>
        <v>0</v>
      </c>
      <c r="P11" s="4">
        <f t="shared" si="3"/>
        <v>4730.2399999999907</v>
      </c>
      <c r="Q11" s="4"/>
      <c r="R11" s="4"/>
      <c r="S11" s="4">
        <f t="shared" si="4"/>
        <v>0</v>
      </c>
      <c r="T11" s="4">
        <f t="shared" si="5"/>
        <v>0</v>
      </c>
      <c r="U11" s="4">
        <f t="shared" si="6"/>
        <v>0</v>
      </c>
      <c r="V11" s="4">
        <f t="shared" si="7"/>
        <v>0</v>
      </c>
      <c r="W11" s="4"/>
      <c r="X11" s="511"/>
      <c r="Y11" s="511"/>
      <c r="Z11" s="509"/>
      <c r="AA11" s="509">
        <v>722000</v>
      </c>
      <c r="AB11" s="508"/>
      <c r="AC11" s="4"/>
      <c r="AD11" s="4"/>
      <c r="AE11" s="4"/>
      <c r="AF11" s="4"/>
      <c r="AG11" s="4"/>
      <c r="AH11" s="4"/>
      <c r="AI11" s="4"/>
      <c r="AJ11" s="4"/>
      <c r="AK11" s="4">
        <f t="shared" si="10"/>
        <v>0</v>
      </c>
      <c r="AL11" s="4"/>
      <c r="AM11" s="4">
        <f t="shared" si="11"/>
        <v>0</v>
      </c>
      <c r="AN11" s="4">
        <f t="shared" si="12"/>
        <v>0</v>
      </c>
      <c r="AO11" s="4"/>
      <c r="AP11" s="4">
        <f t="shared" si="13"/>
        <v>0</v>
      </c>
      <c r="AQ11" s="4"/>
      <c r="AR11" s="4"/>
      <c r="AS11" s="4"/>
      <c r="AT11" s="4"/>
      <c r="AU11" s="4">
        <f t="shared" si="14"/>
        <v>0</v>
      </c>
      <c r="AV11" s="4"/>
      <c r="AW11" s="4"/>
      <c r="AX11" s="4"/>
      <c r="AY11" s="4"/>
      <c r="AZ11" s="4">
        <f t="shared" si="15"/>
        <v>0</v>
      </c>
      <c r="BA11" s="4"/>
      <c r="BB11" s="4"/>
      <c r="BC11" s="4"/>
    </row>
    <row r="12" spans="1:55">
      <c r="A12" s="509">
        <f t="shared" si="8"/>
        <v>4</v>
      </c>
      <c r="B12" s="509">
        <v>1647</v>
      </c>
      <c r="C12" s="509" t="s">
        <v>385</v>
      </c>
      <c r="D12" s="511">
        <v>4700000</v>
      </c>
      <c r="E12" s="511">
        <v>4700000</v>
      </c>
      <c r="F12" s="511">
        <f t="shared" si="0"/>
        <v>0</v>
      </c>
      <c r="G12" s="511">
        <f>3200000+750000</f>
        <v>3950000</v>
      </c>
      <c r="H12" s="511">
        <v>2465790.1800000002</v>
      </c>
      <c r="I12" s="511"/>
      <c r="J12" s="511">
        <v>1034689.37</v>
      </c>
      <c r="K12" s="511">
        <f t="shared" si="9"/>
        <v>1034689.37</v>
      </c>
      <c r="L12" s="511">
        <f t="shared" si="1"/>
        <v>3500479.5500000003</v>
      </c>
      <c r="M12" s="4">
        <f>P12+S12</f>
        <v>449520.44999999972</v>
      </c>
      <c r="N12" s="4">
        <v>500000</v>
      </c>
      <c r="O12" s="4">
        <f t="shared" si="2"/>
        <v>250000</v>
      </c>
      <c r="P12" s="4">
        <f t="shared" si="3"/>
        <v>449520.44999999972</v>
      </c>
      <c r="Q12" s="4"/>
      <c r="R12" s="4"/>
      <c r="S12" s="4">
        <f t="shared" si="4"/>
        <v>0</v>
      </c>
      <c r="T12" s="4">
        <f t="shared" si="5"/>
        <v>0</v>
      </c>
      <c r="U12" s="4">
        <f t="shared" si="6"/>
        <v>500000</v>
      </c>
      <c r="V12" s="4">
        <f t="shared" si="7"/>
        <v>100000</v>
      </c>
      <c r="W12" s="4">
        <v>400000</v>
      </c>
      <c r="X12" s="511"/>
      <c r="Y12" s="511"/>
      <c r="Z12" s="509"/>
      <c r="AA12" s="509">
        <v>810000</v>
      </c>
      <c r="AB12" s="508"/>
      <c r="AC12" s="4"/>
      <c r="AD12" s="4">
        <v>200000</v>
      </c>
      <c r="AE12" s="4"/>
      <c r="AF12" s="4"/>
      <c r="AG12" s="4"/>
      <c r="AH12" s="4"/>
      <c r="AI12" s="4"/>
      <c r="AJ12" s="4"/>
      <c r="AK12" s="4">
        <f t="shared" si="10"/>
        <v>200000</v>
      </c>
      <c r="AL12" s="4"/>
      <c r="AM12" s="4">
        <f t="shared" si="11"/>
        <v>200000</v>
      </c>
      <c r="AN12" s="4">
        <f t="shared" si="12"/>
        <v>300000</v>
      </c>
      <c r="AO12" s="4"/>
      <c r="AP12" s="4">
        <f t="shared" si="13"/>
        <v>200000</v>
      </c>
      <c r="AQ12" s="4"/>
      <c r="AR12" s="4"/>
      <c r="AS12" s="4"/>
      <c r="AT12" s="4"/>
      <c r="AU12" s="4">
        <f t="shared" si="14"/>
        <v>0</v>
      </c>
      <c r="AV12" s="4"/>
      <c r="AW12" s="4"/>
      <c r="AX12" s="4"/>
      <c r="AY12" s="4">
        <v>100000</v>
      </c>
      <c r="AZ12" s="4">
        <f t="shared" si="15"/>
        <v>200000</v>
      </c>
      <c r="BA12" s="4"/>
      <c r="BB12" s="4"/>
      <c r="BC12" s="4"/>
    </row>
    <row r="13" spans="1:55" s="5" customFormat="1">
      <c r="A13" s="509">
        <f t="shared" si="8"/>
        <v>5</v>
      </c>
      <c r="B13" s="244">
        <v>1790</v>
      </c>
      <c r="C13" s="244" t="s">
        <v>980</v>
      </c>
      <c r="D13" s="511">
        <v>415000</v>
      </c>
      <c r="E13" s="511">
        <v>415000</v>
      </c>
      <c r="F13" s="511">
        <f t="shared" si="0"/>
        <v>0</v>
      </c>
      <c r="G13" s="511">
        <f>385000+30000</f>
        <v>415000</v>
      </c>
      <c r="H13" s="511">
        <v>313300.67</v>
      </c>
      <c r="I13" s="511"/>
      <c r="J13" s="511">
        <v>67407.210000000006</v>
      </c>
      <c r="K13" s="511">
        <f t="shared" si="9"/>
        <v>67407.210000000006</v>
      </c>
      <c r="L13" s="511">
        <f t="shared" si="1"/>
        <v>380707.88</v>
      </c>
      <c r="M13" s="4">
        <f>P13+S13</f>
        <v>34292.119999999995</v>
      </c>
      <c r="N13" s="4">
        <v>0</v>
      </c>
      <c r="O13" s="4">
        <f t="shared" si="2"/>
        <v>0</v>
      </c>
      <c r="P13" s="4">
        <f t="shared" si="3"/>
        <v>34292.119999999995</v>
      </c>
      <c r="Q13" s="4"/>
      <c r="R13" s="4"/>
      <c r="S13" s="4">
        <f t="shared" si="4"/>
        <v>0</v>
      </c>
      <c r="T13" s="4">
        <f t="shared" si="5"/>
        <v>0</v>
      </c>
      <c r="U13" s="4">
        <f t="shared" si="6"/>
        <v>0</v>
      </c>
      <c r="V13" s="4">
        <f t="shared" si="7"/>
        <v>0</v>
      </c>
      <c r="W13" s="4"/>
      <c r="X13" s="511"/>
      <c r="Y13" s="511"/>
      <c r="Z13" s="509"/>
      <c r="AA13" s="509">
        <v>810000</v>
      </c>
      <c r="AB13" s="508"/>
      <c r="AC13" s="4"/>
      <c r="AD13" s="4"/>
      <c r="AE13" s="4"/>
      <c r="AF13" s="4"/>
      <c r="AG13" s="4"/>
      <c r="AH13" s="4"/>
      <c r="AI13" s="4"/>
      <c r="AJ13" s="4"/>
      <c r="AK13" s="4">
        <f t="shared" si="10"/>
        <v>0</v>
      </c>
      <c r="AL13" s="4"/>
      <c r="AM13" s="4">
        <f t="shared" si="11"/>
        <v>0</v>
      </c>
      <c r="AN13" s="4">
        <f t="shared" si="12"/>
        <v>0</v>
      </c>
      <c r="AO13" s="4"/>
      <c r="AP13" s="4">
        <f t="shared" si="13"/>
        <v>0</v>
      </c>
      <c r="AQ13" s="4"/>
      <c r="AR13" s="4"/>
      <c r="AS13" s="4"/>
      <c r="AT13" s="4"/>
      <c r="AU13" s="4">
        <f t="shared" si="14"/>
        <v>0</v>
      </c>
      <c r="AV13" s="4"/>
      <c r="AW13" s="4"/>
      <c r="AX13" s="4"/>
      <c r="AY13" s="4"/>
      <c r="AZ13" s="4">
        <f t="shared" si="15"/>
        <v>0</v>
      </c>
      <c r="BA13" s="4"/>
      <c r="BB13" s="4"/>
      <c r="BC13" s="4"/>
    </row>
    <row r="14" spans="1:55" ht="28">
      <c r="A14" s="509">
        <f t="shared" si="8"/>
        <v>6</v>
      </c>
      <c r="B14" s="509">
        <v>1871</v>
      </c>
      <c r="C14" s="509" t="s">
        <v>386</v>
      </c>
      <c r="D14" s="511">
        <v>3200000</v>
      </c>
      <c r="E14" s="511">
        <v>11000000</v>
      </c>
      <c r="F14" s="511">
        <f t="shared" si="0"/>
        <v>-7800000</v>
      </c>
      <c r="G14" s="511">
        <v>0</v>
      </c>
      <c r="H14" s="511">
        <v>0</v>
      </c>
      <c r="I14" s="511"/>
      <c r="J14" s="511"/>
      <c r="K14" s="511">
        <f t="shared" si="9"/>
        <v>0</v>
      </c>
      <c r="L14" s="511">
        <f t="shared" si="1"/>
        <v>0</v>
      </c>
      <c r="M14" s="4">
        <v>0</v>
      </c>
      <c r="N14" s="4">
        <v>1990000</v>
      </c>
      <c r="O14" s="4">
        <f t="shared" si="2"/>
        <v>1210000</v>
      </c>
      <c r="P14" s="4">
        <f t="shared" si="3"/>
        <v>0</v>
      </c>
      <c r="Q14" s="4"/>
      <c r="R14" s="4"/>
      <c r="S14" s="4">
        <f t="shared" si="4"/>
        <v>0</v>
      </c>
      <c r="T14" s="4">
        <f t="shared" si="5"/>
        <v>0</v>
      </c>
      <c r="U14" s="4">
        <f t="shared" si="6"/>
        <v>1990000</v>
      </c>
      <c r="V14" s="4">
        <f t="shared" si="7"/>
        <v>1990000</v>
      </c>
      <c r="W14" s="4"/>
      <c r="X14" s="511"/>
      <c r="Y14" s="511"/>
      <c r="Z14" s="509"/>
      <c r="AA14" s="509">
        <v>760000</v>
      </c>
      <c r="AB14" s="508"/>
      <c r="AC14" s="4"/>
      <c r="AD14" s="4"/>
      <c r="AE14" s="4"/>
      <c r="AF14" s="4"/>
      <c r="AG14" s="4"/>
      <c r="AH14" s="4"/>
      <c r="AI14" s="4">
        <v>1990000</v>
      </c>
      <c r="AJ14" s="4"/>
      <c r="AK14" s="4">
        <f t="shared" si="10"/>
        <v>1990000</v>
      </c>
      <c r="AL14" s="4"/>
      <c r="AM14" s="4">
        <f t="shared" si="11"/>
        <v>1990000</v>
      </c>
      <c r="AN14" s="4">
        <f t="shared" si="12"/>
        <v>0</v>
      </c>
      <c r="AO14" s="4">
        <v>1990000</v>
      </c>
      <c r="AP14" s="4">
        <f t="shared" si="13"/>
        <v>0</v>
      </c>
      <c r="AQ14" s="4"/>
      <c r="AR14" s="4"/>
      <c r="AS14" s="4">
        <f>AP14</f>
        <v>0</v>
      </c>
      <c r="AT14" s="4"/>
      <c r="AU14" s="4">
        <f t="shared" si="14"/>
        <v>0</v>
      </c>
      <c r="AV14" s="4"/>
      <c r="AW14" s="4"/>
      <c r="AX14" s="4"/>
      <c r="AY14" s="4"/>
      <c r="AZ14" s="4">
        <f t="shared" si="15"/>
        <v>0</v>
      </c>
      <c r="BA14" s="4"/>
      <c r="BB14" s="4"/>
      <c r="BC14" s="4"/>
    </row>
    <row r="15" spans="1:55" ht="28">
      <c r="A15" s="509">
        <f t="shared" si="8"/>
        <v>7</v>
      </c>
      <c r="B15" s="244">
        <v>1893</v>
      </c>
      <c r="C15" s="244" t="s">
        <v>982</v>
      </c>
      <c r="D15" s="4">
        <v>300000</v>
      </c>
      <c r="E15" s="4">
        <v>300000</v>
      </c>
      <c r="F15" s="4">
        <f t="shared" si="0"/>
        <v>0</v>
      </c>
      <c r="G15" s="4">
        <f>150000+30000</f>
        <v>180000</v>
      </c>
      <c r="H15" s="4">
        <v>41149</v>
      </c>
      <c r="I15" s="4"/>
      <c r="J15" s="4">
        <v>79847</v>
      </c>
      <c r="K15" s="511">
        <f t="shared" si="9"/>
        <v>79847</v>
      </c>
      <c r="L15" s="4">
        <f t="shared" si="1"/>
        <v>120996</v>
      </c>
      <c r="M15" s="4">
        <f>P15+S15</f>
        <v>59004</v>
      </c>
      <c r="N15" s="4">
        <v>120000</v>
      </c>
      <c r="O15" s="4">
        <f t="shared" si="2"/>
        <v>0</v>
      </c>
      <c r="P15" s="4">
        <f t="shared" si="3"/>
        <v>59004</v>
      </c>
      <c r="Q15" s="4"/>
      <c r="R15" s="4"/>
      <c r="S15" s="4">
        <f t="shared" si="4"/>
        <v>0</v>
      </c>
      <c r="T15" s="4">
        <f t="shared" si="5"/>
        <v>0</v>
      </c>
      <c r="U15" s="4">
        <f t="shared" si="6"/>
        <v>120000</v>
      </c>
      <c r="V15" s="4"/>
      <c r="W15" s="4">
        <f>U15-V15-Y15-AB15</f>
        <v>120000</v>
      </c>
      <c r="X15" s="4"/>
      <c r="Y15" s="4"/>
      <c r="Z15" s="3"/>
      <c r="AA15" s="326">
        <v>714000</v>
      </c>
      <c r="AB15" s="508"/>
      <c r="AC15" s="4"/>
      <c r="AD15" s="4"/>
      <c r="AE15" s="4"/>
      <c r="AF15" s="4"/>
      <c r="AG15" s="4"/>
      <c r="AH15" s="4"/>
      <c r="AI15" s="4"/>
      <c r="AJ15" s="4"/>
      <c r="AK15" s="4">
        <f t="shared" si="10"/>
        <v>0</v>
      </c>
      <c r="AL15" s="4"/>
      <c r="AM15" s="4">
        <f t="shared" si="11"/>
        <v>0</v>
      </c>
      <c r="AN15" s="4">
        <f t="shared" si="12"/>
        <v>120000</v>
      </c>
      <c r="AO15" s="4"/>
      <c r="AP15" s="4">
        <f t="shared" si="13"/>
        <v>0</v>
      </c>
      <c r="AQ15" s="4"/>
      <c r="AR15" s="4"/>
      <c r="AS15" s="4"/>
      <c r="AT15" s="4"/>
      <c r="AU15" s="4">
        <f t="shared" si="14"/>
        <v>0</v>
      </c>
      <c r="AV15" s="4"/>
      <c r="AW15" s="4"/>
      <c r="AX15" s="4"/>
      <c r="AY15" s="4"/>
      <c r="AZ15" s="4">
        <f t="shared" si="15"/>
        <v>120000</v>
      </c>
      <c r="BA15" s="4"/>
      <c r="BB15" s="4"/>
      <c r="BC15" s="4"/>
    </row>
    <row r="16" spans="1:55" ht="28">
      <c r="A16" s="509">
        <f t="shared" si="8"/>
        <v>8</v>
      </c>
      <c r="B16" s="509">
        <v>1982</v>
      </c>
      <c r="C16" s="509" t="s">
        <v>575</v>
      </c>
      <c r="D16" s="511">
        <v>22500000</v>
      </c>
      <c r="E16" s="511">
        <v>1500000</v>
      </c>
      <c r="F16" s="511">
        <f t="shared" si="0"/>
        <v>21000000</v>
      </c>
      <c r="G16" s="511">
        <v>100000</v>
      </c>
      <c r="H16" s="511">
        <v>0</v>
      </c>
      <c r="I16" s="511"/>
      <c r="J16" s="511">
        <v>7300</v>
      </c>
      <c r="K16" s="511">
        <f t="shared" si="9"/>
        <v>7300</v>
      </c>
      <c r="L16" s="511">
        <f t="shared" si="1"/>
        <v>7300</v>
      </c>
      <c r="M16" s="4">
        <f>P16+S16</f>
        <v>92700</v>
      </c>
      <c r="N16" s="4">
        <f>7950000-1000000</f>
        <v>6950000</v>
      </c>
      <c r="O16" s="4">
        <f t="shared" si="2"/>
        <v>15450000</v>
      </c>
      <c r="P16" s="4">
        <f t="shared" si="3"/>
        <v>92700</v>
      </c>
      <c r="Q16" s="4"/>
      <c r="R16" s="4"/>
      <c r="S16" s="4">
        <f t="shared" si="4"/>
        <v>0</v>
      </c>
      <c r="T16" s="4">
        <f t="shared" si="5"/>
        <v>0</v>
      </c>
      <c r="U16" s="4">
        <f t="shared" si="6"/>
        <v>6950000</v>
      </c>
      <c r="V16" s="4">
        <f>U16-W16-Y16-AB16</f>
        <v>4950000</v>
      </c>
      <c r="W16" s="4">
        <f>4700000-1000000-1700000</f>
        <v>2000000</v>
      </c>
      <c r="X16" s="511"/>
      <c r="Y16" s="511"/>
      <c r="Z16" s="509"/>
      <c r="AA16" s="509">
        <v>722000</v>
      </c>
      <c r="AB16" s="508"/>
      <c r="AC16" s="4"/>
      <c r="AD16" s="4"/>
      <c r="AE16" s="4"/>
      <c r="AF16" s="4"/>
      <c r="AG16" s="4"/>
      <c r="AH16" s="4"/>
      <c r="AI16" s="4">
        <v>6950000</v>
      </c>
      <c r="AJ16" s="4"/>
      <c r="AK16" s="4">
        <f t="shared" si="10"/>
        <v>6950000</v>
      </c>
      <c r="AL16" s="4"/>
      <c r="AM16" s="4">
        <f t="shared" si="11"/>
        <v>6950000</v>
      </c>
      <c r="AN16" s="4">
        <f t="shared" si="12"/>
        <v>0</v>
      </c>
      <c r="AO16" s="4">
        <v>4950000</v>
      </c>
      <c r="AP16" s="4">
        <f t="shared" si="13"/>
        <v>2000000</v>
      </c>
      <c r="AQ16" s="4"/>
      <c r="AR16" s="4"/>
      <c r="AS16" s="4"/>
      <c r="AT16" s="4"/>
      <c r="AU16" s="4">
        <f t="shared" si="14"/>
        <v>0</v>
      </c>
      <c r="AV16" s="4"/>
      <c r="AW16" s="4"/>
      <c r="AX16" s="4"/>
      <c r="AY16" s="4"/>
      <c r="AZ16" s="4">
        <f t="shared" si="15"/>
        <v>0</v>
      </c>
      <c r="BA16" s="4"/>
      <c r="BB16" s="4"/>
      <c r="BC16" s="4"/>
    </row>
    <row r="17" spans="1:55" s="514" customFormat="1" ht="15.5">
      <c r="A17" s="512">
        <f>A16</f>
        <v>8</v>
      </c>
      <c r="B17" s="512"/>
      <c r="C17" s="512" t="s">
        <v>1414</v>
      </c>
      <c r="D17" s="513">
        <f t="shared" ref="D17:BC17" si="16">SUM(D9:D16)</f>
        <v>43825000</v>
      </c>
      <c r="E17" s="513">
        <f t="shared" si="16"/>
        <v>30415000</v>
      </c>
      <c r="F17" s="513">
        <f t="shared" si="16"/>
        <v>13410000</v>
      </c>
      <c r="G17" s="513">
        <f t="shared" si="16"/>
        <v>11033000</v>
      </c>
      <c r="H17" s="513">
        <f t="shared" si="16"/>
        <v>8677485.5899999999</v>
      </c>
      <c r="I17" s="513">
        <f t="shared" si="16"/>
        <v>0</v>
      </c>
      <c r="J17" s="513">
        <f t="shared" si="16"/>
        <v>1419004.54</v>
      </c>
      <c r="K17" s="513">
        <f t="shared" si="16"/>
        <v>1419004.54</v>
      </c>
      <c r="L17" s="513">
        <f t="shared" si="16"/>
        <v>10096490.130000001</v>
      </c>
      <c r="M17" s="513">
        <f t="shared" si="16"/>
        <v>936509.87</v>
      </c>
      <c r="N17" s="513">
        <f t="shared" si="16"/>
        <v>9860000</v>
      </c>
      <c r="O17" s="513">
        <f t="shared" si="16"/>
        <v>22932000</v>
      </c>
      <c r="P17" s="513">
        <f t="shared" si="16"/>
        <v>936509.87</v>
      </c>
      <c r="Q17" s="513">
        <f t="shared" si="16"/>
        <v>0</v>
      </c>
      <c r="R17" s="513">
        <f t="shared" si="16"/>
        <v>0</v>
      </c>
      <c r="S17" s="513">
        <f t="shared" si="16"/>
        <v>0</v>
      </c>
      <c r="T17" s="513">
        <f t="shared" si="16"/>
        <v>0</v>
      </c>
      <c r="U17" s="513">
        <f t="shared" si="16"/>
        <v>9860000</v>
      </c>
      <c r="V17" s="513">
        <f t="shared" si="16"/>
        <v>7040000</v>
      </c>
      <c r="W17" s="513">
        <f t="shared" si="16"/>
        <v>2820000</v>
      </c>
      <c r="X17" s="513">
        <f t="shared" si="16"/>
        <v>0</v>
      </c>
      <c r="Y17" s="513">
        <f t="shared" si="16"/>
        <v>0</v>
      </c>
      <c r="Z17" s="513">
        <f t="shared" si="16"/>
        <v>0</v>
      </c>
      <c r="AA17" s="513">
        <f t="shared" si="16"/>
        <v>5908000</v>
      </c>
      <c r="AB17" s="513">
        <f t="shared" si="16"/>
        <v>0</v>
      </c>
      <c r="AC17" s="513">
        <f t="shared" ref="AC17:AI17" si="17">SUM(AC9:AC16)</f>
        <v>0</v>
      </c>
      <c r="AD17" s="513">
        <f t="shared" si="17"/>
        <v>270000</v>
      </c>
      <c r="AE17" s="513">
        <f t="shared" si="17"/>
        <v>0</v>
      </c>
      <c r="AF17" s="513">
        <f t="shared" si="17"/>
        <v>0</v>
      </c>
      <c r="AG17" s="513">
        <f t="shared" si="17"/>
        <v>0</v>
      </c>
      <c r="AH17" s="513">
        <f t="shared" si="17"/>
        <v>0</v>
      </c>
      <c r="AI17" s="513">
        <f t="shared" si="17"/>
        <v>8940000</v>
      </c>
      <c r="AJ17" s="513">
        <f t="shared" si="16"/>
        <v>0</v>
      </c>
      <c r="AK17" s="513">
        <f>SUM(AK9:AK16)</f>
        <v>9210000</v>
      </c>
      <c r="AL17" s="513">
        <f t="shared" si="16"/>
        <v>0</v>
      </c>
      <c r="AM17" s="513">
        <f t="shared" si="16"/>
        <v>9210000</v>
      </c>
      <c r="AN17" s="513">
        <f t="shared" si="16"/>
        <v>650000</v>
      </c>
      <c r="AO17" s="513">
        <f t="shared" si="16"/>
        <v>6940000</v>
      </c>
      <c r="AP17" s="513">
        <f t="shared" si="16"/>
        <v>2270000</v>
      </c>
      <c r="AQ17" s="513">
        <f t="shared" si="16"/>
        <v>0</v>
      </c>
      <c r="AR17" s="513">
        <f t="shared" si="16"/>
        <v>0</v>
      </c>
      <c r="AS17" s="513">
        <f t="shared" si="16"/>
        <v>0</v>
      </c>
      <c r="AT17" s="513">
        <f t="shared" si="16"/>
        <v>0</v>
      </c>
      <c r="AU17" s="513">
        <f t="shared" si="16"/>
        <v>0</v>
      </c>
      <c r="AV17" s="513">
        <f t="shared" si="16"/>
        <v>0</v>
      </c>
      <c r="AW17" s="513">
        <f t="shared" si="16"/>
        <v>0</v>
      </c>
      <c r="AX17" s="513">
        <f t="shared" si="16"/>
        <v>0</v>
      </c>
      <c r="AY17" s="513">
        <f t="shared" si="16"/>
        <v>100000</v>
      </c>
      <c r="AZ17" s="513">
        <f t="shared" si="16"/>
        <v>550000</v>
      </c>
      <c r="BA17" s="513">
        <f t="shared" si="16"/>
        <v>0</v>
      </c>
      <c r="BB17" s="513">
        <f t="shared" si="16"/>
        <v>0</v>
      </c>
      <c r="BC17" s="513">
        <f t="shared" si="16"/>
        <v>0</v>
      </c>
    </row>
    <row r="18" spans="1:55">
      <c r="AB18" s="503"/>
    </row>
    <row r="19" spans="1:55">
      <c r="AB19" s="503"/>
    </row>
    <row r="22" spans="1:55">
      <c r="O22" s="517"/>
    </row>
    <row r="24" spans="1:55">
      <c r="A24" s="503"/>
      <c r="B24" s="503"/>
      <c r="C24" s="503"/>
      <c r="D24" s="503"/>
      <c r="E24" s="503"/>
      <c r="F24" s="503"/>
      <c r="G24" s="503"/>
      <c r="H24" s="503"/>
      <c r="I24" s="503"/>
      <c r="J24" s="503"/>
      <c r="K24" s="503"/>
      <c r="L24" s="503"/>
      <c r="M24" s="503"/>
      <c r="N24" s="503"/>
      <c r="R24" s="503"/>
      <c r="S24" s="503"/>
      <c r="T24" s="503"/>
      <c r="U24" s="503"/>
      <c r="V24" s="503"/>
      <c r="W24" s="503"/>
      <c r="X24" s="503"/>
      <c r="Y24" s="503"/>
      <c r="Z24" s="503"/>
      <c r="AA24" s="503"/>
      <c r="AB24" s="503"/>
    </row>
    <row r="25" spans="1:55">
      <c r="A25" s="503"/>
      <c r="B25" s="503"/>
      <c r="C25" s="503"/>
      <c r="D25" s="503"/>
      <c r="E25" s="503"/>
      <c r="F25" s="503"/>
      <c r="G25" s="503"/>
      <c r="H25" s="503"/>
      <c r="I25" s="503"/>
      <c r="J25" s="503"/>
      <c r="K25" s="503"/>
      <c r="L25" s="503"/>
      <c r="M25" s="503"/>
      <c r="N25" s="503"/>
      <c r="O25" s="503"/>
      <c r="P25" s="503"/>
      <c r="R25" s="503"/>
      <c r="S25" s="503"/>
      <c r="T25" s="503"/>
      <c r="U25" s="503"/>
      <c r="V25" s="503"/>
      <c r="W25" s="503"/>
      <c r="X25" s="503"/>
      <c r="Y25" s="503"/>
      <c r="Z25" s="503"/>
      <c r="AA25" s="503"/>
      <c r="AB25" s="503"/>
    </row>
    <row r="26" spans="1:55">
      <c r="A26" s="503"/>
      <c r="B26" s="503"/>
      <c r="C26" s="503"/>
      <c r="D26" s="503"/>
      <c r="E26" s="503"/>
      <c r="F26" s="503"/>
      <c r="G26" s="503"/>
      <c r="H26" s="503"/>
      <c r="I26" s="503"/>
      <c r="J26" s="503"/>
      <c r="K26" s="503"/>
      <c r="L26" s="503"/>
      <c r="M26" s="503"/>
      <c r="N26" s="503"/>
      <c r="O26" s="503"/>
      <c r="P26" s="503"/>
      <c r="Q26" s="503"/>
      <c r="R26" s="503"/>
      <c r="S26" s="503"/>
      <c r="T26" s="503"/>
      <c r="U26" s="503"/>
      <c r="V26" s="503"/>
      <c r="W26" s="503"/>
      <c r="X26" s="503"/>
      <c r="Y26" s="503"/>
      <c r="Z26" s="503"/>
      <c r="AA26" s="503"/>
      <c r="AB26" s="503"/>
    </row>
  </sheetData>
  <mergeCells count="2">
    <mergeCell ref="AB6:AK6"/>
    <mergeCell ref="U6:Z6"/>
  </mergeCells>
  <conditionalFormatting sqref="F12">
    <cfRule type="cellIs" dxfId="95" priority="44" operator="equal">
      <formula>0</formula>
    </cfRule>
  </conditionalFormatting>
  <conditionalFormatting sqref="A25:W1048576 Q23:W24 A23:O24 A3:Z3 AB3 A9:W10 X20:AB1048576 X9:AA16 AK4:AQ5 X17:AB17 AJ20:AQ1048576 AJ3:AQ3 A12:W12 A11 D11:W11 A14:W14 A13 D13:W13 BD3:XFD7 AK6:AL6 AP6:AQ6 AJ17:BC17 A15 D15:W15 A7:Z7 B4:Z5 A6:T6 AN6 BD9:XFD17 AR18:XFD1048576 A16:W22 X18:AQ19">
    <cfRule type="cellIs" dxfId="94" priority="43" operator="equal">
      <formula>0</formula>
    </cfRule>
  </conditionalFormatting>
  <conditionalFormatting sqref="AA3:AA7">
    <cfRule type="cellIs" dxfId="93" priority="42" operator="equal">
      <formula>0</formula>
    </cfRule>
  </conditionalFormatting>
  <conditionalFormatting sqref="AB4:AB16 AJ4:AJ6 AJ8">
    <cfRule type="cellIs" dxfId="92" priority="41" operator="equal">
      <formula>0</formula>
    </cfRule>
  </conditionalFormatting>
  <conditionalFormatting sqref="AJ13:AL16 AK9:AQ9 AK10:AL12 AM10:AQ16">
    <cfRule type="cellIs" dxfId="91" priority="40" operator="equal">
      <formula>0</formula>
    </cfRule>
  </conditionalFormatting>
  <conditionalFormatting sqref="AC17 AC20:AC1048576 AC3">
    <cfRule type="cellIs" dxfId="90" priority="39" operator="equal">
      <formula>0</formula>
    </cfRule>
  </conditionalFormatting>
  <conditionalFormatting sqref="AC4:AC8">
    <cfRule type="cellIs" dxfId="89" priority="38" operator="equal">
      <formula>0</formula>
    </cfRule>
  </conditionalFormatting>
  <conditionalFormatting sqref="AC9:AC16">
    <cfRule type="cellIs" dxfId="88" priority="37" operator="equal">
      <formula>0</formula>
    </cfRule>
  </conditionalFormatting>
  <conditionalFormatting sqref="AJ9:AJ12">
    <cfRule type="cellIs" dxfId="87" priority="36" operator="equal">
      <formula>0</formula>
    </cfRule>
  </conditionalFormatting>
  <conditionalFormatting sqref="AD17 AD20:AD1048576 AD3">
    <cfRule type="cellIs" dxfId="86" priority="35" operator="equal">
      <formula>0</formula>
    </cfRule>
  </conditionalFormatting>
  <conditionalFormatting sqref="AD4:AD6 AD8">
    <cfRule type="cellIs" dxfId="85" priority="34" operator="equal">
      <formula>0</formula>
    </cfRule>
  </conditionalFormatting>
  <conditionalFormatting sqref="AD13:AD16">
    <cfRule type="cellIs" dxfId="84" priority="33" operator="equal">
      <formula>0</formula>
    </cfRule>
  </conditionalFormatting>
  <conditionalFormatting sqref="AD7">
    <cfRule type="cellIs" dxfId="83" priority="32" operator="equal">
      <formula>0</formula>
    </cfRule>
  </conditionalFormatting>
  <conditionalFormatting sqref="AD9:AD12">
    <cfRule type="cellIs" dxfId="82" priority="31" operator="equal">
      <formula>0</formula>
    </cfRule>
  </conditionalFormatting>
  <conditionalFormatting sqref="AE17 AE20:AE1048576 AE3">
    <cfRule type="cellIs" dxfId="81" priority="30" operator="equal">
      <formula>0</formula>
    </cfRule>
  </conditionalFormatting>
  <conditionalFormatting sqref="AE4:AE6 AE8">
    <cfRule type="cellIs" dxfId="80" priority="29" operator="equal">
      <formula>0</formula>
    </cfRule>
  </conditionalFormatting>
  <conditionalFormatting sqref="AE13:AE16">
    <cfRule type="cellIs" dxfId="79" priority="28" operator="equal">
      <formula>0</formula>
    </cfRule>
  </conditionalFormatting>
  <conditionalFormatting sqref="AE7">
    <cfRule type="cellIs" dxfId="78" priority="27" operator="equal">
      <formula>0</formula>
    </cfRule>
  </conditionalFormatting>
  <conditionalFormatting sqref="AE9:AE12">
    <cfRule type="cellIs" dxfId="77" priority="26" operator="equal">
      <formula>0</formula>
    </cfRule>
  </conditionalFormatting>
  <conditionalFormatting sqref="AF17 AF20:AF1048576 AF3">
    <cfRule type="cellIs" dxfId="76" priority="25" operator="equal">
      <formula>0</formula>
    </cfRule>
  </conditionalFormatting>
  <conditionalFormatting sqref="AF4:AF6 AF8">
    <cfRule type="cellIs" dxfId="75" priority="24" operator="equal">
      <formula>0</formula>
    </cfRule>
  </conditionalFormatting>
  <conditionalFormatting sqref="AF13:AF16">
    <cfRule type="cellIs" dxfId="74" priority="23" operator="equal">
      <formula>0</formula>
    </cfRule>
  </conditionalFormatting>
  <conditionalFormatting sqref="AF7">
    <cfRule type="cellIs" dxfId="73" priority="22" operator="equal">
      <formula>0</formula>
    </cfRule>
  </conditionalFormatting>
  <conditionalFormatting sqref="AF9:AF12">
    <cfRule type="cellIs" dxfId="72" priority="21" operator="equal">
      <formula>0</formula>
    </cfRule>
  </conditionalFormatting>
  <conditionalFormatting sqref="AG17 AG20:AG1048576 AG3">
    <cfRule type="cellIs" dxfId="71" priority="20" operator="equal">
      <formula>0</formula>
    </cfRule>
  </conditionalFormatting>
  <conditionalFormatting sqref="AG4:AG6 AG8">
    <cfRule type="cellIs" dxfId="70" priority="19" operator="equal">
      <formula>0</formula>
    </cfRule>
  </conditionalFormatting>
  <conditionalFormatting sqref="AG13:AG16">
    <cfRule type="cellIs" dxfId="69" priority="18" operator="equal">
      <formula>0</formula>
    </cfRule>
  </conditionalFormatting>
  <conditionalFormatting sqref="AG7">
    <cfRule type="cellIs" dxfId="68" priority="17" operator="equal">
      <formula>0</formula>
    </cfRule>
  </conditionalFormatting>
  <conditionalFormatting sqref="AG9:AG12">
    <cfRule type="cellIs" dxfId="67" priority="16" operator="equal">
      <formula>0</formula>
    </cfRule>
  </conditionalFormatting>
  <conditionalFormatting sqref="AH17 AH20:AH1048576 AH3">
    <cfRule type="cellIs" dxfId="66" priority="15" operator="equal">
      <formula>0</formula>
    </cfRule>
  </conditionalFormatting>
  <conditionalFormatting sqref="AH4:AH6 AH8">
    <cfRule type="cellIs" dxfId="65" priority="14" operator="equal">
      <formula>0</formula>
    </cfRule>
  </conditionalFormatting>
  <conditionalFormatting sqref="AH13:AH16">
    <cfRule type="cellIs" dxfId="64" priority="13" operator="equal">
      <formula>0</formula>
    </cfRule>
  </conditionalFormatting>
  <conditionalFormatting sqref="AH7">
    <cfRule type="cellIs" dxfId="63" priority="12" operator="equal">
      <formula>0</formula>
    </cfRule>
  </conditionalFormatting>
  <conditionalFormatting sqref="AH9:AH12">
    <cfRule type="cellIs" dxfId="62" priority="11" operator="equal">
      <formula>0</formula>
    </cfRule>
  </conditionalFormatting>
  <conditionalFormatting sqref="AI17 AI20:AI1048576 AI3">
    <cfRule type="cellIs" dxfId="61" priority="10" operator="equal">
      <formula>0</formula>
    </cfRule>
  </conditionalFormatting>
  <conditionalFormatting sqref="AI4:AI6 AI8">
    <cfRule type="cellIs" dxfId="60" priority="9" operator="equal">
      <formula>0</formula>
    </cfRule>
  </conditionalFormatting>
  <conditionalFormatting sqref="AI13:AI16">
    <cfRule type="cellIs" dxfId="59" priority="8" operator="equal">
      <formula>0</formula>
    </cfRule>
  </conditionalFormatting>
  <conditionalFormatting sqref="AI9:AI12">
    <cfRule type="cellIs" dxfId="58" priority="7" operator="equal">
      <formula>0</formula>
    </cfRule>
  </conditionalFormatting>
  <conditionalFormatting sqref="AI7">
    <cfRule type="cellIs" dxfId="57" priority="6" operator="equal">
      <formula>0</formula>
    </cfRule>
  </conditionalFormatting>
  <conditionalFormatting sqref="AJ7">
    <cfRule type="cellIs" dxfId="56" priority="5" operator="equal">
      <formula>0</formula>
    </cfRule>
  </conditionalFormatting>
  <conditionalFormatting sqref="AR3:AW5 AR6:AS6 AU6:AW6">
    <cfRule type="cellIs" dxfId="55" priority="4" operator="equal">
      <formula>0</formula>
    </cfRule>
  </conditionalFormatting>
  <conditionalFormatting sqref="AR9:AW16">
    <cfRule type="cellIs" dxfId="54" priority="3" operator="equal">
      <formula>0</formula>
    </cfRule>
  </conditionalFormatting>
  <conditionalFormatting sqref="AX3:BC5 AY7:BC7 AX6 AZ6:BC6">
    <cfRule type="cellIs" dxfId="53" priority="2" operator="equal">
      <formula>0</formula>
    </cfRule>
  </conditionalFormatting>
  <conditionalFormatting sqref="AX9:BC16">
    <cfRule type="cellIs" dxfId="52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4:BC26"/>
  <sheetViews>
    <sheetView showZeros="0" rightToLeft="1" zoomScaleNormal="100" workbookViewId="0">
      <pane xSplit="3" ySplit="7" topLeftCell="G8" activePane="bottomRight" state="frozen"/>
      <selection activeCell="U36" sqref="U36"/>
      <selection pane="topRight" activeCell="U36" sqref="U36"/>
      <selection pane="bottomLeft" activeCell="U36" sqref="U36"/>
      <selection pane="bottomRight" activeCell="T20" sqref="T20"/>
    </sheetView>
  </sheetViews>
  <sheetFormatPr defaultColWidth="9.1796875" defaultRowHeight="14"/>
  <cols>
    <col min="1" max="1" width="5.26953125" style="145" customWidth="1"/>
    <col min="2" max="2" width="6.7265625" style="135" customWidth="1"/>
    <col min="3" max="3" width="36.81640625" style="135" customWidth="1"/>
    <col min="4" max="4" width="12.7265625" style="144" hidden="1" customWidth="1"/>
    <col min="5" max="5" width="11.453125" style="144" hidden="1" customWidth="1"/>
    <col min="6" max="6" width="9.81640625" style="144" hidden="1" customWidth="1"/>
    <col min="7" max="10" width="12.7265625" style="144" hidden="1" customWidth="1"/>
    <col min="11" max="11" width="11.26953125" style="144" hidden="1" customWidth="1"/>
    <col min="12" max="12" width="11" style="144" hidden="1" customWidth="1"/>
    <col min="13" max="17" width="11.1796875" style="144" hidden="1" customWidth="1"/>
    <col min="18" max="19" width="12" style="144" hidden="1" customWidth="1"/>
    <col min="20" max="20" width="10.26953125" style="144" customWidth="1"/>
    <col min="21" max="22" width="9.26953125" style="135" customWidth="1"/>
    <col min="23" max="26" width="7.7265625" style="135" customWidth="1"/>
    <col min="27" max="27" width="7.81640625" style="135" hidden="1" customWidth="1"/>
    <col min="28" max="38" width="9.1796875" style="135" hidden="1" customWidth="1"/>
    <col min="39" max="39" width="11.7265625" style="135" customWidth="1"/>
    <col min="40" max="41" width="9.26953125" style="135" customWidth="1"/>
    <col min="42" max="45" width="7.7265625" style="135" customWidth="1"/>
    <col min="46" max="55" width="9.1796875" style="135" hidden="1" customWidth="1"/>
    <col min="56" max="16384" width="9.1796875" style="135"/>
  </cols>
  <sheetData>
    <row r="4" spans="1:55" ht="18">
      <c r="A4" s="122" t="s">
        <v>1417</v>
      </c>
      <c r="B4" s="320"/>
      <c r="C4" s="320"/>
      <c r="D4" s="320"/>
      <c r="E4" s="320"/>
      <c r="F4" s="320"/>
      <c r="G4" s="320"/>
      <c r="H4" s="320"/>
      <c r="I4" s="320"/>
      <c r="J4" s="320"/>
      <c r="K4" s="320"/>
      <c r="L4" s="320"/>
      <c r="M4" s="320"/>
      <c r="N4" s="320"/>
      <c r="O4" s="320"/>
      <c r="P4" s="320"/>
      <c r="Q4" s="320"/>
      <c r="R4" s="320"/>
      <c r="S4" s="320"/>
      <c r="T4" s="320"/>
      <c r="U4" s="320"/>
      <c r="V4" s="320"/>
      <c r="W4" s="320"/>
      <c r="X4" s="320"/>
      <c r="Y4" s="320"/>
    </row>
    <row r="5" spans="1:55" ht="18">
      <c r="B5" s="320"/>
      <c r="C5" s="320"/>
      <c r="D5" s="320"/>
      <c r="E5" s="320"/>
      <c r="F5" s="320"/>
      <c r="G5" s="320"/>
      <c r="H5" s="320"/>
      <c r="I5" s="320"/>
      <c r="J5" s="320"/>
      <c r="K5" s="320"/>
      <c r="L5" s="320"/>
      <c r="M5" s="320"/>
      <c r="N5" s="320"/>
      <c r="O5" s="320"/>
      <c r="P5" s="320"/>
      <c r="Q5" s="320"/>
      <c r="R5" s="320"/>
      <c r="S5" s="320"/>
      <c r="T5" s="320"/>
      <c r="U5" s="320"/>
      <c r="V5" s="320"/>
      <c r="W5" s="320"/>
      <c r="X5" s="320"/>
      <c r="Y5" s="320"/>
    </row>
    <row r="6" spans="1:55">
      <c r="A6" s="530"/>
      <c r="B6" s="531"/>
      <c r="C6" s="531"/>
      <c r="D6" s="531"/>
      <c r="E6" s="531"/>
      <c r="F6" s="531"/>
      <c r="G6" s="531"/>
      <c r="H6" s="531"/>
      <c r="I6" s="531"/>
      <c r="J6" s="531"/>
      <c r="K6" s="531"/>
      <c r="L6" s="531"/>
      <c r="M6" s="531"/>
      <c r="N6" s="531"/>
      <c r="O6" s="531"/>
      <c r="P6" s="531"/>
      <c r="Q6" s="531"/>
      <c r="R6" s="531"/>
      <c r="S6" s="531"/>
      <c r="T6" s="531"/>
      <c r="U6" s="738" t="s">
        <v>146</v>
      </c>
      <c r="V6" s="739"/>
      <c r="W6" s="739"/>
      <c r="X6" s="739"/>
      <c r="Y6" s="739"/>
      <c r="Z6" s="740"/>
      <c r="AB6" s="735" t="s">
        <v>489</v>
      </c>
      <c r="AC6" s="736"/>
      <c r="AD6" s="736"/>
      <c r="AE6" s="736"/>
      <c r="AF6" s="736"/>
      <c r="AG6" s="736"/>
      <c r="AH6" s="736"/>
      <c r="AI6" s="736"/>
      <c r="AJ6" s="736"/>
      <c r="AK6" s="737"/>
      <c r="AL6" s="110"/>
      <c r="AM6" s="675" t="s">
        <v>489</v>
      </c>
      <c r="AN6" s="496"/>
      <c r="AO6" s="735" t="s">
        <v>834</v>
      </c>
      <c r="AP6" s="736"/>
      <c r="AQ6" s="736"/>
      <c r="AR6" s="736"/>
      <c r="AS6" s="737"/>
      <c r="AT6" s="495" t="s">
        <v>835</v>
      </c>
      <c r="AU6" s="496"/>
      <c r="AV6" s="496"/>
      <c r="AW6" s="497"/>
      <c r="AX6" s="110"/>
      <c r="AY6" s="495" t="s">
        <v>836</v>
      </c>
      <c r="AZ6" s="496"/>
      <c r="BA6" s="496"/>
      <c r="BB6" s="496"/>
      <c r="BC6" s="497"/>
    </row>
    <row r="7" spans="1:55" s="136" customFormat="1" ht="86.25" customHeight="1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8" t="s">
        <v>5</v>
      </c>
      <c r="G7" s="8" t="s">
        <v>6</v>
      </c>
      <c r="H7" s="8" t="s">
        <v>7</v>
      </c>
      <c r="I7" s="8" t="s">
        <v>9</v>
      </c>
      <c r="J7" s="8" t="s">
        <v>318</v>
      </c>
      <c r="K7" s="8" t="s">
        <v>10</v>
      </c>
      <c r="L7" s="8" t="s">
        <v>11</v>
      </c>
      <c r="M7" s="2" t="s">
        <v>309</v>
      </c>
      <c r="N7" s="8" t="s">
        <v>310</v>
      </c>
      <c r="O7" s="8" t="s">
        <v>311</v>
      </c>
      <c r="P7" s="8" t="s">
        <v>12</v>
      </c>
      <c r="Q7" s="8" t="s">
        <v>312</v>
      </c>
      <c r="R7" s="8" t="s">
        <v>313</v>
      </c>
      <c r="S7" s="8" t="s">
        <v>314</v>
      </c>
      <c r="T7" s="8" t="s">
        <v>315</v>
      </c>
      <c r="U7" s="8" t="s">
        <v>316</v>
      </c>
      <c r="V7" s="8" t="s">
        <v>13</v>
      </c>
      <c r="W7" s="8" t="s">
        <v>14</v>
      </c>
      <c r="X7" s="8" t="s">
        <v>15</v>
      </c>
      <c r="Y7" s="8" t="s">
        <v>523</v>
      </c>
      <c r="Z7" s="8" t="s">
        <v>140</v>
      </c>
      <c r="AA7" s="8" t="s">
        <v>16</v>
      </c>
      <c r="AB7" s="107" t="s">
        <v>490</v>
      </c>
      <c r="AC7" s="107" t="s">
        <v>491</v>
      </c>
      <c r="AD7" s="107" t="s">
        <v>492</v>
      </c>
      <c r="AE7" s="107" t="s">
        <v>493</v>
      </c>
      <c r="AF7" s="107" t="s">
        <v>494</v>
      </c>
      <c r="AG7" s="107" t="s">
        <v>495</v>
      </c>
      <c r="AH7" s="107" t="s">
        <v>496</v>
      </c>
      <c r="AI7" s="107" t="s">
        <v>497</v>
      </c>
      <c r="AJ7" s="107" t="s">
        <v>498</v>
      </c>
      <c r="AK7" s="498" t="s">
        <v>837</v>
      </c>
      <c r="AL7" s="498" t="s">
        <v>838</v>
      </c>
      <c r="AM7" s="498" t="s">
        <v>839</v>
      </c>
      <c r="AN7" s="498" t="s">
        <v>840</v>
      </c>
      <c r="AO7" s="498" t="s">
        <v>13</v>
      </c>
      <c r="AP7" s="498" t="s">
        <v>14</v>
      </c>
      <c r="AQ7" s="498" t="s">
        <v>15</v>
      </c>
      <c r="AR7" s="498" t="s">
        <v>523</v>
      </c>
      <c r="AS7" s="498" t="s">
        <v>140</v>
      </c>
      <c r="AT7" s="498" t="s">
        <v>13</v>
      </c>
      <c r="AU7" s="498" t="s">
        <v>14</v>
      </c>
      <c r="AV7" s="498" t="s">
        <v>15</v>
      </c>
      <c r="AW7" s="498" t="s">
        <v>523</v>
      </c>
      <c r="AX7" s="498" t="s">
        <v>140</v>
      </c>
      <c r="AY7" s="107" t="s">
        <v>13</v>
      </c>
      <c r="AZ7" s="107" t="s">
        <v>14</v>
      </c>
      <c r="BA7" s="107" t="s">
        <v>15</v>
      </c>
      <c r="BB7" s="107" t="s">
        <v>523</v>
      </c>
      <c r="BC7" s="107" t="s">
        <v>140</v>
      </c>
    </row>
    <row r="8" spans="1:55" s="139" customFormat="1">
      <c r="A8" s="137"/>
      <c r="B8" s="137"/>
      <c r="C8" s="137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>
        <f t="shared" ref="O8:O25" si="0">D8-L8-M8-N8</f>
        <v>0</v>
      </c>
      <c r="P8" s="138"/>
      <c r="Q8" s="138"/>
      <c r="R8" s="138"/>
      <c r="S8" s="138"/>
      <c r="T8" s="138">
        <f>P8-M8+R8</f>
        <v>0</v>
      </c>
      <c r="U8" s="138">
        <f t="shared" ref="U8:U25" si="1">N8-T8</f>
        <v>0</v>
      </c>
      <c r="V8" s="138"/>
      <c r="W8" s="138"/>
      <c r="X8" s="138"/>
      <c r="Y8" s="138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R8" s="137"/>
      <c r="AS8" s="137"/>
      <c r="AT8" s="137"/>
      <c r="AU8" s="137"/>
      <c r="AV8" s="137"/>
      <c r="AW8" s="137"/>
      <c r="AX8" s="137"/>
      <c r="AY8" s="137"/>
      <c r="AZ8" s="137"/>
      <c r="BA8" s="137"/>
      <c r="BB8" s="137"/>
      <c r="BC8" s="137"/>
    </row>
    <row r="9" spans="1:55" s="139" customFormat="1">
      <c r="A9" s="137">
        <f>1+A8</f>
        <v>1</v>
      </c>
      <c r="B9" s="137">
        <v>470</v>
      </c>
      <c r="C9" s="137" t="s">
        <v>110</v>
      </c>
      <c r="D9" s="138">
        <f>1680000+150000</f>
        <v>1830000</v>
      </c>
      <c r="E9" s="138">
        <v>1680000</v>
      </c>
      <c r="F9" s="138">
        <f t="shared" ref="F9:F23" si="2">D9-E9</f>
        <v>150000</v>
      </c>
      <c r="G9" s="138">
        <v>1580000</v>
      </c>
      <c r="H9" s="138">
        <v>1548809.43</v>
      </c>
      <c r="I9" s="138"/>
      <c r="J9" s="138">
        <v>19012.5</v>
      </c>
      <c r="K9" s="138">
        <f>SUM(I9:J9)</f>
        <v>19012.5</v>
      </c>
      <c r="L9" s="138">
        <f t="shared" ref="L9:L25" si="3">H9+K9</f>
        <v>1567821.93</v>
      </c>
      <c r="M9" s="138">
        <f t="shared" ref="M9:M25" si="4">P9+S9</f>
        <v>12178.070000000065</v>
      </c>
      <c r="N9" s="138">
        <v>250000</v>
      </c>
      <c r="O9" s="138">
        <f t="shared" si="0"/>
        <v>0</v>
      </c>
      <c r="P9" s="138">
        <f t="shared" ref="P9:P25" si="5">G9-L9</f>
        <v>12178.070000000065</v>
      </c>
      <c r="Q9" s="138"/>
      <c r="R9" s="138"/>
      <c r="S9" s="138">
        <f>SUM(Q9:R9)</f>
        <v>0</v>
      </c>
      <c r="T9" s="138">
        <f t="shared" ref="T9:T25" si="6">P9-M9+S9</f>
        <v>0</v>
      </c>
      <c r="U9" s="138">
        <f t="shared" si="1"/>
        <v>250000</v>
      </c>
      <c r="V9" s="138">
        <f t="shared" ref="V9:V25" si="7">U9-W9-Y9-Z9</f>
        <v>250000</v>
      </c>
      <c r="W9" s="138"/>
      <c r="X9" s="138"/>
      <c r="Y9" s="138"/>
      <c r="Z9" s="137"/>
      <c r="AA9" s="137">
        <v>935000</v>
      </c>
      <c r="AB9" s="137"/>
      <c r="AC9" s="137"/>
      <c r="AD9" s="137"/>
      <c r="AE9" s="137"/>
      <c r="AF9" s="137"/>
      <c r="AG9" s="137"/>
      <c r="AH9" s="138">
        <v>50000</v>
      </c>
      <c r="AI9" s="137"/>
      <c r="AJ9" s="137"/>
      <c r="AK9" s="138">
        <f>SUM(AB9:AJ9)</f>
        <v>50000</v>
      </c>
      <c r="AL9" s="138"/>
      <c r="AM9" s="138">
        <f>AL9+AK9</f>
        <v>50000</v>
      </c>
      <c r="AN9" s="138">
        <f>U9-AM9</f>
        <v>200000</v>
      </c>
      <c r="AO9" s="138">
        <f>AM9</f>
        <v>50000</v>
      </c>
      <c r="AP9" s="137"/>
      <c r="AQ9" s="137"/>
      <c r="AR9" s="138"/>
      <c r="AS9" s="137"/>
      <c r="AT9" s="138">
        <f>AL9</f>
        <v>0</v>
      </c>
      <c r="AU9" s="137"/>
      <c r="AV9" s="137"/>
      <c r="AW9" s="137"/>
      <c r="AX9" s="138"/>
      <c r="AY9" s="138">
        <f>AN9</f>
        <v>200000</v>
      </c>
      <c r="AZ9" s="137"/>
      <c r="BA9" s="137"/>
      <c r="BB9" s="137"/>
      <c r="BC9" s="137"/>
    </row>
    <row r="10" spans="1:55" s="139" customFormat="1">
      <c r="A10" s="137">
        <f t="shared" ref="A10:A25" si="8">1+A9</f>
        <v>2</v>
      </c>
      <c r="B10" s="137">
        <v>649</v>
      </c>
      <c r="C10" s="137" t="s">
        <v>111</v>
      </c>
      <c r="D10" s="138">
        <v>70000</v>
      </c>
      <c r="E10" s="138">
        <v>70000</v>
      </c>
      <c r="F10" s="138">
        <f t="shared" si="2"/>
        <v>0</v>
      </c>
      <c r="G10" s="138">
        <v>70000</v>
      </c>
      <c r="H10" s="138">
        <v>43111.48</v>
      </c>
      <c r="I10" s="138"/>
      <c r="J10" s="138"/>
      <c r="K10" s="138">
        <f t="shared" ref="K10:K25" si="9">SUM(I10:J10)</f>
        <v>0</v>
      </c>
      <c r="L10" s="138">
        <f t="shared" si="3"/>
        <v>43111.48</v>
      </c>
      <c r="M10" s="138">
        <f t="shared" si="4"/>
        <v>26888.519999999997</v>
      </c>
      <c r="N10" s="138"/>
      <c r="O10" s="138">
        <f t="shared" si="0"/>
        <v>0</v>
      </c>
      <c r="P10" s="138">
        <f t="shared" si="5"/>
        <v>26888.519999999997</v>
      </c>
      <c r="Q10" s="138"/>
      <c r="R10" s="138"/>
      <c r="S10" s="138">
        <f t="shared" ref="S10:S25" si="10">SUM(Q10:R10)</f>
        <v>0</v>
      </c>
      <c r="T10" s="138">
        <f t="shared" si="6"/>
        <v>0</v>
      </c>
      <c r="U10" s="138">
        <f t="shared" si="1"/>
        <v>0</v>
      </c>
      <c r="V10" s="138">
        <f t="shared" si="7"/>
        <v>0</v>
      </c>
      <c r="W10" s="138"/>
      <c r="X10" s="138"/>
      <c r="Y10" s="138"/>
      <c r="Z10" s="137"/>
      <c r="AA10" s="137">
        <v>930000</v>
      </c>
      <c r="AB10" s="137"/>
      <c r="AC10" s="137"/>
      <c r="AD10" s="137"/>
      <c r="AE10" s="137"/>
      <c r="AF10" s="137"/>
      <c r="AG10" s="137"/>
      <c r="AH10" s="137"/>
      <c r="AI10" s="137"/>
      <c r="AJ10" s="137"/>
      <c r="AK10" s="137">
        <f t="shared" ref="AK10:AK25" si="11">SUM(AB10:AJ10)</f>
        <v>0</v>
      </c>
      <c r="AL10" s="138"/>
      <c r="AM10" s="138">
        <f t="shared" ref="AM10:AM25" si="12">AL10+AK10</f>
        <v>0</v>
      </c>
      <c r="AN10" s="138">
        <f t="shared" ref="AN10:AN25" si="13">U10-AM10</f>
        <v>0</v>
      </c>
      <c r="AO10" s="138">
        <f t="shared" ref="AO10:AO25" si="14">AM10</f>
        <v>0</v>
      </c>
      <c r="AP10" s="137"/>
      <c r="AQ10" s="137"/>
      <c r="AR10" s="138"/>
      <c r="AS10" s="137"/>
      <c r="AT10" s="138">
        <f t="shared" ref="AT10:AT25" si="15">AL10</f>
        <v>0</v>
      </c>
      <c r="AU10" s="137"/>
      <c r="AV10" s="137"/>
      <c r="AW10" s="137"/>
      <c r="AX10" s="138"/>
      <c r="AY10" s="138">
        <f t="shared" ref="AY10:AY25" si="16">AN10</f>
        <v>0</v>
      </c>
      <c r="AZ10" s="137"/>
      <c r="BA10" s="137"/>
      <c r="BB10" s="137"/>
      <c r="BC10" s="137"/>
    </row>
    <row r="11" spans="1:55" s="139" customFormat="1">
      <c r="A11" s="137">
        <f t="shared" si="8"/>
        <v>3</v>
      </c>
      <c r="B11" s="137">
        <v>1066</v>
      </c>
      <c r="C11" s="137" t="s">
        <v>112</v>
      </c>
      <c r="D11" s="138">
        <v>75000</v>
      </c>
      <c r="E11" s="138">
        <v>75000</v>
      </c>
      <c r="F11" s="138">
        <f t="shared" si="2"/>
        <v>0</v>
      </c>
      <c r="G11" s="138">
        <v>75000</v>
      </c>
      <c r="H11" s="138">
        <v>40172</v>
      </c>
      <c r="I11" s="138"/>
      <c r="J11" s="138"/>
      <c r="K11" s="138">
        <f t="shared" si="9"/>
        <v>0</v>
      </c>
      <c r="L11" s="138">
        <f t="shared" si="3"/>
        <v>40172</v>
      </c>
      <c r="M11" s="138">
        <f t="shared" si="4"/>
        <v>34828</v>
      </c>
      <c r="N11" s="138"/>
      <c r="O11" s="138">
        <f t="shared" si="0"/>
        <v>0</v>
      </c>
      <c r="P11" s="138">
        <f t="shared" si="5"/>
        <v>34828</v>
      </c>
      <c r="Q11" s="138"/>
      <c r="R11" s="138"/>
      <c r="S11" s="138">
        <f t="shared" si="10"/>
        <v>0</v>
      </c>
      <c r="T11" s="138">
        <f t="shared" si="6"/>
        <v>0</v>
      </c>
      <c r="U11" s="138">
        <f t="shared" si="1"/>
        <v>0</v>
      </c>
      <c r="V11" s="138">
        <f t="shared" si="7"/>
        <v>0</v>
      </c>
      <c r="W11" s="138"/>
      <c r="X11" s="138"/>
      <c r="Y11" s="138"/>
      <c r="Z11" s="137"/>
      <c r="AA11" s="137">
        <v>935000</v>
      </c>
      <c r="AB11" s="137"/>
      <c r="AC11" s="137"/>
      <c r="AD11" s="137"/>
      <c r="AE11" s="137"/>
      <c r="AF11" s="137"/>
      <c r="AG11" s="137"/>
      <c r="AH11" s="137"/>
      <c r="AI11" s="137"/>
      <c r="AJ11" s="137"/>
      <c r="AK11" s="137">
        <f t="shared" si="11"/>
        <v>0</v>
      </c>
      <c r="AL11" s="138"/>
      <c r="AM11" s="138">
        <f t="shared" si="12"/>
        <v>0</v>
      </c>
      <c r="AN11" s="138">
        <f t="shared" si="13"/>
        <v>0</v>
      </c>
      <c r="AO11" s="138">
        <f t="shared" si="14"/>
        <v>0</v>
      </c>
      <c r="AP11" s="137"/>
      <c r="AQ11" s="137"/>
      <c r="AR11" s="138"/>
      <c r="AS11" s="137"/>
      <c r="AT11" s="138">
        <f t="shared" si="15"/>
        <v>0</v>
      </c>
      <c r="AU11" s="137"/>
      <c r="AV11" s="137"/>
      <c r="AW11" s="137"/>
      <c r="AX11" s="138"/>
      <c r="AY11" s="138">
        <f t="shared" si="16"/>
        <v>0</v>
      </c>
      <c r="AZ11" s="137"/>
      <c r="BA11" s="137"/>
      <c r="BB11" s="137"/>
      <c r="BC11" s="137"/>
    </row>
    <row r="12" spans="1:55" s="139" customFormat="1">
      <c r="A12" s="137">
        <f t="shared" si="8"/>
        <v>4</v>
      </c>
      <c r="B12" s="137">
        <v>1177</v>
      </c>
      <c r="C12" s="137" t="s">
        <v>113</v>
      </c>
      <c r="D12" s="138">
        <v>41850000</v>
      </c>
      <c r="E12" s="138">
        <v>41850000</v>
      </c>
      <c r="F12" s="138">
        <f t="shared" si="2"/>
        <v>0</v>
      </c>
      <c r="G12" s="138">
        <v>28957000</v>
      </c>
      <c r="H12" s="138">
        <v>26727455.199999999</v>
      </c>
      <c r="I12" s="138"/>
      <c r="J12" s="138"/>
      <c r="K12" s="138">
        <f t="shared" si="9"/>
        <v>0</v>
      </c>
      <c r="L12" s="138">
        <f t="shared" si="3"/>
        <v>26727455.199999999</v>
      </c>
      <c r="M12" s="138">
        <f t="shared" si="4"/>
        <v>2229544.8000000007</v>
      </c>
      <c r="N12" s="138">
        <v>2000000</v>
      </c>
      <c r="O12" s="138">
        <f t="shared" si="0"/>
        <v>10893000</v>
      </c>
      <c r="P12" s="138">
        <f t="shared" si="5"/>
        <v>2229544.8000000007</v>
      </c>
      <c r="Q12" s="138"/>
      <c r="R12" s="138"/>
      <c r="S12" s="138">
        <f t="shared" si="10"/>
        <v>0</v>
      </c>
      <c r="T12" s="138">
        <f t="shared" si="6"/>
        <v>0</v>
      </c>
      <c r="U12" s="138">
        <f t="shared" si="1"/>
        <v>2000000</v>
      </c>
      <c r="V12" s="138">
        <f t="shared" si="7"/>
        <v>2000000</v>
      </c>
      <c r="W12" s="138"/>
      <c r="X12" s="138"/>
      <c r="Y12" s="138"/>
      <c r="Z12" s="137"/>
      <c r="AA12" s="137">
        <v>930000</v>
      </c>
      <c r="AB12" s="137"/>
      <c r="AC12" s="137"/>
      <c r="AD12" s="137"/>
      <c r="AE12" s="137"/>
      <c r="AF12" s="137"/>
      <c r="AG12" s="137"/>
      <c r="AH12" s="137"/>
      <c r="AI12" s="137"/>
      <c r="AJ12" s="137"/>
      <c r="AK12" s="138">
        <f t="shared" si="11"/>
        <v>0</v>
      </c>
      <c r="AL12" s="138"/>
      <c r="AM12" s="138">
        <f t="shared" si="12"/>
        <v>0</v>
      </c>
      <c r="AN12" s="138">
        <f t="shared" si="13"/>
        <v>2000000</v>
      </c>
      <c r="AO12" s="138">
        <f t="shared" si="14"/>
        <v>0</v>
      </c>
      <c r="AP12" s="138"/>
      <c r="AQ12" s="138"/>
      <c r="AR12" s="138"/>
      <c r="AS12" s="138"/>
      <c r="AT12" s="138">
        <f t="shared" si="15"/>
        <v>0</v>
      </c>
      <c r="AU12" s="138"/>
      <c r="AV12" s="138"/>
      <c r="AW12" s="138"/>
      <c r="AX12" s="138"/>
      <c r="AY12" s="138">
        <f t="shared" si="16"/>
        <v>2000000</v>
      </c>
      <c r="AZ12" s="138"/>
      <c r="BA12" s="138"/>
      <c r="BB12" s="138"/>
      <c r="BC12" s="138"/>
    </row>
    <row r="13" spans="1:55" s="139" customFormat="1">
      <c r="A13" s="137">
        <f t="shared" si="8"/>
        <v>5</v>
      </c>
      <c r="B13" s="137">
        <v>1258</v>
      </c>
      <c r="C13" s="137" t="s">
        <v>114</v>
      </c>
      <c r="D13" s="138">
        <v>1400000</v>
      </c>
      <c r="E13" s="138">
        <v>1400000</v>
      </c>
      <c r="F13" s="138">
        <f t="shared" si="2"/>
        <v>0</v>
      </c>
      <c r="G13" s="138">
        <v>900000</v>
      </c>
      <c r="H13" s="138">
        <v>840489.96</v>
      </c>
      <c r="I13" s="138"/>
      <c r="J13" s="138"/>
      <c r="K13" s="138">
        <f t="shared" si="9"/>
        <v>0</v>
      </c>
      <c r="L13" s="138">
        <f t="shared" si="3"/>
        <v>840489.96</v>
      </c>
      <c r="M13" s="138">
        <f t="shared" si="4"/>
        <v>59510.040000000037</v>
      </c>
      <c r="N13" s="138">
        <v>50000</v>
      </c>
      <c r="O13" s="138">
        <f t="shared" si="0"/>
        <v>450000</v>
      </c>
      <c r="P13" s="138">
        <f t="shared" si="5"/>
        <v>59510.040000000037</v>
      </c>
      <c r="Q13" s="138"/>
      <c r="R13" s="138"/>
      <c r="S13" s="138">
        <f t="shared" si="10"/>
        <v>0</v>
      </c>
      <c r="T13" s="138">
        <f t="shared" si="6"/>
        <v>0</v>
      </c>
      <c r="U13" s="138">
        <f t="shared" si="1"/>
        <v>50000</v>
      </c>
      <c r="V13" s="138">
        <f t="shared" si="7"/>
        <v>50000</v>
      </c>
      <c r="W13" s="138"/>
      <c r="X13" s="138"/>
      <c r="Y13" s="138"/>
      <c r="Z13" s="137"/>
      <c r="AA13" s="137">
        <v>930000</v>
      </c>
      <c r="AB13" s="137"/>
      <c r="AC13" s="137"/>
      <c r="AD13" s="137"/>
      <c r="AE13" s="137"/>
      <c r="AF13" s="137"/>
      <c r="AG13" s="137"/>
      <c r="AH13" s="137"/>
      <c r="AI13" s="137"/>
      <c r="AJ13" s="137"/>
      <c r="AK13" s="138">
        <f t="shared" si="11"/>
        <v>0</v>
      </c>
      <c r="AL13" s="138"/>
      <c r="AM13" s="138">
        <f t="shared" si="12"/>
        <v>0</v>
      </c>
      <c r="AN13" s="138">
        <f t="shared" si="13"/>
        <v>50000</v>
      </c>
      <c r="AO13" s="138">
        <f t="shared" si="14"/>
        <v>0</v>
      </c>
      <c r="AP13" s="138"/>
      <c r="AQ13" s="138"/>
      <c r="AR13" s="138"/>
      <c r="AS13" s="138"/>
      <c r="AT13" s="138">
        <f t="shared" si="15"/>
        <v>0</v>
      </c>
      <c r="AU13" s="138"/>
      <c r="AV13" s="138"/>
      <c r="AW13" s="138"/>
      <c r="AX13" s="138"/>
      <c r="AY13" s="138">
        <f t="shared" si="16"/>
        <v>50000</v>
      </c>
      <c r="AZ13" s="138"/>
      <c r="BA13" s="138"/>
      <c r="BB13" s="138"/>
      <c r="BC13" s="138"/>
    </row>
    <row r="14" spans="1:55" s="139" customFormat="1">
      <c r="A14" s="137">
        <f t="shared" si="8"/>
        <v>6</v>
      </c>
      <c r="B14" s="137">
        <v>1330</v>
      </c>
      <c r="C14" s="137" t="s">
        <v>115</v>
      </c>
      <c r="D14" s="138">
        <v>60700000</v>
      </c>
      <c r="E14" s="138">
        <v>60700000</v>
      </c>
      <c r="F14" s="138">
        <f t="shared" si="2"/>
        <v>0</v>
      </c>
      <c r="G14" s="138">
        <v>17249825</v>
      </c>
      <c r="H14" s="138">
        <v>6153348.6299999999</v>
      </c>
      <c r="I14" s="138"/>
      <c r="J14" s="138">
        <v>6107</v>
      </c>
      <c r="K14" s="138">
        <f t="shared" si="9"/>
        <v>6107</v>
      </c>
      <c r="L14" s="138">
        <f t="shared" si="3"/>
        <v>6159455.6299999999</v>
      </c>
      <c r="M14" s="138">
        <f t="shared" si="4"/>
        <v>11090369.370000001</v>
      </c>
      <c r="N14" s="138"/>
      <c r="O14" s="138">
        <f t="shared" si="0"/>
        <v>43450175</v>
      </c>
      <c r="P14" s="138">
        <f t="shared" si="5"/>
        <v>11090369.370000001</v>
      </c>
      <c r="Q14" s="138"/>
      <c r="R14" s="138"/>
      <c r="S14" s="138">
        <f t="shared" si="10"/>
        <v>0</v>
      </c>
      <c r="T14" s="138">
        <f t="shared" si="6"/>
        <v>0</v>
      </c>
      <c r="U14" s="138">
        <f t="shared" si="1"/>
        <v>0</v>
      </c>
      <c r="V14" s="138">
        <f t="shared" si="7"/>
        <v>0</v>
      </c>
      <c r="W14" s="138"/>
      <c r="X14" s="138"/>
      <c r="Y14" s="138"/>
      <c r="Z14" s="137"/>
      <c r="AA14" s="137">
        <v>930000</v>
      </c>
      <c r="AB14" s="137"/>
      <c r="AC14" s="137"/>
      <c r="AD14" s="137"/>
      <c r="AE14" s="137"/>
      <c r="AF14" s="137"/>
      <c r="AG14" s="137"/>
      <c r="AH14" s="137"/>
      <c r="AI14" s="137"/>
      <c r="AJ14" s="137"/>
      <c r="AK14" s="138">
        <f t="shared" si="11"/>
        <v>0</v>
      </c>
      <c r="AL14" s="138"/>
      <c r="AM14" s="138">
        <f t="shared" si="12"/>
        <v>0</v>
      </c>
      <c r="AN14" s="138">
        <f t="shared" si="13"/>
        <v>0</v>
      </c>
      <c r="AO14" s="138">
        <f t="shared" si="14"/>
        <v>0</v>
      </c>
      <c r="AP14" s="138"/>
      <c r="AQ14" s="138"/>
      <c r="AR14" s="138"/>
      <c r="AS14" s="138"/>
      <c r="AT14" s="138">
        <f t="shared" si="15"/>
        <v>0</v>
      </c>
      <c r="AU14" s="138"/>
      <c r="AV14" s="138"/>
      <c r="AW14" s="138"/>
      <c r="AX14" s="138"/>
      <c r="AY14" s="138">
        <f t="shared" si="16"/>
        <v>0</v>
      </c>
      <c r="AZ14" s="138"/>
      <c r="BA14" s="138"/>
      <c r="BB14" s="138"/>
      <c r="BC14" s="138"/>
    </row>
    <row r="15" spans="1:55" s="139" customFormat="1">
      <c r="A15" s="137">
        <f t="shared" si="8"/>
        <v>7</v>
      </c>
      <c r="B15" s="137">
        <v>1369</v>
      </c>
      <c r="C15" s="137" t="s">
        <v>116</v>
      </c>
      <c r="D15" s="138">
        <v>1100700</v>
      </c>
      <c r="E15" s="138">
        <v>1100700</v>
      </c>
      <c r="F15" s="138">
        <f t="shared" si="2"/>
        <v>0</v>
      </c>
      <c r="G15" s="138">
        <v>570700</v>
      </c>
      <c r="H15" s="138">
        <v>552097</v>
      </c>
      <c r="I15" s="138"/>
      <c r="J15" s="138"/>
      <c r="K15" s="138">
        <f t="shared" si="9"/>
        <v>0</v>
      </c>
      <c r="L15" s="138">
        <f t="shared" si="3"/>
        <v>552097</v>
      </c>
      <c r="M15" s="138">
        <f t="shared" si="4"/>
        <v>18603</v>
      </c>
      <c r="N15" s="138">
        <v>100000</v>
      </c>
      <c r="O15" s="138">
        <f t="shared" si="0"/>
        <v>430000</v>
      </c>
      <c r="P15" s="138">
        <f t="shared" si="5"/>
        <v>18603</v>
      </c>
      <c r="Q15" s="138"/>
      <c r="R15" s="138"/>
      <c r="S15" s="138">
        <f t="shared" si="10"/>
        <v>0</v>
      </c>
      <c r="T15" s="138">
        <f t="shared" si="6"/>
        <v>0</v>
      </c>
      <c r="U15" s="138">
        <f t="shared" si="1"/>
        <v>100000</v>
      </c>
      <c r="V15" s="138">
        <f t="shared" si="7"/>
        <v>100000</v>
      </c>
      <c r="W15" s="138"/>
      <c r="X15" s="138"/>
      <c r="Y15" s="138"/>
      <c r="Z15" s="137"/>
      <c r="AA15" s="137">
        <v>930000</v>
      </c>
      <c r="AB15" s="137"/>
      <c r="AC15" s="137"/>
      <c r="AD15" s="137"/>
      <c r="AE15" s="137"/>
      <c r="AF15" s="137"/>
      <c r="AG15" s="137"/>
      <c r="AH15" s="137"/>
      <c r="AI15" s="137"/>
      <c r="AJ15" s="137"/>
      <c r="AK15" s="138">
        <f t="shared" si="11"/>
        <v>0</v>
      </c>
      <c r="AL15" s="138"/>
      <c r="AM15" s="138">
        <f t="shared" si="12"/>
        <v>0</v>
      </c>
      <c r="AN15" s="138">
        <f t="shared" si="13"/>
        <v>100000</v>
      </c>
      <c r="AO15" s="138">
        <f t="shared" si="14"/>
        <v>0</v>
      </c>
      <c r="AP15" s="138"/>
      <c r="AQ15" s="138"/>
      <c r="AR15" s="138"/>
      <c r="AS15" s="138"/>
      <c r="AT15" s="138">
        <f t="shared" si="15"/>
        <v>0</v>
      </c>
      <c r="AU15" s="138"/>
      <c r="AV15" s="138"/>
      <c r="AW15" s="138"/>
      <c r="AX15" s="138"/>
      <c r="AY15" s="138">
        <f t="shared" si="16"/>
        <v>100000</v>
      </c>
      <c r="AZ15" s="138"/>
      <c r="BA15" s="138"/>
      <c r="BB15" s="138"/>
      <c r="BC15" s="138"/>
    </row>
    <row r="16" spans="1:55" s="139" customFormat="1">
      <c r="A16" s="137">
        <f t="shared" si="8"/>
        <v>8</v>
      </c>
      <c r="B16" s="137">
        <v>1704</v>
      </c>
      <c r="C16" s="137" t="s">
        <v>117</v>
      </c>
      <c r="D16" s="138">
        <v>5784000</v>
      </c>
      <c r="E16" s="138">
        <v>5784000</v>
      </c>
      <c r="F16" s="138">
        <f t="shared" si="2"/>
        <v>0</v>
      </c>
      <c r="G16" s="138">
        <f>5000+25000</f>
        <v>30000</v>
      </c>
      <c r="H16" s="138">
        <v>28396.73</v>
      </c>
      <c r="I16" s="138"/>
      <c r="J16" s="138"/>
      <c r="K16" s="138">
        <f t="shared" si="9"/>
        <v>0</v>
      </c>
      <c r="L16" s="138">
        <f t="shared" si="3"/>
        <v>28396.73</v>
      </c>
      <c r="M16" s="138">
        <f t="shared" si="4"/>
        <v>1603.2700000000004</v>
      </c>
      <c r="N16" s="138">
        <v>50000</v>
      </c>
      <c r="O16" s="138">
        <f t="shared" si="0"/>
        <v>5704000</v>
      </c>
      <c r="P16" s="138">
        <f t="shared" si="5"/>
        <v>1603.2700000000004</v>
      </c>
      <c r="Q16" s="138"/>
      <c r="R16" s="138"/>
      <c r="S16" s="138">
        <f t="shared" si="10"/>
        <v>0</v>
      </c>
      <c r="T16" s="138">
        <f t="shared" si="6"/>
        <v>0</v>
      </c>
      <c r="U16" s="138">
        <f t="shared" si="1"/>
        <v>50000</v>
      </c>
      <c r="V16" s="138">
        <f t="shared" si="7"/>
        <v>50000</v>
      </c>
      <c r="W16" s="138"/>
      <c r="X16" s="138"/>
      <c r="Y16" s="138"/>
      <c r="Z16" s="137"/>
      <c r="AA16" s="137">
        <v>930000</v>
      </c>
      <c r="AB16" s="137"/>
      <c r="AC16" s="137"/>
      <c r="AD16" s="137"/>
      <c r="AE16" s="138">
        <v>10000</v>
      </c>
      <c r="AF16" s="138"/>
      <c r="AG16" s="138"/>
      <c r="AH16" s="138"/>
      <c r="AI16" s="138"/>
      <c r="AJ16" s="138"/>
      <c r="AK16" s="138">
        <f t="shared" si="11"/>
        <v>10000</v>
      </c>
      <c r="AL16" s="138"/>
      <c r="AM16" s="138">
        <f t="shared" si="12"/>
        <v>10000</v>
      </c>
      <c r="AN16" s="138">
        <f t="shared" si="13"/>
        <v>40000</v>
      </c>
      <c r="AO16" s="138">
        <f t="shared" si="14"/>
        <v>10000</v>
      </c>
      <c r="AP16" s="138"/>
      <c r="AQ16" s="138"/>
      <c r="AR16" s="138"/>
      <c r="AS16" s="138"/>
      <c r="AT16" s="138">
        <f t="shared" si="15"/>
        <v>0</v>
      </c>
      <c r="AU16" s="138"/>
      <c r="AV16" s="138"/>
      <c r="AW16" s="138"/>
      <c r="AX16" s="138"/>
      <c r="AY16" s="138">
        <f t="shared" si="16"/>
        <v>40000</v>
      </c>
      <c r="AZ16" s="138"/>
      <c r="BA16" s="138"/>
      <c r="BB16" s="138"/>
      <c r="BC16" s="138"/>
    </row>
    <row r="17" spans="1:55" s="139" customFormat="1">
      <c r="A17" s="137">
        <f t="shared" si="8"/>
        <v>9</v>
      </c>
      <c r="B17" s="137">
        <v>1791</v>
      </c>
      <c r="C17" s="137" t="s">
        <v>118</v>
      </c>
      <c r="D17" s="138">
        <v>570000</v>
      </c>
      <c r="E17" s="138">
        <v>570000</v>
      </c>
      <c r="F17" s="138">
        <f t="shared" si="2"/>
        <v>0</v>
      </c>
      <c r="G17" s="138">
        <v>500000</v>
      </c>
      <c r="H17" s="138">
        <v>404150</v>
      </c>
      <c r="I17" s="138"/>
      <c r="J17" s="138"/>
      <c r="K17" s="138">
        <f t="shared" si="9"/>
        <v>0</v>
      </c>
      <c r="L17" s="138">
        <f t="shared" si="3"/>
        <v>404150</v>
      </c>
      <c r="M17" s="138">
        <f t="shared" si="4"/>
        <v>95850</v>
      </c>
      <c r="N17" s="138"/>
      <c r="O17" s="138">
        <f t="shared" si="0"/>
        <v>70000</v>
      </c>
      <c r="P17" s="138">
        <f t="shared" si="5"/>
        <v>95850</v>
      </c>
      <c r="Q17" s="138"/>
      <c r="R17" s="138"/>
      <c r="S17" s="138">
        <f t="shared" si="10"/>
        <v>0</v>
      </c>
      <c r="T17" s="138">
        <f t="shared" si="6"/>
        <v>0</v>
      </c>
      <c r="U17" s="138">
        <f t="shared" si="1"/>
        <v>0</v>
      </c>
      <c r="V17" s="138">
        <f t="shared" si="7"/>
        <v>0</v>
      </c>
      <c r="W17" s="138"/>
      <c r="X17" s="138"/>
      <c r="Y17" s="138"/>
      <c r="Z17" s="137"/>
      <c r="AA17" s="137">
        <v>930000</v>
      </c>
      <c r="AB17" s="137"/>
      <c r="AC17" s="137"/>
      <c r="AD17" s="137"/>
      <c r="AE17" s="138"/>
      <c r="AF17" s="138"/>
      <c r="AG17" s="138"/>
      <c r="AH17" s="138"/>
      <c r="AI17" s="138"/>
      <c r="AJ17" s="138"/>
      <c r="AK17" s="138">
        <f t="shared" si="11"/>
        <v>0</v>
      </c>
      <c r="AL17" s="138"/>
      <c r="AM17" s="138">
        <f t="shared" si="12"/>
        <v>0</v>
      </c>
      <c r="AN17" s="138">
        <f t="shared" si="13"/>
        <v>0</v>
      </c>
      <c r="AO17" s="138">
        <f t="shared" si="14"/>
        <v>0</v>
      </c>
      <c r="AP17" s="138"/>
      <c r="AQ17" s="138"/>
      <c r="AR17" s="138"/>
      <c r="AS17" s="138"/>
      <c r="AT17" s="138">
        <f t="shared" si="15"/>
        <v>0</v>
      </c>
      <c r="AU17" s="138"/>
      <c r="AV17" s="138"/>
      <c r="AW17" s="138"/>
      <c r="AX17" s="138"/>
      <c r="AY17" s="138">
        <f t="shared" si="16"/>
        <v>0</v>
      </c>
      <c r="AZ17" s="138"/>
      <c r="BA17" s="138"/>
      <c r="BB17" s="138"/>
      <c r="BC17" s="138"/>
    </row>
    <row r="18" spans="1:55" s="139" customFormat="1">
      <c r="A18" s="137">
        <f t="shared" si="8"/>
        <v>10</v>
      </c>
      <c r="B18" s="137">
        <v>1801</v>
      </c>
      <c r="C18" s="137" t="s">
        <v>190</v>
      </c>
      <c r="D18" s="138">
        <v>36000000</v>
      </c>
      <c r="E18" s="138">
        <v>36000000</v>
      </c>
      <c r="F18" s="138">
        <f t="shared" si="2"/>
        <v>0</v>
      </c>
      <c r="G18" s="138">
        <v>36000000</v>
      </c>
      <c r="H18" s="138">
        <v>30316082.890000001</v>
      </c>
      <c r="I18" s="138"/>
      <c r="J18" s="138"/>
      <c r="K18" s="138">
        <f t="shared" si="9"/>
        <v>0</v>
      </c>
      <c r="L18" s="138">
        <f t="shared" si="3"/>
        <v>30316082.890000001</v>
      </c>
      <c r="M18" s="138">
        <f t="shared" si="4"/>
        <v>5683917.1099999994</v>
      </c>
      <c r="N18" s="138"/>
      <c r="O18" s="138">
        <f t="shared" si="0"/>
        <v>0</v>
      </c>
      <c r="P18" s="138">
        <f t="shared" si="5"/>
        <v>5683917.1099999994</v>
      </c>
      <c r="Q18" s="138"/>
      <c r="R18" s="138"/>
      <c r="S18" s="138">
        <f t="shared" si="10"/>
        <v>0</v>
      </c>
      <c r="T18" s="138">
        <f t="shared" si="6"/>
        <v>0</v>
      </c>
      <c r="U18" s="138">
        <f t="shared" si="1"/>
        <v>0</v>
      </c>
      <c r="V18" s="138">
        <f t="shared" si="7"/>
        <v>0</v>
      </c>
      <c r="W18" s="138"/>
      <c r="X18" s="138"/>
      <c r="Y18" s="138"/>
      <c r="Z18" s="137"/>
      <c r="AA18" s="137">
        <v>930000</v>
      </c>
      <c r="AB18" s="137"/>
      <c r="AC18" s="137"/>
      <c r="AD18" s="137"/>
      <c r="AE18" s="138"/>
      <c r="AF18" s="138"/>
      <c r="AG18" s="138"/>
      <c r="AH18" s="138"/>
      <c r="AI18" s="138"/>
      <c r="AJ18" s="138"/>
      <c r="AK18" s="138">
        <f t="shared" si="11"/>
        <v>0</v>
      </c>
      <c r="AL18" s="138"/>
      <c r="AM18" s="138">
        <f t="shared" si="12"/>
        <v>0</v>
      </c>
      <c r="AN18" s="138">
        <f t="shared" si="13"/>
        <v>0</v>
      </c>
      <c r="AO18" s="138">
        <f t="shared" si="14"/>
        <v>0</v>
      </c>
      <c r="AP18" s="138"/>
      <c r="AQ18" s="138"/>
      <c r="AR18" s="138"/>
      <c r="AS18" s="138"/>
      <c r="AT18" s="138">
        <f t="shared" si="15"/>
        <v>0</v>
      </c>
      <c r="AU18" s="138"/>
      <c r="AV18" s="138"/>
      <c r="AW18" s="138"/>
      <c r="AX18" s="138"/>
      <c r="AY18" s="138">
        <f t="shared" si="16"/>
        <v>0</v>
      </c>
      <c r="AZ18" s="138"/>
      <c r="BA18" s="138"/>
      <c r="BB18" s="138"/>
      <c r="BC18" s="138"/>
    </row>
    <row r="19" spans="1:55" s="139" customFormat="1">
      <c r="A19" s="137">
        <f t="shared" si="8"/>
        <v>11</v>
      </c>
      <c r="B19" s="244">
        <v>1816</v>
      </c>
      <c r="C19" s="244" t="s">
        <v>1005</v>
      </c>
      <c r="D19" s="138">
        <v>565000</v>
      </c>
      <c r="E19" s="138">
        <v>565000</v>
      </c>
      <c r="F19" s="138">
        <f t="shared" si="2"/>
        <v>0</v>
      </c>
      <c r="G19" s="138">
        <v>565000</v>
      </c>
      <c r="H19" s="138">
        <v>400000</v>
      </c>
      <c r="I19" s="138"/>
      <c r="J19" s="138"/>
      <c r="K19" s="138">
        <f t="shared" si="9"/>
        <v>0</v>
      </c>
      <c r="L19" s="138">
        <f t="shared" si="3"/>
        <v>400000</v>
      </c>
      <c r="M19" s="138">
        <f t="shared" si="4"/>
        <v>165000</v>
      </c>
      <c r="N19" s="138"/>
      <c r="O19" s="138">
        <f t="shared" si="0"/>
        <v>0</v>
      </c>
      <c r="P19" s="138">
        <f t="shared" si="5"/>
        <v>165000</v>
      </c>
      <c r="Q19" s="138"/>
      <c r="R19" s="138"/>
      <c r="S19" s="138">
        <f t="shared" si="10"/>
        <v>0</v>
      </c>
      <c r="T19" s="138">
        <f t="shared" si="6"/>
        <v>0</v>
      </c>
      <c r="U19" s="138">
        <f t="shared" si="1"/>
        <v>0</v>
      </c>
      <c r="V19" s="138">
        <f t="shared" si="7"/>
        <v>0</v>
      </c>
      <c r="W19" s="138"/>
      <c r="X19" s="138"/>
      <c r="Y19" s="138"/>
      <c r="Z19" s="137"/>
      <c r="AA19" s="137">
        <v>930000</v>
      </c>
      <c r="AB19" s="137"/>
      <c r="AC19" s="137"/>
      <c r="AD19" s="137"/>
      <c r="AE19" s="138"/>
      <c r="AF19" s="138"/>
      <c r="AG19" s="138"/>
      <c r="AH19" s="138"/>
      <c r="AI19" s="138"/>
      <c r="AJ19" s="138"/>
      <c r="AK19" s="138">
        <f t="shared" si="11"/>
        <v>0</v>
      </c>
      <c r="AL19" s="138"/>
      <c r="AM19" s="138">
        <f t="shared" si="12"/>
        <v>0</v>
      </c>
      <c r="AN19" s="138">
        <f t="shared" si="13"/>
        <v>0</v>
      </c>
      <c r="AO19" s="138">
        <f t="shared" si="14"/>
        <v>0</v>
      </c>
      <c r="AP19" s="138"/>
      <c r="AQ19" s="138"/>
      <c r="AR19" s="138"/>
      <c r="AS19" s="138"/>
      <c r="AT19" s="138">
        <f t="shared" si="15"/>
        <v>0</v>
      </c>
      <c r="AU19" s="138"/>
      <c r="AV19" s="138"/>
      <c r="AW19" s="138"/>
      <c r="AX19" s="138"/>
      <c r="AY19" s="138">
        <f t="shared" si="16"/>
        <v>0</v>
      </c>
      <c r="AZ19" s="138"/>
      <c r="BA19" s="138"/>
      <c r="BB19" s="138"/>
      <c r="BC19" s="138"/>
    </row>
    <row r="20" spans="1:55" s="139" customFormat="1">
      <c r="A20" s="137">
        <f t="shared" si="8"/>
        <v>12</v>
      </c>
      <c r="B20" s="137">
        <v>1983</v>
      </c>
      <c r="C20" s="137" t="s">
        <v>279</v>
      </c>
      <c r="D20" s="138">
        <v>800000</v>
      </c>
      <c r="E20" s="138">
        <v>800000</v>
      </c>
      <c r="F20" s="138">
        <f t="shared" si="2"/>
        <v>0</v>
      </c>
      <c r="G20" s="138">
        <v>0</v>
      </c>
      <c r="H20" s="138">
        <v>0</v>
      </c>
      <c r="I20" s="138"/>
      <c r="J20" s="138"/>
      <c r="K20" s="138">
        <f t="shared" si="9"/>
        <v>0</v>
      </c>
      <c r="L20" s="138">
        <f t="shared" si="3"/>
        <v>0</v>
      </c>
      <c r="M20" s="138">
        <f t="shared" si="4"/>
        <v>0</v>
      </c>
      <c r="N20" s="138">
        <v>100000</v>
      </c>
      <c r="O20" s="138">
        <f t="shared" si="0"/>
        <v>700000</v>
      </c>
      <c r="P20" s="138">
        <f t="shared" si="5"/>
        <v>0</v>
      </c>
      <c r="Q20" s="138"/>
      <c r="R20" s="138"/>
      <c r="S20" s="138">
        <f t="shared" si="10"/>
        <v>0</v>
      </c>
      <c r="T20" s="138">
        <f t="shared" si="6"/>
        <v>0</v>
      </c>
      <c r="U20" s="138">
        <f t="shared" si="1"/>
        <v>100000</v>
      </c>
      <c r="V20" s="138">
        <f t="shared" si="7"/>
        <v>100000</v>
      </c>
      <c r="W20" s="138"/>
      <c r="X20" s="138"/>
      <c r="Y20" s="138"/>
      <c r="Z20" s="137"/>
      <c r="AA20" s="137">
        <v>930000</v>
      </c>
      <c r="AB20" s="137"/>
      <c r="AC20" s="137"/>
      <c r="AD20" s="137"/>
      <c r="AE20" s="138"/>
      <c r="AF20" s="138"/>
      <c r="AG20" s="138"/>
      <c r="AH20" s="138"/>
      <c r="AI20" s="138"/>
      <c r="AJ20" s="138">
        <v>10000</v>
      </c>
      <c r="AK20" s="138">
        <f t="shared" si="11"/>
        <v>10000</v>
      </c>
      <c r="AL20" s="138"/>
      <c r="AM20" s="138">
        <f t="shared" si="12"/>
        <v>10000</v>
      </c>
      <c r="AN20" s="138">
        <f t="shared" si="13"/>
        <v>90000</v>
      </c>
      <c r="AO20" s="138">
        <f t="shared" si="14"/>
        <v>10000</v>
      </c>
      <c r="AP20" s="138"/>
      <c r="AQ20" s="138"/>
      <c r="AR20" s="138"/>
      <c r="AS20" s="138"/>
      <c r="AT20" s="138">
        <f t="shared" si="15"/>
        <v>0</v>
      </c>
      <c r="AU20" s="138"/>
      <c r="AV20" s="138"/>
      <c r="AW20" s="138"/>
      <c r="AX20" s="138"/>
      <c r="AY20" s="138">
        <f t="shared" si="16"/>
        <v>90000</v>
      </c>
      <c r="AZ20" s="138"/>
      <c r="BA20" s="138"/>
      <c r="BB20" s="138"/>
      <c r="BC20" s="138"/>
    </row>
    <row r="21" spans="1:55" s="139" customFormat="1">
      <c r="A21" s="137">
        <f t="shared" si="8"/>
        <v>13</v>
      </c>
      <c r="B21" s="137">
        <v>1984</v>
      </c>
      <c r="C21" s="137" t="s">
        <v>280</v>
      </c>
      <c r="D21" s="138">
        <v>450000</v>
      </c>
      <c r="E21" s="138">
        <v>450000</v>
      </c>
      <c r="F21" s="138">
        <f t="shared" si="2"/>
        <v>0</v>
      </c>
      <c r="G21" s="138">
        <v>0</v>
      </c>
      <c r="H21" s="138">
        <v>0</v>
      </c>
      <c r="I21" s="138"/>
      <c r="J21" s="138"/>
      <c r="K21" s="138">
        <f t="shared" si="9"/>
        <v>0</v>
      </c>
      <c r="L21" s="138">
        <f t="shared" si="3"/>
        <v>0</v>
      </c>
      <c r="M21" s="138">
        <f t="shared" si="4"/>
        <v>0</v>
      </c>
      <c r="N21" s="138">
        <v>100000</v>
      </c>
      <c r="O21" s="138">
        <f t="shared" si="0"/>
        <v>350000</v>
      </c>
      <c r="P21" s="138">
        <f t="shared" si="5"/>
        <v>0</v>
      </c>
      <c r="Q21" s="138"/>
      <c r="R21" s="138"/>
      <c r="S21" s="138">
        <f t="shared" si="10"/>
        <v>0</v>
      </c>
      <c r="T21" s="138">
        <f t="shared" si="6"/>
        <v>0</v>
      </c>
      <c r="U21" s="138">
        <f t="shared" si="1"/>
        <v>100000</v>
      </c>
      <c r="V21" s="138">
        <f t="shared" si="7"/>
        <v>100000</v>
      </c>
      <c r="W21" s="138"/>
      <c r="X21" s="138"/>
      <c r="Y21" s="138"/>
      <c r="Z21" s="137"/>
      <c r="AA21" s="137">
        <v>930000</v>
      </c>
      <c r="AB21" s="137"/>
      <c r="AC21" s="137"/>
      <c r="AD21" s="138">
        <v>10000</v>
      </c>
      <c r="AE21" s="138"/>
      <c r="AF21" s="138"/>
      <c r="AG21" s="138"/>
      <c r="AH21" s="138"/>
      <c r="AI21" s="138"/>
      <c r="AJ21" s="138"/>
      <c r="AK21" s="138">
        <f t="shared" si="11"/>
        <v>10000</v>
      </c>
      <c r="AL21" s="138"/>
      <c r="AM21" s="138">
        <f t="shared" si="12"/>
        <v>10000</v>
      </c>
      <c r="AN21" s="138">
        <f t="shared" si="13"/>
        <v>90000</v>
      </c>
      <c r="AO21" s="138">
        <f t="shared" si="14"/>
        <v>10000</v>
      </c>
      <c r="AP21" s="138"/>
      <c r="AQ21" s="138"/>
      <c r="AR21" s="138"/>
      <c r="AS21" s="138"/>
      <c r="AT21" s="138">
        <f t="shared" si="15"/>
        <v>0</v>
      </c>
      <c r="AU21" s="138"/>
      <c r="AV21" s="138"/>
      <c r="AW21" s="138"/>
      <c r="AX21" s="138"/>
      <c r="AY21" s="138">
        <f t="shared" si="16"/>
        <v>90000</v>
      </c>
      <c r="AZ21" s="138"/>
      <c r="BA21" s="138"/>
      <c r="BB21" s="138"/>
      <c r="BC21" s="138"/>
    </row>
    <row r="22" spans="1:55" s="139" customFormat="1">
      <c r="A22" s="137">
        <f t="shared" si="8"/>
        <v>14</v>
      </c>
      <c r="B22" s="137">
        <v>1985</v>
      </c>
      <c r="C22" s="137" t="s">
        <v>281</v>
      </c>
      <c r="D22" s="138">
        <v>600000</v>
      </c>
      <c r="E22" s="138">
        <v>600000</v>
      </c>
      <c r="F22" s="138">
        <f t="shared" si="2"/>
        <v>0</v>
      </c>
      <c r="G22" s="138">
        <v>0</v>
      </c>
      <c r="H22" s="138">
        <v>0</v>
      </c>
      <c r="I22" s="138"/>
      <c r="J22" s="138"/>
      <c r="K22" s="138">
        <f t="shared" si="9"/>
        <v>0</v>
      </c>
      <c r="L22" s="138">
        <f t="shared" si="3"/>
        <v>0</v>
      </c>
      <c r="M22" s="138">
        <f t="shared" si="4"/>
        <v>0</v>
      </c>
      <c r="N22" s="138">
        <v>100000</v>
      </c>
      <c r="O22" s="138">
        <f t="shared" si="0"/>
        <v>500000</v>
      </c>
      <c r="P22" s="138">
        <f t="shared" si="5"/>
        <v>0</v>
      </c>
      <c r="Q22" s="138"/>
      <c r="R22" s="138"/>
      <c r="S22" s="138">
        <f t="shared" si="10"/>
        <v>0</v>
      </c>
      <c r="T22" s="138">
        <f t="shared" si="6"/>
        <v>0</v>
      </c>
      <c r="U22" s="138">
        <f t="shared" si="1"/>
        <v>100000</v>
      </c>
      <c r="V22" s="138">
        <f t="shared" si="7"/>
        <v>100000</v>
      </c>
      <c r="W22" s="138"/>
      <c r="X22" s="138"/>
      <c r="Y22" s="138"/>
      <c r="Z22" s="137"/>
      <c r="AA22" s="137">
        <v>930000</v>
      </c>
      <c r="AB22" s="137"/>
      <c r="AC22" s="137"/>
      <c r="AD22" s="138"/>
      <c r="AE22" s="138"/>
      <c r="AF22" s="138"/>
      <c r="AG22" s="138"/>
      <c r="AH22" s="138"/>
      <c r="AI22" s="138"/>
      <c r="AJ22" s="138"/>
      <c r="AK22" s="138">
        <f t="shared" si="11"/>
        <v>0</v>
      </c>
      <c r="AL22" s="138"/>
      <c r="AM22" s="138">
        <f t="shared" si="12"/>
        <v>0</v>
      </c>
      <c r="AN22" s="138">
        <f t="shared" si="13"/>
        <v>100000</v>
      </c>
      <c r="AO22" s="138">
        <f t="shared" si="14"/>
        <v>0</v>
      </c>
      <c r="AP22" s="138"/>
      <c r="AQ22" s="138"/>
      <c r="AR22" s="138"/>
      <c r="AS22" s="138"/>
      <c r="AT22" s="138">
        <f t="shared" si="15"/>
        <v>0</v>
      </c>
      <c r="AU22" s="138"/>
      <c r="AV22" s="138"/>
      <c r="AW22" s="138"/>
      <c r="AX22" s="138"/>
      <c r="AY22" s="138">
        <f t="shared" si="16"/>
        <v>100000</v>
      </c>
      <c r="AZ22" s="138"/>
      <c r="BA22" s="138"/>
      <c r="BB22" s="138"/>
      <c r="BC22" s="138"/>
    </row>
    <row r="23" spans="1:55" s="139" customFormat="1">
      <c r="A23" s="137">
        <f t="shared" si="8"/>
        <v>15</v>
      </c>
      <c r="B23" s="137">
        <v>1993</v>
      </c>
      <c r="C23" s="137" t="s">
        <v>342</v>
      </c>
      <c r="D23" s="138">
        <v>500000</v>
      </c>
      <c r="E23" s="138">
        <v>500000</v>
      </c>
      <c r="F23" s="138">
        <f t="shared" si="2"/>
        <v>0</v>
      </c>
      <c r="G23" s="138">
        <v>50000</v>
      </c>
      <c r="H23" s="138">
        <v>0</v>
      </c>
      <c r="I23" s="138"/>
      <c r="J23" s="138"/>
      <c r="K23" s="138">
        <f t="shared" si="9"/>
        <v>0</v>
      </c>
      <c r="L23" s="138">
        <f t="shared" si="3"/>
        <v>0</v>
      </c>
      <c r="M23" s="138">
        <f t="shared" si="4"/>
        <v>50000</v>
      </c>
      <c r="N23" s="138"/>
      <c r="O23" s="138">
        <f t="shared" si="0"/>
        <v>450000</v>
      </c>
      <c r="P23" s="138">
        <f t="shared" si="5"/>
        <v>50000</v>
      </c>
      <c r="Q23" s="138"/>
      <c r="R23" s="138"/>
      <c r="S23" s="138">
        <f t="shared" si="10"/>
        <v>0</v>
      </c>
      <c r="T23" s="138">
        <f t="shared" si="6"/>
        <v>0</v>
      </c>
      <c r="U23" s="138">
        <f t="shared" si="1"/>
        <v>0</v>
      </c>
      <c r="V23" s="138">
        <f t="shared" si="7"/>
        <v>0</v>
      </c>
      <c r="W23" s="138"/>
      <c r="X23" s="138"/>
      <c r="Y23" s="138"/>
      <c r="Z23" s="137"/>
      <c r="AA23" s="137">
        <v>930000</v>
      </c>
      <c r="AB23" s="137"/>
      <c r="AC23" s="137"/>
      <c r="AD23" s="138"/>
      <c r="AE23" s="138"/>
      <c r="AF23" s="138"/>
      <c r="AG23" s="138"/>
      <c r="AH23" s="138"/>
      <c r="AI23" s="138"/>
      <c r="AJ23" s="138"/>
      <c r="AK23" s="138">
        <f t="shared" si="11"/>
        <v>0</v>
      </c>
      <c r="AL23" s="138"/>
      <c r="AM23" s="138">
        <f t="shared" si="12"/>
        <v>0</v>
      </c>
      <c r="AN23" s="138">
        <f t="shared" si="13"/>
        <v>0</v>
      </c>
      <c r="AO23" s="138">
        <f t="shared" si="14"/>
        <v>0</v>
      </c>
      <c r="AP23" s="138"/>
      <c r="AQ23" s="137"/>
      <c r="AR23" s="138"/>
      <c r="AS23" s="138"/>
      <c r="AT23" s="138">
        <f t="shared" si="15"/>
        <v>0</v>
      </c>
      <c r="AU23" s="138"/>
      <c r="AV23" s="138"/>
      <c r="AW23" s="137"/>
      <c r="AX23" s="138"/>
      <c r="AY23" s="138">
        <f t="shared" si="16"/>
        <v>0</v>
      </c>
      <c r="AZ23" s="138"/>
      <c r="BA23" s="138"/>
      <c r="BB23" s="138"/>
      <c r="BC23" s="137"/>
    </row>
    <row r="24" spans="1:55" s="139" customFormat="1">
      <c r="A24" s="137">
        <f t="shared" si="8"/>
        <v>16</v>
      </c>
      <c r="B24" s="140">
        <v>2055</v>
      </c>
      <c r="C24" s="137" t="s">
        <v>387</v>
      </c>
      <c r="D24" s="138">
        <v>220000</v>
      </c>
      <c r="E24" s="138"/>
      <c r="F24" s="138">
        <f>D24-E24</f>
        <v>220000</v>
      </c>
      <c r="G24" s="138"/>
      <c r="H24" s="138"/>
      <c r="I24" s="138"/>
      <c r="J24" s="138"/>
      <c r="K24" s="138">
        <f t="shared" si="9"/>
        <v>0</v>
      </c>
      <c r="L24" s="138">
        <f t="shared" si="3"/>
        <v>0</v>
      </c>
      <c r="M24" s="138">
        <f t="shared" si="4"/>
        <v>0</v>
      </c>
      <c r="N24" s="138">
        <v>220000</v>
      </c>
      <c r="O24" s="138">
        <f t="shared" si="0"/>
        <v>0</v>
      </c>
      <c r="P24" s="138">
        <f t="shared" si="5"/>
        <v>0</v>
      </c>
      <c r="Q24" s="138"/>
      <c r="R24" s="138"/>
      <c r="S24" s="138">
        <f t="shared" si="10"/>
        <v>0</v>
      </c>
      <c r="T24" s="138">
        <f t="shared" si="6"/>
        <v>0</v>
      </c>
      <c r="U24" s="138">
        <f t="shared" si="1"/>
        <v>220000</v>
      </c>
      <c r="V24" s="138">
        <f t="shared" si="7"/>
        <v>220000</v>
      </c>
      <c r="W24" s="138"/>
      <c r="X24" s="138"/>
      <c r="Y24" s="138"/>
      <c r="Z24" s="137"/>
      <c r="AA24" s="137">
        <v>930000</v>
      </c>
      <c r="AB24" s="137"/>
      <c r="AC24" s="137"/>
      <c r="AD24" s="138"/>
      <c r="AE24" s="138"/>
      <c r="AF24" s="138"/>
      <c r="AG24" s="138"/>
      <c r="AH24" s="138">
        <v>200000</v>
      </c>
      <c r="AI24" s="138"/>
      <c r="AJ24" s="138"/>
      <c r="AK24" s="138">
        <f t="shared" si="11"/>
        <v>200000</v>
      </c>
      <c r="AL24" s="138"/>
      <c r="AM24" s="138">
        <f t="shared" si="12"/>
        <v>200000</v>
      </c>
      <c r="AN24" s="138">
        <f t="shared" si="13"/>
        <v>20000</v>
      </c>
      <c r="AO24" s="138">
        <f t="shared" si="14"/>
        <v>200000</v>
      </c>
      <c r="AP24" s="138"/>
      <c r="AQ24" s="137"/>
      <c r="AR24" s="138"/>
      <c r="AS24" s="138"/>
      <c r="AT24" s="138">
        <f t="shared" si="15"/>
        <v>0</v>
      </c>
      <c r="AU24" s="138"/>
      <c r="AV24" s="138"/>
      <c r="AW24" s="137"/>
      <c r="AX24" s="138"/>
      <c r="AY24" s="138">
        <f t="shared" si="16"/>
        <v>20000</v>
      </c>
      <c r="AZ24" s="138"/>
      <c r="BA24" s="138"/>
      <c r="BB24" s="138"/>
      <c r="BC24" s="137"/>
    </row>
    <row r="25" spans="1:55" s="139" customFormat="1" ht="28">
      <c r="A25" s="137">
        <f t="shared" si="8"/>
        <v>17</v>
      </c>
      <c r="B25" s="140">
        <v>2056</v>
      </c>
      <c r="C25" s="137" t="s">
        <v>841</v>
      </c>
      <c r="D25" s="138">
        <v>1400000</v>
      </c>
      <c r="E25" s="138"/>
      <c r="F25" s="138">
        <f>D25-E25</f>
        <v>1400000</v>
      </c>
      <c r="G25" s="138"/>
      <c r="H25" s="138"/>
      <c r="I25" s="138"/>
      <c r="J25" s="138"/>
      <c r="K25" s="138">
        <f t="shared" si="9"/>
        <v>0</v>
      </c>
      <c r="L25" s="138">
        <f t="shared" si="3"/>
        <v>0</v>
      </c>
      <c r="M25" s="138">
        <f t="shared" si="4"/>
        <v>0</v>
      </c>
      <c r="N25" s="138">
        <v>100000</v>
      </c>
      <c r="O25" s="138">
        <f t="shared" si="0"/>
        <v>1300000</v>
      </c>
      <c r="P25" s="138">
        <f t="shared" si="5"/>
        <v>0</v>
      </c>
      <c r="Q25" s="138"/>
      <c r="R25" s="138"/>
      <c r="S25" s="138">
        <f t="shared" si="10"/>
        <v>0</v>
      </c>
      <c r="T25" s="138">
        <f t="shared" si="6"/>
        <v>0</v>
      </c>
      <c r="U25" s="138">
        <f t="shared" si="1"/>
        <v>100000</v>
      </c>
      <c r="V25" s="138">
        <f t="shared" si="7"/>
        <v>100000</v>
      </c>
      <c r="W25" s="138"/>
      <c r="X25" s="138"/>
      <c r="Y25" s="138"/>
      <c r="Z25" s="137"/>
      <c r="AA25" s="137">
        <v>930000</v>
      </c>
      <c r="AB25" s="137"/>
      <c r="AC25" s="138">
        <v>100000</v>
      </c>
      <c r="AD25" s="138"/>
      <c r="AE25" s="138"/>
      <c r="AF25" s="138"/>
      <c r="AG25" s="138"/>
      <c r="AH25" s="138"/>
      <c r="AI25" s="138"/>
      <c r="AJ25" s="138"/>
      <c r="AK25" s="138">
        <f t="shared" si="11"/>
        <v>100000</v>
      </c>
      <c r="AL25" s="138"/>
      <c r="AM25" s="138">
        <f t="shared" si="12"/>
        <v>100000</v>
      </c>
      <c r="AN25" s="138">
        <f t="shared" si="13"/>
        <v>0</v>
      </c>
      <c r="AO25" s="138">
        <f t="shared" si="14"/>
        <v>100000</v>
      </c>
      <c r="AP25" s="138"/>
      <c r="AQ25" s="138"/>
      <c r="AR25" s="138"/>
      <c r="AS25" s="138"/>
      <c r="AT25" s="138">
        <f t="shared" si="15"/>
        <v>0</v>
      </c>
      <c r="AU25" s="138"/>
      <c r="AV25" s="138"/>
      <c r="AW25" s="138"/>
      <c r="AX25" s="138"/>
      <c r="AY25" s="138">
        <f t="shared" si="16"/>
        <v>0</v>
      </c>
      <c r="AZ25" s="138"/>
      <c r="BA25" s="138"/>
      <c r="BB25" s="138"/>
      <c r="BC25" s="138"/>
    </row>
    <row r="26" spans="1:55" s="143" customFormat="1" ht="15.5">
      <c r="A26" s="141">
        <f>A25</f>
        <v>17</v>
      </c>
      <c r="B26" s="141"/>
      <c r="C26" s="141" t="s">
        <v>1418</v>
      </c>
      <c r="D26" s="142">
        <f t="shared" ref="D26:BC26" si="17">SUM(D9:D25)</f>
        <v>153914700</v>
      </c>
      <c r="E26" s="142">
        <f t="shared" si="17"/>
        <v>152144700</v>
      </c>
      <c r="F26" s="142">
        <f t="shared" si="17"/>
        <v>1770000</v>
      </c>
      <c r="G26" s="142">
        <f t="shared" si="17"/>
        <v>86547525</v>
      </c>
      <c r="H26" s="142">
        <f t="shared" si="17"/>
        <v>67054113.32</v>
      </c>
      <c r="I26" s="142">
        <f t="shared" si="17"/>
        <v>0</v>
      </c>
      <c r="J26" s="142">
        <f t="shared" si="17"/>
        <v>25119.5</v>
      </c>
      <c r="K26" s="142">
        <f t="shared" si="17"/>
        <v>25119.5</v>
      </c>
      <c r="L26" s="142">
        <f t="shared" si="17"/>
        <v>67079232.82</v>
      </c>
      <c r="M26" s="142">
        <f t="shared" si="17"/>
        <v>19468292.18</v>
      </c>
      <c r="N26" s="142">
        <f t="shared" si="17"/>
        <v>3070000</v>
      </c>
      <c r="O26" s="142">
        <f t="shared" si="17"/>
        <v>64297175</v>
      </c>
      <c r="P26" s="142">
        <f t="shared" si="17"/>
        <v>19468292.18</v>
      </c>
      <c r="Q26" s="142">
        <f t="shared" si="17"/>
        <v>0</v>
      </c>
      <c r="R26" s="142">
        <f t="shared" si="17"/>
        <v>0</v>
      </c>
      <c r="S26" s="142">
        <f t="shared" si="17"/>
        <v>0</v>
      </c>
      <c r="T26" s="142">
        <f t="shared" si="17"/>
        <v>0</v>
      </c>
      <c r="U26" s="142">
        <f t="shared" si="17"/>
        <v>3070000</v>
      </c>
      <c r="V26" s="142">
        <f t="shared" si="17"/>
        <v>3070000</v>
      </c>
      <c r="W26" s="142">
        <f t="shared" si="17"/>
        <v>0</v>
      </c>
      <c r="X26" s="142">
        <f t="shared" si="17"/>
        <v>0</v>
      </c>
      <c r="Y26" s="142">
        <f t="shared" si="17"/>
        <v>0</v>
      </c>
      <c r="Z26" s="142">
        <f t="shared" si="17"/>
        <v>0</v>
      </c>
      <c r="AA26" s="142">
        <f t="shared" si="17"/>
        <v>15820000</v>
      </c>
      <c r="AB26" s="142">
        <f t="shared" si="17"/>
        <v>0</v>
      </c>
      <c r="AC26" s="142">
        <f t="shared" si="17"/>
        <v>100000</v>
      </c>
      <c r="AD26" s="142">
        <f t="shared" si="17"/>
        <v>10000</v>
      </c>
      <c r="AE26" s="142">
        <f t="shared" si="17"/>
        <v>10000</v>
      </c>
      <c r="AF26" s="142">
        <f t="shared" si="17"/>
        <v>0</v>
      </c>
      <c r="AG26" s="142">
        <f t="shared" si="17"/>
        <v>0</v>
      </c>
      <c r="AH26" s="142">
        <f t="shared" si="17"/>
        <v>250000</v>
      </c>
      <c r="AI26" s="142">
        <f t="shared" si="17"/>
        <v>0</v>
      </c>
      <c r="AJ26" s="142">
        <f t="shared" si="17"/>
        <v>10000</v>
      </c>
      <c r="AK26" s="142">
        <f t="shared" si="17"/>
        <v>380000</v>
      </c>
      <c r="AL26" s="142">
        <f t="shared" si="17"/>
        <v>0</v>
      </c>
      <c r="AM26" s="142">
        <f t="shared" si="17"/>
        <v>380000</v>
      </c>
      <c r="AN26" s="142">
        <f t="shared" si="17"/>
        <v>2690000</v>
      </c>
      <c r="AO26" s="142">
        <f t="shared" si="17"/>
        <v>380000</v>
      </c>
      <c r="AP26" s="142">
        <f t="shared" si="17"/>
        <v>0</v>
      </c>
      <c r="AQ26" s="142">
        <f t="shared" si="17"/>
        <v>0</v>
      </c>
      <c r="AR26" s="142">
        <f t="shared" si="17"/>
        <v>0</v>
      </c>
      <c r="AS26" s="142">
        <f t="shared" si="17"/>
        <v>0</v>
      </c>
      <c r="AT26" s="142">
        <f t="shared" si="17"/>
        <v>0</v>
      </c>
      <c r="AU26" s="142">
        <f t="shared" si="17"/>
        <v>0</v>
      </c>
      <c r="AV26" s="142">
        <f t="shared" si="17"/>
        <v>0</v>
      </c>
      <c r="AW26" s="142">
        <f t="shared" si="17"/>
        <v>0</v>
      </c>
      <c r="AX26" s="142">
        <f t="shared" si="17"/>
        <v>0</v>
      </c>
      <c r="AY26" s="142">
        <f t="shared" si="17"/>
        <v>2690000</v>
      </c>
      <c r="AZ26" s="142">
        <f t="shared" si="17"/>
        <v>0</v>
      </c>
      <c r="BA26" s="142">
        <f t="shared" si="17"/>
        <v>0</v>
      </c>
      <c r="BB26" s="142">
        <f t="shared" si="17"/>
        <v>0</v>
      </c>
      <c r="BC26" s="142">
        <f t="shared" si="17"/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B6:AK6"/>
    <mergeCell ref="AO6:AS6"/>
    <mergeCell ref="U6:Z6"/>
  </mergeCells>
  <conditionalFormatting sqref="AK6:AL6 AN6">
    <cfRule type="cellIs" dxfId="51" priority="19" operator="equal">
      <formula>0</formula>
    </cfRule>
  </conditionalFormatting>
  <conditionalFormatting sqref="AB6:AB7 AJ6">
    <cfRule type="cellIs" dxfId="50" priority="18" operator="equal">
      <formula>0</formula>
    </cfRule>
  </conditionalFormatting>
  <conditionalFormatting sqref="A6:T6">
    <cfRule type="cellIs" dxfId="49" priority="17" operator="equal">
      <formula>0</formula>
    </cfRule>
  </conditionalFormatting>
  <conditionalFormatting sqref="AC6:AC7">
    <cfRule type="cellIs" dxfId="48" priority="16" operator="equal">
      <formula>0</formula>
    </cfRule>
  </conditionalFormatting>
  <conditionalFormatting sqref="AD6">
    <cfRule type="cellIs" dxfId="47" priority="15" operator="equal">
      <formula>0</formula>
    </cfRule>
  </conditionalFormatting>
  <conditionalFormatting sqref="AD7">
    <cfRule type="cellIs" dxfId="46" priority="14" operator="equal">
      <formula>0</formula>
    </cfRule>
  </conditionalFormatting>
  <conditionalFormatting sqref="AE6">
    <cfRule type="cellIs" dxfId="45" priority="13" operator="equal">
      <formula>0</formula>
    </cfRule>
  </conditionalFormatting>
  <conditionalFormatting sqref="AE7">
    <cfRule type="cellIs" dxfId="44" priority="12" operator="equal">
      <formula>0</formula>
    </cfRule>
  </conditionalFormatting>
  <conditionalFormatting sqref="AF6">
    <cfRule type="cellIs" dxfId="43" priority="11" operator="equal">
      <formula>0</formula>
    </cfRule>
  </conditionalFormatting>
  <conditionalFormatting sqref="AF7">
    <cfRule type="cellIs" dxfId="42" priority="10" operator="equal">
      <formula>0</formula>
    </cfRule>
  </conditionalFormatting>
  <conditionalFormatting sqref="AG6">
    <cfRule type="cellIs" dxfId="41" priority="9" operator="equal">
      <formula>0</formula>
    </cfRule>
  </conditionalFormatting>
  <conditionalFormatting sqref="AG7">
    <cfRule type="cellIs" dxfId="40" priority="8" operator="equal">
      <formula>0</formula>
    </cfRule>
  </conditionalFormatting>
  <conditionalFormatting sqref="AH6">
    <cfRule type="cellIs" dxfId="39" priority="7" operator="equal">
      <formula>0</formula>
    </cfRule>
  </conditionalFormatting>
  <conditionalFormatting sqref="AH7">
    <cfRule type="cellIs" dxfId="38" priority="6" operator="equal">
      <formula>0</formula>
    </cfRule>
  </conditionalFormatting>
  <conditionalFormatting sqref="AI6">
    <cfRule type="cellIs" dxfId="37" priority="5" operator="equal">
      <formula>0</formula>
    </cfRule>
  </conditionalFormatting>
  <conditionalFormatting sqref="AI7">
    <cfRule type="cellIs" dxfId="36" priority="4" operator="equal">
      <formula>0</formula>
    </cfRule>
  </conditionalFormatting>
  <conditionalFormatting sqref="AJ7">
    <cfRule type="cellIs" dxfId="35" priority="3" operator="equal">
      <formula>0</formula>
    </cfRule>
  </conditionalFormatting>
  <conditionalFormatting sqref="AU6:AW6">
    <cfRule type="cellIs" dxfId="34" priority="2" operator="equal">
      <formula>0</formula>
    </cfRule>
  </conditionalFormatting>
  <conditionalFormatting sqref="AX6 AY7:BC7 AZ6:BC6">
    <cfRule type="cellIs" dxfId="33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4:BC19"/>
  <sheetViews>
    <sheetView showZeros="0" rightToLeft="1" zoomScaleNormal="100" workbookViewId="0">
      <pane xSplit="3" ySplit="7" topLeftCell="T8" activePane="bottomRight" state="frozen"/>
      <selection activeCell="T20" sqref="T20"/>
      <selection pane="topRight" activeCell="T20" sqref="T20"/>
      <selection pane="bottomLeft" activeCell="T20" sqref="T20"/>
      <selection pane="bottomRight" activeCell="T20" sqref="T20"/>
    </sheetView>
  </sheetViews>
  <sheetFormatPr defaultColWidth="9.1796875" defaultRowHeight="14"/>
  <cols>
    <col min="1" max="1" width="3.54296875" style="40" customWidth="1"/>
    <col min="2" max="2" width="5.7265625" style="15" customWidth="1"/>
    <col min="3" max="3" width="36.1796875" style="15" customWidth="1"/>
    <col min="4" max="4" width="11" style="17" hidden="1" customWidth="1"/>
    <col min="5" max="5" width="10.81640625" style="17" hidden="1" customWidth="1"/>
    <col min="6" max="6" width="10.26953125" style="17" hidden="1" customWidth="1"/>
    <col min="7" max="10" width="12.7265625" style="17" hidden="1" customWidth="1"/>
    <col min="11" max="11" width="11.26953125" style="17" hidden="1" customWidth="1"/>
    <col min="12" max="12" width="10.7265625" style="17" hidden="1" customWidth="1"/>
    <col min="13" max="13" width="10.81640625" style="17" hidden="1" customWidth="1"/>
    <col min="14" max="17" width="11.1796875" style="17" hidden="1" customWidth="1"/>
    <col min="18" max="19" width="12" style="17" hidden="1" customWidth="1"/>
    <col min="20" max="20" width="10" style="17" customWidth="1"/>
    <col min="21" max="22" width="10.7265625" style="15" customWidth="1"/>
    <col min="23" max="25" width="7.26953125" style="15" customWidth="1"/>
    <col min="26" max="26" width="10.7265625" style="15" customWidth="1"/>
    <col min="27" max="27" width="7.81640625" style="15" hidden="1" customWidth="1"/>
    <col min="28" max="28" width="13.453125" style="15" hidden="1" customWidth="1"/>
    <col min="29" max="36" width="13.7265625" style="15" hidden="1" customWidth="1"/>
    <col min="37" max="37" width="12.81640625" style="15" hidden="1" customWidth="1"/>
    <col min="38" max="38" width="10.1796875" style="15" hidden="1" customWidth="1"/>
    <col min="39" max="39" width="11.7265625" style="15" customWidth="1"/>
    <col min="40" max="40" width="10.7265625" style="15" customWidth="1"/>
    <col min="41" max="41" width="9.7265625" style="15" customWidth="1"/>
    <col min="42" max="44" width="7.26953125" style="15" customWidth="1"/>
    <col min="45" max="45" width="9.7265625" style="15" customWidth="1"/>
    <col min="46" max="49" width="9.1796875" style="15" hidden="1" customWidth="1"/>
    <col min="50" max="50" width="10.1796875" style="15" hidden="1" customWidth="1"/>
    <col min="51" max="55" width="9.1796875" style="15" hidden="1" customWidth="1"/>
    <col min="56" max="16384" width="9.1796875" style="15"/>
  </cols>
  <sheetData>
    <row r="4" spans="1:55" ht="18">
      <c r="A4" s="122" t="s">
        <v>1000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</row>
    <row r="5" spans="1:55" ht="18"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</row>
    <row r="6" spans="1:55">
      <c r="A6" s="530"/>
      <c r="B6" s="531"/>
      <c r="C6" s="531"/>
      <c r="D6" s="531"/>
      <c r="E6" s="531"/>
      <c r="F6" s="531"/>
      <c r="G6" s="531"/>
      <c r="H6" s="531"/>
      <c r="I6" s="531"/>
      <c r="J6" s="531"/>
      <c r="K6" s="531"/>
      <c r="L6" s="531"/>
      <c r="M6" s="531"/>
      <c r="N6" s="531"/>
      <c r="O6" s="531"/>
      <c r="P6" s="531"/>
      <c r="Q6" s="531"/>
      <c r="R6" s="531"/>
      <c r="S6" s="531"/>
      <c r="T6" s="531"/>
      <c r="U6" s="738" t="s">
        <v>146</v>
      </c>
      <c r="V6" s="739"/>
      <c r="W6" s="739"/>
      <c r="X6" s="739"/>
      <c r="Y6" s="739"/>
      <c r="Z6" s="740"/>
      <c r="AB6" s="735" t="s">
        <v>489</v>
      </c>
      <c r="AC6" s="736"/>
      <c r="AD6" s="736"/>
      <c r="AE6" s="736"/>
      <c r="AF6" s="736"/>
      <c r="AG6" s="736"/>
      <c r="AH6" s="736"/>
      <c r="AI6" s="736"/>
      <c r="AJ6" s="736"/>
      <c r="AK6" s="737"/>
      <c r="AL6" s="110"/>
      <c r="AM6" s="675" t="s">
        <v>489</v>
      </c>
      <c r="AN6" s="496"/>
      <c r="AO6" s="735" t="s">
        <v>834</v>
      </c>
      <c r="AP6" s="736"/>
      <c r="AQ6" s="736"/>
      <c r="AR6" s="736"/>
      <c r="AS6" s="737"/>
      <c r="AT6" s="495" t="s">
        <v>835</v>
      </c>
      <c r="AU6" s="496"/>
      <c r="AV6" s="496"/>
      <c r="AW6" s="497"/>
      <c r="AX6" s="110"/>
      <c r="AY6" s="495" t="s">
        <v>836</v>
      </c>
      <c r="AZ6" s="496"/>
      <c r="BA6" s="496"/>
      <c r="BB6" s="496"/>
      <c r="BC6" s="497"/>
    </row>
    <row r="7" spans="1:55" s="41" customFormat="1" ht="86.25" customHeight="1">
      <c r="A7" s="11" t="s">
        <v>0</v>
      </c>
      <c r="B7" s="11" t="s">
        <v>1</v>
      </c>
      <c r="C7" s="11" t="s">
        <v>2</v>
      </c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  <c r="I7" s="11" t="s">
        <v>9</v>
      </c>
      <c r="J7" s="11" t="s">
        <v>318</v>
      </c>
      <c r="K7" s="11" t="s">
        <v>10</v>
      </c>
      <c r="L7" s="11" t="s">
        <v>11</v>
      </c>
      <c r="M7" s="11" t="s">
        <v>309</v>
      </c>
      <c r="N7" s="11" t="s">
        <v>310</v>
      </c>
      <c r="O7" s="11" t="s">
        <v>311</v>
      </c>
      <c r="P7" s="11" t="s">
        <v>12</v>
      </c>
      <c r="Q7" s="11" t="s">
        <v>312</v>
      </c>
      <c r="R7" s="11" t="s">
        <v>313</v>
      </c>
      <c r="S7" s="11" t="s">
        <v>314</v>
      </c>
      <c r="T7" s="11" t="s">
        <v>315</v>
      </c>
      <c r="U7" s="11" t="s">
        <v>316</v>
      </c>
      <c r="V7" s="11" t="s">
        <v>13</v>
      </c>
      <c r="W7" s="11" t="s">
        <v>14</v>
      </c>
      <c r="X7" s="11" t="s">
        <v>15</v>
      </c>
      <c r="Y7" s="11" t="s">
        <v>523</v>
      </c>
      <c r="Z7" s="11" t="s">
        <v>140</v>
      </c>
      <c r="AA7" s="11" t="s">
        <v>16</v>
      </c>
      <c r="AB7" s="107" t="s">
        <v>490</v>
      </c>
      <c r="AC7" s="107" t="s">
        <v>491</v>
      </c>
      <c r="AD7" s="107" t="s">
        <v>492</v>
      </c>
      <c r="AE7" s="107" t="s">
        <v>493</v>
      </c>
      <c r="AF7" s="107" t="s">
        <v>494</v>
      </c>
      <c r="AG7" s="107" t="s">
        <v>495</v>
      </c>
      <c r="AH7" s="107" t="s">
        <v>496</v>
      </c>
      <c r="AI7" s="107" t="s">
        <v>497</v>
      </c>
      <c r="AJ7" s="107" t="s">
        <v>498</v>
      </c>
      <c r="AK7" s="498" t="s">
        <v>837</v>
      </c>
      <c r="AL7" s="498" t="s">
        <v>838</v>
      </c>
      <c r="AM7" s="498" t="s">
        <v>839</v>
      </c>
      <c r="AN7" s="498" t="s">
        <v>840</v>
      </c>
      <c r="AO7" s="498" t="s">
        <v>13</v>
      </c>
      <c r="AP7" s="498" t="s">
        <v>14</v>
      </c>
      <c r="AQ7" s="498" t="s">
        <v>15</v>
      </c>
      <c r="AR7" s="498" t="s">
        <v>523</v>
      </c>
      <c r="AS7" s="498" t="s">
        <v>140</v>
      </c>
      <c r="AT7" s="498" t="s">
        <v>13</v>
      </c>
      <c r="AU7" s="498" t="s">
        <v>14</v>
      </c>
      <c r="AV7" s="498" t="s">
        <v>15</v>
      </c>
      <c r="AW7" s="498" t="s">
        <v>523</v>
      </c>
      <c r="AX7" s="498" t="s">
        <v>140</v>
      </c>
      <c r="AY7" s="107" t="s">
        <v>13</v>
      </c>
      <c r="AZ7" s="107" t="s">
        <v>14</v>
      </c>
      <c r="BA7" s="107" t="s">
        <v>15</v>
      </c>
      <c r="BB7" s="107" t="s">
        <v>523</v>
      </c>
      <c r="BC7" s="107" t="s">
        <v>140</v>
      </c>
    </row>
    <row r="8" spans="1:55" s="5" customFormat="1">
      <c r="A8" s="3"/>
      <c r="B8" s="3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53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3"/>
      <c r="AP8" s="3"/>
      <c r="AQ8" s="3"/>
      <c r="AR8" s="57"/>
      <c r="AS8" s="57"/>
      <c r="AT8" s="57"/>
      <c r="AU8" s="3"/>
      <c r="AV8" s="3"/>
      <c r="AW8" s="3"/>
      <c r="AX8" s="57"/>
      <c r="AY8" s="57"/>
      <c r="AZ8" s="57"/>
      <c r="BA8" s="3"/>
      <c r="BB8" s="3"/>
      <c r="BC8" s="3"/>
    </row>
    <row r="9" spans="1:55" s="5" customFormat="1">
      <c r="A9" s="3">
        <v>1</v>
      </c>
      <c r="B9" s="3">
        <v>529</v>
      </c>
      <c r="C9" s="3" t="s">
        <v>107</v>
      </c>
      <c r="D9" s="4">
        <v>550000</v>
      </c>
      <c r="E9" s="4">
        <v>550000</v>
      </c>
      <c r="F9" s="4">
        <f>D9-E9</f>
        <v>0</v>
      </c>
      <c r="G9" s="4">
        <v>500000</v>
      </c>
      <c r="H9" s="4">
        <v>416252.8</v>
      </c>
      <c r="I9" s="4"/>
      <c r="J9" s="4"/>
      <c r="K9" s="4">
        <f>SUM(I9:J9)</f>
        <v>0</v>
      </c>
      <c r="L9" s="4">
        <f>H9+K9</f>
        <v>416252.8</v>
      </c>
      <c r="M9" s="4">
        <f>P9+S9</f>
        <v>83747.200000000012</v>
      </c>
      <c r="N9" s="4">
        <v>50000</v>
      </c>
      <c r="O9" s="4">
        <f>D9-L9-M9-N9</f>
        <v>0</v>
      </c>
      <c r="P9" s="4">
        <f>G9-L9</f>
        <v>83747.200000000012</v>
      </c>
      <c r="Q9" s="4"/>
      <c r="R9" s="4"/>
      <c r="S9" s="4">
        <f>SUM(Q9:R9)</f>
        <v>0</v>
      </c>
      <c r="T9" s="4">
        <f>P9-M9+S9</f>
        <v>0</v>
      </c>
      <c r="U9" s="4">
        <f>N9-T9</f>
        <v>50000</v>
      </c>
      <c r="V9" s="4">
        <f>U9-W9-Y9-Z9</f>
        <v>50000</v>
      </c>
      <c r="W9" s="4"/>
      <c r="X9" s="4"/>
      <c r="Y9" s="4"/>
      <c r="Z9" s="4"/>
      <c r="AA9" s="3">
        <v>764000</v>
      </c>
      <c r="AB9" s="57"/>
      <c r="AC9" s="57"/>
      <c r="AD9" s="4"/>
      <c r="AE9" s="4"/>
      <c r="AF9" s="4"/>
      <c r="AG9" s="4"/>
      <c r="AH9" s="4"/>
      <c r="AI9" s="4">
        <v>50000</v>
      </c>
      <c r="AJ9" s="4"/>
      <c r="AK9" s="4">
        <f>SUM(AB9:AJ9)</f>
        <v>50000</v>
      </c>
      <c r="AL9" s="4">
        <f>U9-AK9</f>
        <v>0</v>
      </c>
      <c r="AM9" s="4">
        <f>AK9+AL9</f>
        <v>50000</v>
      </c>
      <c r="AN9" s="4">
        <f>U9-AM9</f>
        <v>0</v>
      </c>
      <c r="AO9" s="4">
        <f>AM9</f>
        <v>50000</v>
      </c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</row>
    <row r="10" spans="1:55" s="5" customFormat="1">
      <c r="A10" s="3">
        <f>A9+1</f>
        <v>2</v>
      </c>
      <c r="B10" s="3">
        <v>1209</v>
      </c>
      <c r="C10" s="3" t="s">
        <v>108</v>
      </c>
      <c r="D10" s="4">
        <f>1940000-1000000</f>
        <v>940000</v>
      </c>
      <c r="E10" s="4">
        <v>940000</v>
      </c>
      <c r="F10" s="4">
        <f>D10-E10</f>
        <v>0</v>
      </c>
      <c r="G10" s="4">
        <v>940000</v>
      </c>
      <c r="H10" s="4">
        <v>912429</v>
      </c>
      <c r="I10" s="4"/>
      <c r="J10" s="4"/>
      <c r="K10" s="4">
        <f>SUM(I10:J10)</f>
        <v>0</v>
      </c>
      <c r="L10" s="4">
        <f>H10+K10</f>
        <v>912429</v>
      </c>
      <c r="M10" s="4">
        <f>P10+S10</f>
        <v>27571</v>
      </c>
      <c r="N10" s="4"/>
      <c r="O10" s="4">
        <f>D10-L10-M10-N10</f>
        <v>0</v>
      </c>
      <c r="P10" s="4">
        <f>G10-L10</f>
        <v>27571</v>
      </c>
      <c r="Q10" s="4"/>
      <c r="R10" s="4"/>
      <c r="S10" s="4">
        <f>SUM(Q10:R10)</f>
        <v>0</v>
      </c>
      <c r="T10" s="4">
        <f>P10-M10+S10</f>
        <v>0</v>
      </c>
      <c r="U10" s="4">
        <f>N10-T10</f>
        <v>0</v>
      </c>
      <c r="V10" s="4">
        <f>U10-W10-Y10-Z10</f>
        <v>0</v>
      </c>
      <c r="W10" s="4"/>
      <c r="X10" s="4"/>
      <c r="Y10" s="4"/>
      <c r="Z10" s="4"/>
      <c r="AA10" s="3">
        <v>870000</v>
      </c>
      <c r="AB10" s="57"/>
      <c r="AC10" s="57"/>
      <c r="AD10" s="4"/>
      <c r="AE10" s="4"/>
      <c r="AF10" s="4"/>
      <c r="AG10" s="4"/>
      <c r="AH10" s="4"/>
      <c r="AI10" s="4"/>
      <c r="AJ10" s="4"/>
      <c r="AK10" s="4">
        <f>SUM(AB10:AJ10)</f>
        <v>0</v>
      </c>
      <c r="AL10" s="4">
        <f>U10-AK10</f>
        <v>0</v>
      </c>
      <c r="AM10" s="4">
        <f>AK10+AL10</f>
        <v>0</v>
      </c>
      <c r="AN10" s="4">
        <f>U10-AM10</f>
        <v>0</v>
      </c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</row>
    <row r="11" spans="1:55" s="5" customFormat="1" ht="16.899999999999999" customHeight="1">
      <c r="A11" s="3">
        <v>3</v>
      </c>
      <c r="B11" s="3">
        <v>1210</v>
      </c>
      <c r="C11" s="3" t="s">
        <v>109</v>
      </c>
      <c r="D11" s="4">
        <v>88000000</v>
      </c>
      <c r="E11" s="4">
        <v>77000000</v>
      </c>
      <c r="F11" s="4">
        <f>D11-E11</f>
        <v>11000000</v>
      </c>
      <c r="G11" s="4">
        <v>59250000</v>
      </c>
      <c r="H11" s="4">
        <v>57813996</v>
      </c>
      <c r="I11" s="4"/>
      <c r="J11" s="4"/>
      <c r="K11" s="4">
        <f>SUM(I11:J11)</f>
        <v>0</v>
      </c>
      <c r="L11" s="4">
        <f>H11+K11</f>
        <v>57813996</v>
      </c>
      <c r="M11" s="4">
        <f>P11+S11</f>
        <v>2936004</v>
      </c>
      <c r="N11" s="4">
        <v>13700000</v>
      </c>
      <c r="O11" s="4">
        <f>D11-L11-M11-N11</f>
        <v>13550000</v>
      </c>
      <c r="P11" s="4">
        <f>G11-L11</f>
        <v>1436004</v>
      </c>
      <c r="Q11" s="4">
        <v>1500000</v>
      </c>
      <c r="R11" s="4"/>
      <c r="S11" s="4">
        <f>SUM(Q11:R11)</f>
        <v>1500000</v>
      </c>
      <c r="T11" s="4">
        <f>P11-M11+S11</f>
        <v>0</v>
      </c>
      <c r="U11" s="4">
        <f>N11-T11</f>
        <v>13700000</v>
      </c>
      <c r="V11" s="4">
        <f>U11-W11-Y11-Z11</f>
        <v>0</v>
      </c>
      <c r="W11" s="4"/>
      <c r="X11" s="4"/>
      <c r="Y11" s="4"/>
      <c r="Z11" s="4">
        <v>13700000</v>
      </c>
      <c r="AA11" s="3">
        <v>870000</v>
      </c>
      <c r="AB11" s="57"/>
      <c r="AC11" s="57"/>
      <c r="AD11" s="4">
        <v>1000000</v>
      </c>
      <c r="AE11" s="4"/>
      <c r="AF11" s="4">
        <v>1000000</v>
      </c>
      <c r="AG11" s="4">
        <v>1000000</v>
      </c>
      <c r="AH11" s="4">
        <v>1500000</v>
      </c>
      <c r="AI11" s="4"/>
      <c r="AJ11" s="4">
        <v>2000000</v>
      </c>
      <c r="AK11" s="4">
        <f>SUM(AB11:AJ11)</f>
        <v>6500000</v>
      </c>
      <c r="AL11" s="4"/>
      <c r="AM11" s="4">
        <f>AK11+AL11</f>
        <v>6500000</v>
      </c>
      <c r="AN11" s="4">
        <f>U11-AM11</f>
        <v>7200000</v>
      </c>
      <c r="AO11" s="4"/>
      <c r="AP11" s="4"/>
      <c r="AQ11" s="4"/>
      <c r="AR11" s="4"/>
      <c r="AS11" s="4">
        <f>AM11</f>
        <v>6500000</v>
      </c>
      <c r="AT11" s="4"/>
      <c r="AU11" s="4"/>
      <c r="AV11" s="4"/>
      <c r="AW11" s="4"/>
      <c r="AX11" s="4">
        <f>AL11</f>
        <v>0</v>
      </c>
      <c r="AY11" s="4"/>
      <c r="AZ11" s="4"/>
      <c r="BA11" s="4"/>
      <c r="BB11" s="4"/>
      <c r="BC11" s="4">
        <f>AN11</f>
        <v>7200000</v>
      </c>
    </row>
    <row r="12" spans="1:55" s="56" customFormat="1" ht="15.5">
      <c r="A12" s="48">
        <f>A11</f>
        <v>3</v>
      </c>
      <c r="B12" s="48" t="s">
        <v>67</v>
      </c>
      <c r="C12" s="48" t="s">
        <v>1419</v>
      </c>
      <c r="D12" s="13">
        <f t="shared" ref="D12:BC12" si="0">SUM(D9:D11)</f>
        <v>89490000</v>
      </c>
      <c r="E12" s="13">
        <f t="shared" si="0"/>
        <v>78490000</v>
      </c>
      <c r="F12" s="13">
        <f t="shared" si="0"/>
        <v>11000000</v>
      </c>
      <c r="G12" s="13">
        <f t="shared" si="0"/>
        <v>60690000</v>
      </c>
      <c r="H12" s="13">
        <f t="shared" si="0"/>
        <v>59142677.799999997</v>
      </c>
      <c r="I12" s="13">
        <f t="shared" si="0"/>
        <v>0</v>
      </c>
      <c r="J12" s="13">
        <f t="shared" si="0"/>
        <v>0</v>
      </c>
      <c r="K12" s="13">
        <f t="shared" si="0"/>
        <v>0</v>
      </c>
      <c r="L12" s="13">
        <f t="shared" si="0"/>
        <v>59142677.799999997</v>
      </c>
      <c r="M12" s="13">
        <f t="shared" si="0"/>
        <v>3047322.2</v>
      </c>
      <c r="N12" s="13">
        <f t="shared" si="0"/>
        <v>13750000</v>
      </c>
      <c r="O12" s="13">
        <f t="shared" si="0"/>
        <v>13550000</v>
      </c>
      <c r="P12" s="13">
        <f t="shared" si="0"/>
        <v>1547322.2</v>
      </c>
      <c r="Q12" s="13">
        <f t="shared" si="0"/>
        <v>1500000</v>
      </c>
      <c r="R12" s="13">
        <f t="shared" si="0"/>
        <v>0</v>
      </c>
      <c r="S12" s="13">
        <f t="shared" si="0"/>
        <v>1500000</v>
      </c>
      <c r="T12" s="13">
        <f t="shared" si="0"/>
        <v>0</v>
      </c>
      <c r="U12" s="13">
        <f t="shared" si="0"/>
        <v>13750000</v>
      </c>
      <c r="V12" s="13">
        <f t="shared" si="0"/>
        <v>50000</v>
      </c>
      <c r="W12" s="13">
        <f t="shared" si="0"/>
        <v>0</v>
      </c>
      <c r="X12" s="13">
        <f>SUM(X9:X11)</f>
        <v>0</v>
      </c>
      <c r="Y12" s="13">
        <f t="shared" si="0"/>
        <v>0</v>
      </c>
      <c r="Z12" s="13">
        <f t="shared" si="0"/>
        <v>13700000</v>
      </c>
      <c r="AA12" s="13">
        <f t="shared" si="0"/>
        <v>2504000</v>
      </c>
      <c r="AB12" s="13">
        <f t="shared" si="0"/>
        <v>0</v>
      </c>
      <c r="AC12" s="13">
        <f t="shared" si="0"/>
        <v>0</v>
      </c>
      <c r="AD12" s="13">
        <f t="shared" si="0"/>
        <v>1000000</v>
      </c>
      <c r="AE12" s="13">
        <f t="shared" si="0"/>
        <v>0</v>
      </c>
      <c r="AF12" s="13">
        <f t="shared" si="0"/>
        <v>1000000</v>
      </c>
      <c r="AG12" s="13">
        <f t="shared" si="0"/>
        <v>1000000</v>
      </c>
      <c r="AH12" s="13">
        <f t="shared" si="0"/>
        <v>1500000</v>
      </c>
      <c r="AI12" s="13">
        <f t="shared" si="0"/>
        <v>50000</v>
      </c>
      <c r="AJ12" s="13">
        <f t="shared" si="0"/>
        <v>2000000</v>
      </c>
      <c r="AK12" s="13">
        <f t="shared" si="0"/>
        <v>6550000</v>
      </c>
      <c r="AL12" s="13">
        <f t="shared" si="0"/>
        <v>0</v>
      </c>
      <c r="AM12" s="13">
        <f t="shared" si="0"/>
        <v>6550000</v>
      </c>
      <c r="AN12" s="13">
        <f t="shared" si="0"/>
        <v>7200000</v>
      </c>
      <c r="AO12" s="13">
        <f t="shared" si="0"/>
        <v>50000</v>
      </c>
      <c r="AP12" s="13">
        <f t="shared" si="0"/>
        <v>0</v>
      </c>
      <c r="AQ12" s="13">
        <f t="shared" si="0"/>
        <v>0</v>
      </c>
      <c r="AR12" s="13">
        <f t="shared" si="0"/>
        <v>0</v>
      </c>
      <c r="AS12" s="13">
        <f t="shared" si="0"/>
        <v>6500000</v>
      </c>
      <c r="AT12" s="13">
        <f t="shared" si="0"/>
        <v>0</v>
      </c>
      <c r="AU12" s="13">
        <f t="shared" si="0"/>
        <v>0</v>
      </c>
      <c r="AV12" s="13">
        <f t="shared" si="0"/>
        <v>0</v>
      </c>
      <c r="AW12" s="13">
        <f t="shared" si="0"/>
        <v>0</v>
      </c>
      <c r="AX12" s="13">
        <f t="shared" si="0"/>
        <v>0</v>
      </c>
      <c r="AY12" s="13">
        <f t="shared" si="0"/>
        <v>0</v>
      </c>
      <c r="AZ12" s="13">
        <f t="shared" si="0"/>
        <v>0</v>
      </c>
      <c r="BA12" s="13">
        <f t="shared" si="0"/>
        <v>0</v>
      </c>
      <c r="BB12" s="13">
        <f t="shared" si="0"/>
        <v>0</v>
      </c>
      <c r="BC12" s="13">
        <f t="shared" si="0"/>
        <v>7200000</v>
      </c>
    </row>
    <row r="13" spans="1:55">
      <c r="K13" s="27"/>
      <c r="L13" s="27"/>
      <c r="M13" s="27"/>
      <c r="N13" s="51"/>
      <c r="O13" s="27"/>
      <c r="P13" s="27"/>
      <c r="Q13" s="27"/>
    </row>
    <row r="14" spans="1:55" hidden="1"/>
    <row r="15" spans="1:55" hidden="1">
      <c r="P15" s="17" t="s">
        <v>277</v>
      </c>
      <c r="Q15" s="24">
        <f>'[4]שיפוצי בתים עמידר'!$AY$12</f>
        <v>3400000</v>
      </c>
    </row>
    <row r="16" spans="1:55" hidden="1"/>
    <row r="17" spans="16:17" hidden="1">
      <c r="P17" s="17" t="s">
        <v>296</v>
      </c>
      <c r="Q17" s="17" t="e">
        <f>'[5]שיפוצי בתים עמידר'!$AZ$11</f>
        <v>#REF!</v>
      </c>
    </row>
    <row r="18" spans="16:17" hidden="1">
      <c r="P18" s="17" t="s">
        <v>297</v>
      </c>
      <c r="Q18" s="17" t="e">
        <f>'[6]שיפוצי בתים עמידר'!$BF$11</f>
        <v>#REF!</v>
      </c>
    </row>
    <row r="19" spans="16:17" hidden="1">
      <c r="Q19" s="17" t="e">
        <f>SUM(Q17:Q18)</f>
        <v>#REF!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B6:AK6"/>
    <mergeCell ref="AO6:AS6"/>
    <mergeCell ref="U6:Z6"/>
  </mergeCells>
  <conditionalFormatting sqref="AK6:AL6 AN6">
    <cfRule type="cellIs" dxfId="32" priority="19" operator="equal">
      <formula>0</formula>
    </cfRule>
  </conditionalFormatting>
  <conditionalFormatting sqref="AB6:AB7 AJ6">
    <cfRule type="cellIs" dxfId="31" priority="18" operator="equal">
      <formula>0</formula>
    </cfRule>
  </conditionalFormatting>
  <conditionalFormatting sqref="A6:T6">
    <cfRule type="cellIs" dxfId="30" priority="17" operator="equal">
      <formula>0</formula>
    </cfRule>
  </conditionalFormatting>
  <conditionalFormatting sqref="AC6:AC7">
    <cfRule type="cellIs" dxfId="29" priority="16" operator="equal">
      <formula>0</formula>
    </cfRule>
  </conditionalFormatting>
  <conditionalFormatting sqref="AD6">
    <cfRule type="cellIs" dxfId="28" priority="15" operator="equal">
      <formula>0</formula>
    </cfRule>
  </conditionalFormatting>
  <conditionalFormatting sqref="AD7">
    <cfRule type="cellIs" dxfId="27" priority="14" operator="equal">
      <formula>0</formula>
    </cfRule>
  </conditionalFormatting>
  <conditionalFormatting sqref="AE6">
    <cfRule type="cellIs" dxfId="26" priority="13" operator="equal">
      <formula>0</formula>
    </cfRule>
  </conditionalFormatting>
  <conditionalFormatting sqref="AE7">
    <cfRule type="cellIs" dxfId="25" priority="12" operator="equal">
      <formula>0</formula>
    </cfRule>
  </conditionalFormatting>
  <conditionalFormatting sqref="AF6">
    <cfRule type="cellIs" dxfId="24" priority="11" operator="equal">
      <formula>0</formula>
    </cfRule>
  </conditionalFormatting>
  <conditionalFormatting sqref="AF7">
    <cfRule type="cellIs" dxfId="23" priority="10" operator="equal">
      <formula>0</formula>
    </cfRule>
  </conditionalFormatting>
  <conditionalFormatting sqref="AG6">
    <cfRule type="cellIs" dxfId="22" priority="9" operator="equal">
      <formula>0</formula>
    </cfRule>
  </conditionalFormatting>
  <conditionalFormatting sqref="AG7">
    <cfRule type="cellIs" dxfId="21" priority="8" operator="equal">
      <formula>0</formula>
    </cfRule>
  </conditionalFormatting>
  <conditionalFormatting sqref="AH6">
    <cfRule type="cellIs" dxfId="20" priority="7" operator="equal">
      <formula>0</formula>
    </cfRule>
  </conditionalFormatting>
  <conditionalFormatting sqref="AH7">
    <cfRule type="cellIs" dxfId="19" priority="6" operator="equal">
      <formula>0</formula>
    </cfRule>
  </conditionalFormatting>
  <conditionalFormatting sqref="AI6">
    <cfRule type="cellIs" dxfId="18" priority="5" operator="equal">
      <formula>0</formula>
    </cfRule>
  </conditionalFormatting>
  <conditionalFormatting sqref="AI7">
    <cfRule type="cellIs" dxfId="17" priority="4" operator="equal">
      <formula>0</formula>
    </cfRule>
  </conditionalFormatting>
  <conditionalFormatting sqref="AJ7">
    <cfRule type="cellIs" dxfId="16" priority="3" operator="equal">
      <formula>0</formula>
    </cfRule>
  </conditionalFormatting>
  <conditionalFormatting sqref="AU6:AW6">
    <cfRule type="cellIs" dxfId="15" priority="2" operator="equal">
      <formula>0</formula>
    </cfRule>
  </conditionalFormatting>
  <conditionalFormatting sqref="AX6 AY7:BC7 AZ6:BC6">
    <cfRule type="cellIs" dxfId="14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C17"/>
  <sheetViews>
    <sheetView showZeros="0" rightToLeft="1" zoomScaleNormal="100" workbookViewId="0">
      <pane xSplit="3" ySplit="5" topLeftCell="D6" activePane="bottomRight" state="frozen"/>
      <selection activeCell="T20" sqref="T20"/>
      <selection pane="topRight" activeCell="T20" sqref="T20"/>
      <selection pane="bottomLeft" activeCell="T20" sqref="T20"/>
      <selection pane="bottomRight" activeCell="T20" sqref="T20"/>
    </sheetView>
  </sheetViews>
  <sheetFormatPr defaultColWidth="9.1796875" defaultRowHeight="14"/>
  <cols>
    <col min="1" max="1" width="5.26953125" style="40" customWidth="1"/>
    <col min="2" max="2" width="6.7265625" style="15" customWidth="1"/>
    <col min="3" max="3" width="37.26953125" style="15" customWidth="1"/>
    <col min="4" max="4" width="12.7265625" style="17" hidden="1" customWidth="1"/>
    <col min="5" max="5" width="11.1796875" style="17" hidden="1" customWidth="1"/>
    <col min="6" max="6" width="10.54296875" style="17" hidden="1" customWidth="1"/>
    <col min="7" max="10" width="12.7265625" style="17" hidden="1" customWidth="1"/>
    <col min="11" max="11" width="11.26953125" style="17" hidden="1" customWidth="1"/>
    <col min="12" max="12" width="11.7265625" style="17" hidden="1" customWidth="1"/>
    <col min="13" max="13" width="11.54296875" style="17" hidden="1" customWidth="1"/>
    <col min="14" max="14" width="11.1796875" style="17" hidden="1" customWidth="1"/>
    <col min="15" max="15" width="11.54296875" style="17" hidden="1" customWidth="1"/>
    <col min="16" max="17" width="11.1796875" style="17" hidden="1" customWidth="1"/>
    <col min="18" max="19" width="12" style="17" hidden="1" customWidth="1"/>
    <col min="20" max="20" width="9.7265625" style="17" customWidth="1"/>
    <col min="21" max="23" width="9.7265625" style="15" customWidth="1"/>
    <col min="24" max="26" width="7.26953125" style="15" customWidth="1"/>
    <col min="27" max="27" width="7.81640625" style="15" hidden="1" customWidth="1"/>
    <col min="28" max="28" width="14.1796875" style="15" hidden="1" customWidth="1"/>
    <col min="29" max="36" width="12" style="15" hidden="1" customWidth="1"/>
    <col min="37" max="37" width="10.26953125" style="15" hidden="1" customWidth="1"/>
    <col min="38" max="38" width="10.81640625" style="15" hidden="1" customWidth="1"/>
    <col min="39" max="39" width="11.7265625" style="15" customWidth="1"/>
    <col min="40" max="42" width="9.7265625" style="15" customWidth="1"/>
    <col min="43" max="45" width="7.26953125" style="15" customWidth="1"/>
    <col min="46" max="49" width="9.1796875" style="15" hidden="1" customWidth="1"/>
    <col min="50" max="50" width="10.81640625" style="15" hidden="1" customWidth="1"/>
    <col min="51" max="51" width="9.81640625" style="15" hidden="1" customWidth="1"/>
    <col min="52" max="52" width="9.1796875" style="15" hidden="1" customWidth="1"/>
    <col min="53" max="53" width="7.54296875" style="15" hidden="1" customWidth="1"/>
    <col min="54" max="54" width="7" style="15" hidden="1" customWidth="1"/>
    <col min="55" max="55" width="7.1796875" style="15" hidden="1" customWidth="1"/>
    <col min="56" max="16384" width="9.1796875" style="15"/>
  </cols>
  <sheetData>
    <row r="1" spans="1:55">
      <c r="AB1" s="5"/>
    </row>
    <row r="2" spans="1:55" ht="18">
      <c r="A2" s="122" t="s">
        <v>999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</row>
    <row r="3" spans="1:55" ht="18">
      <c r="A3" s="122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</row>
    <row r="4" spans="1:55">
      <c r="A4" s="530"/>
      <c r="B4" s="531"/>
      <c r="C4" s="531"/>
      <c r="D4" s="531"/>
      <c r="E4" s="531"/>
      <c r="F4" s="531"/>
      <c r="G4" s="531"/>
      <c r="H4" s="531"/>
      <c r="I4" s="531"/>
      <c r="J4" s="531"/>
      <c r="K4" s="531"/>
      <c r="L4" s="531"/>
      <c r="M4" s="531"/>
      <c r="N4" s="531"/>
      <c r="O4" s="531"/>
      <c r="P4" s="531"/>
      <c r="Q4" s="531"/>
      <c r="R4" s="531"/>
      <c r="S4" s="531"/>
      <c r="T4" s="531"/>
      <c r="U4" s="738" t="s">
        <v>146</v>
      </c>
      <c r="V4" s="739"/>
      <c r="W4" s="739"/>
      <c r="X4" s="739"/>
      <c r="Y4" s="739"/>
      <c r="Z4" s="740"/>
      <c r="AB4" s="735" t="s">
        <v>489</v>
      </c>
      <c r="AC4" s="736"/>
      <c r="AD4" s="736"/>
      <c r="AE4" s="736"/>
      <c r="AF4" s="736"/>
      <c r="AG4" s="736"/>
      <c r="AH4" s="736"/>
      <c r="AI4" s="736"/>
      <c r="AJ4" s="736"/>
      <c r="AK4" s="737"/>
      <c r="AL4" s="110"/>
      <c r="AM4" s="675" t="s">
        <v>489</v>
      </c>
      <c r="AN4" s="496"/>
      <c r="AO4" s="735" t="s">
        <v>834</v>
      </c>
      <c r="AP4" s="736"/>
      <c r="AQ4" s="736"/>
      <c r="AR4" s="736"/>
      <c r="AS4" s="737"/>
      <c r="AT4" s="495" t="s">
        <v>835</v>
      </c>
      <c r="AU4" s="496"/>
      <c r="AV4" s="496"/>
      <c r="AW4" s="497"/>
      <c r="AX4" s="110"/>
      <c r="AY4" s="495" t="s">
        <v>836</v>
      </c>
      <c r="AZ4" s="496"/>
      <c r="BA4" s="496"/>
      <c r="BB4" s="496"/>
      <c r="BC4" s="497"/>
    </row>
    <row r="5" spans="1:55" s="34" customFormat="1" ht="86.25" customHeight="1">
      <c r="A5" s="19" t="s">
        <v>0</v>
      </c>
      <c r="B5" s="19" t="s">
        <v>1</v>
      </c>
      <c r="C5" s="19" t="s">
        <v>2</v>
      </c>
      <c r="D5" s="19" t="s">
        <v>3</v>
      </c>
      <c r="E5" s="19" t="s">
        <v>4</v>
      </c>
      <c r="F5" s="19" t="s">
        <v>5</v>
      </c>
      <c r="G5" s="19" t="s">
        <v>6</v>
      </c>
      <c r="H5" s="19" t="s">
        <v>7</v>
      </c>
      <c r="I5" s="19" t="s">
        <v>9</v>
      </c>
      <c r="J5" s="19" t="s">
        <v>318</v>
      </c>
      <c r="K5" s="19" t="s">
        <v>10</v>
      </c>
      <c r="L5" s="19" t="s">
        <v>11</v>
      </c>
      <c r="M5" s="11" t="s">
        <v>309</v>
      </c>
      <c r="N5" s="19" t="s">
        <v>310</v>
      </c>
      <c r="O5" s="19" t="s">
        <v>311</v>
      </c>
      <c r="P5" s="19" t="s">
        <v>12</v>
      </c>
      <c r="Q5" s="19" t="s">
        <v>312</v>
      </c>
      <c r="R5" s="19" t="s">
        <v>313</v>
      </c>
      <c r="S5" s="19" t="s">
        <v>314</v>
      </c>
      <c r="T5" s="19" t="s">
        <v>315</v>
      </c>
      <c r="U5" s="19" t="s">
        <v>316</v>
      </c>
      <c r="V5" s="19" t="s">
        <v>13</v>
      </c>
      <c r="W5" s="19" t="s">
        <v>14</v>
      </c>
      <c r="X5" s="19" t="s">
        <v>15</v>
      </c>
      <c r="Y5" s="19" t="s">
        <v>523</v>
      </c>
      <c r="Z5" s="19" t="s">
        <v>140</v>
      </c>
      <c r="AA5" s="19" t="s">
        <v>16</v>
      </c>
      <c r="AB5" s="107" t="s">
        <v>490</v>
      </c>
      <c r="AC5" s="107" t="s">
        <v>491</v>
      </c>
      <c r="AD5" s="107" t="s">
        <v>492</v>
      </c>
      <c r="AE5" s="107" t="s">
        <v>493</v>
      </c>
      <c r="AF5" s="107" t="s">
        <v>494</v>
      </c>
      <c r="AG5" s="107" t="s">
        <v>495</v>
      </c>
      <c r="AH5" s="107" t="s">
        <v>496</v>
      </c>
      <c r="AI5" s="107" t="s">
        <v>497</v>
      </c>
      <c r="AJ5" s="107" t="s">
        <v>498</v>
      </c>
      <c r="AK5" s="498" t="s">
        <v>837</v>
      </c>
      <c r="AL5" s="498" t="s">
        <v>838</v>
      </c>
      <c r="AM5" s="498" t="s">
        <v>839</v>
      </c>
      <c r="AN5" s="498" t="s">
        <v>840</v>
      </c>
      <c r="AO5" s="498" t="s">
        <v>13</v>
      </c>
      <c r="AP5" s="498" t="s">
        <v>14</v>
      </c>
      <c r="AQ5" s="498" t="s">
        <v>15</v>
      </c>
      <c r="AR5" s="498" t="s">
        <v>523</v>
      </c>
      <c r="AS5" s="498" t="s">
        <v>140</v>
      </c>
      <c r="AT5" s="498" t="s">
        <v>13</v>
      </c>
      <c r="AU5" s="498" t="s">
        <v>14</v>
      </c>
      <c r="AV5" s="498" t="s">
        <v>15</v>
      </c>
      <c r="AW5" s="498" t="s">
        <v>523</v>
      </c>
      <c r="AX5" s="498" t="s">
        <v>140</v>
      </c>
      <c r="AY5" s="107" t="s">
        <v>13</v>
      </c>
      <c r="AZ5" s="107" t="s">
        <v>14</v>
      </c>
      <c r="BA5" s="107" t="s">
        <v>15</v>
      </c>
      <c r="BB5" s="107" t="s">
        <v>523</v>
      </c>
      <c r="BC5" s="107" t="s">
        <v>140</v>
      </c>
    </row>
    <row r="6" spans="1:55" s="5" customFormat="1">
      <c r="A6" s="3"/>
      <c r="B6" s="3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>
        <f t="shared" ref="O6:O14" si="0">D6-L6-M6-N6</f>
        <v>0</v>
      </c>
      <c r="P6" s="4"/>
      <c r="Q6" s="4"/>
      <c r="R6" s="4"/>
      <c r="S6" s="4"/>
      <c r="T6" s="4"/>
      <c r="U6" s="4">
        <f>N6-T6</f>
        <v>0</v>
      </c>
      <c r="V6" s="4"/>
      <c r="W6" s="4"/>
      <c r="X6" s="4"/>
      <c r="Y6" s="4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</row>
    <row r="7" spans="1:55" s="5" customFormat="1">
      <c r="A7" s="3">
        <f>A6+1</f>
        <v>1</v>
      </c>
      <c r="B7" s="3">
        <v>1032</v>
      </c>
      <c r="C7" s="3" t="s">
        <v>253</v>
      </c>
      <c r="D7" s="4">
        <v>40500000</v>
      </c>
      <c r="E7" s="4">
        <v>40500000</v>
      </c>
      <c r="F7" s="4">
        <f>D7-E7</f>
        <v>0</v>
      </c>
      <c r="G7" s="4">
        <f>22650000+2650000</f>
        <v>25300000</v>
      </c>
      <c r="H7" s="4">
        <v>19258553.370000001</v>
      </c>
      <c r="I7" s="4">
        <v>207252.8</v>
      </c>
      <c r="J7" s="4">
        <v>1923507.15</v>
      </c>
      <c r="K7" s="4">
        <f>SUM(I7:J7)</f>
        <v>2130759.9499999997</v>
      </c>
      <c r="L7" s="4">
        <f>H7+K7</f>
        <v>21389313.32</v>
      </c>
      <c r="M7" s="4">
        <f>P7+S7</f>
        <v>4870686.68</v>
      </c>
      <c r="N7" s="4">
        <v>5000000</v>
      </c>
      <c r="O7" s="4">
        <f t="shared" si="0"/>
        <v>9240000</v>
      </c>
      <c r="P7" s="4">
        <f>G7-L7</f>
        <v>3910686.6799999997</v>
      </c>
      <c r="Q7" s="4">
        <f>2650000+960000-2650000</f>
        <v>960000</v>
      </c>
      <c r="R7" s="4"/>
      <c r="S7" s="4">
        <f>SUM(Q7:R7)</f>
        <v>960000</v>
      </c>
      <c r="T7" s="4">
        <f>P7-M7+S7</f>
        <v>0</v>
      </c>
      <c r="U7" s="4">
        <f>N7-T7</f>
        <v>5000000</v>
      </c>
      <c r="V7" s="4">
        <f>U7-Z7-W7-Y7</f>
        <v>5000000</v>
      </c>
      <c r="W7" s="4"/>
      <c r="X7" s="4"/>
      <c r="Y7" s="4"/>
      <c r="Z7" s="3"/>
      <c r="AA7" s="3">
        <v>742000</v>
      </c>
      <c r="AB7" s="3"/>
      <c r="AC7" s="499"/>
      <c r="AD7" s="499"/>
      <c r="AE7" s="499"/>
      <c r="AF7" s="4"/>
      <c r="AG7" s="4">
        <v>950000</v>
      </c>
      <c r="AH7" s="3"/>
      <c r="AI7" s="4">
        <v>700000</v>
      </c>
      <c r="AJ7" s="4"/>
      <c r="AK7" s="4">
        <f t="shared" ref="AK7:AK14" si="1">SUM(AB7:AJ7)</f>
        <v>1650000</v>
      </c>
      <c r="AL7" s="4"/>
      <c r="AM7" s="4">
        <f>AL7+AK7</f>
        <v>1650000</v>
      </c>
      <c r="AN7" s="4">
        <f>U7-AM7</f>
        <v>3350000</v>
      </c>
      <c r="AO7" s="4">
        <f>AM7-AP7</f>
        <v>1650000</v>
      </c>
      <c r="AP7" s="3"/>
      <c r="AQ7" s="3"/>
      <c r="AR7" s="4"/>
      <c r="AS7" s="4"/>
      <c r="AT7" s="4">
        <f>AL7-AU7</f>
        <v>0</v>
      </c>
      <c r="AU7" s="3"/>
      <c r="AV7" s="3"/>
      <c r="AW7" s="3"/>
      <c r="AX7" s="4"/>
      <c r="AY7" s="4">
        <f>AN7-AZ7</f>
        <v>3350000</v>
      </c>
      <c r="AZ7" s="3"/>
      <c r="BA7" s="3"/>
      <c r="BB7" s="3"/>
      <c r="BC7" s="3"/>
    </row>
    <row r="8" spans="1:55" s="5" customFormat="1">
      <c r="A8" s="3">
        <f t="shared" ref="A8:A14" si="2">A7+1</f>
        <v>2</v>
      </c>
      <c r="B8" s="3">
        <v>1259</v>
      </c>
      <c r="C8" s="3" t="s">
        <v>95</v>
      </c>
      <c r="D8" s="4">
        <v>5460000</v>
      </c>
      <c r="E8" s="4">
        <v>5460000</v>
      </c>
      <c r="F8" s="4">
        <f t="shared" ref="F8:F14" si="3">D8-E8</f>
        <v>0</v>
      </c>
      <c r="G8" s="4">
        <v>3110000</v>
      </c>
      <c r="H8" s="4">
        <v>2255634.79</v>
      </c>
      <c r="I8" s="4"/>
      <c r="J8" s="4">
        <v>578297.63</v>
      </c>
      <c r="K8" s="4">
        <f t="shared" ref="K8:K14" si="4">SUM(I8:J8)</f>
        <v>578297.63</v>
      </c>
      <c r="L8" s="4">
        <f t="shared" ref="L8:L14" si="5">H8+K8</f>
        <v>2833932.42</v>
      </c>
      <c r="M8" s="4">
        <f>P8+S8</f>
        <v>576067.58000000007</v>
      </c>
      <c r="N8" s="4">
        <v>350000</v>
      </c>
      <c r="O8" s="4">
        <f t="shared" si="0"/>
        <v>1700000</v>
      </c>
      <c r="P8" s="4">
        <f t="shared" ref="P8:P14" si="6">G8-L8</f>
        <v>276067.58000000007</v>
      </c>
      <c r="Q8" s="4">
        <v>300000</v>
      </c>
      <c r="R8" s="4"/>
      <c r="S8" s="4">
        <f t="shared" ref="S8:S14" si="7">SUM(Q8:R8)</f>
        <v>300000</v>
      </c>
      <c r="T8" s="4">
        <f t="shared" ref="T8:T14" si="8">P8-M8+S8</f>
        <v>0</v>
      </c>
      <c r="U8" s="4">
        <f t="shared" ref="U8:U14" si="9">N8-T8</f>
        <v>350000</v>
      </c>
      <c r="V8" s="4">
        <f t="shared" ref="V8:V14" si="10">U8-W8-Y8-Z8</f>
        <v>350000</v>
      </c>
      <c r="W8" s="4"/>
      <c r="X8" s="4"/>
      <c r="Y8" s="4"/>
      <c r="Z8" s="3"/>
      <c r="AA8" s="3">
        <v>760000</v>
      </c>
      <c r="AB8" s="3"/>
      <c r="AC8" s="3"/>
      <c r="AD8" s="3"/>
      <c r="AE8" s="3"/>
      <c r="AF8" s="3"/>
      <c r="AG8" s="3"/>
      <c r="AH8" s="3"/>
      <c r="AI8" s="3"/>
      <c r="AJ8" s="3"/>
      <c r="AK8" s="500">
        <f t="shared" si="1"/>
        <v>0</v>
      </c>
      <c r="AL8" s="4"/>
      <c r="AM8" s="4">
        <f t="shared" ref="AM8:AM14" si="11">AL8+AK8</f>
        <v>0</v>
      </c>
      <c r="AN8" s="4">
        <f t="shared" ref="AN8:AN14" si="12">U8-AM8</f>
        <v>350000</v>
      </c>
      <c r="AO8" s="4">
        <f t="shared" ref="AO8:AO14" si="13">AM8-AP8</f>
        <v>0</v>
      </c>
      <c r="AP8" s="3"/>
      <c r="AQ8" s="3"/>
      <c r="AR8" s="4"/>
      <c r="AS8" s="500"/>
      <c r="AT8" s="4">
        <f t="shared" ref="AT8:AT14" si="14">AL8-AU8</f>
        <v>0</v>
      </c>
      <c r="AU8" s="3"/>
      <c r="AV8" s="3"/>
      <c r="AW8" s="3"/>
      <c r="AX8" s="4"/>
      <c r="AY8" s="4">
        <f t="shared" ref="AY8:AY14" si="15">AN8-AZ8</f>
        <v>350000</v>
      </c>
      <c r="AZ8" s="4"/>
      <c r="BA8" s="3"/>
      <c r="BB8" s="3"/>
      <c r="BC8" s="3"/>
    </row>
    <row r="9" spans="1:55" s="5" customFormat="1">
      <c r="A9" s="3">
        <f t="shared" si="2"/>
        <v>3</v>
      </c>
      <c r="B9" s="3">
        <v>1260</v>
      </c>
      <c r="C9" s="3" t="s">
        <v>96</v>
      </c>
      <c r="D9" s="4">
        <v>8608000</v>
      </c>
      <c r="E9" s="4">
        <v>8608000</v>
      </c>
      <c r="F9" s="4">
        <f t="shared" si="3"/>
        <v>0</v>
      </c>
      <c r="G9" s="4">
        <v>7608000</v>
      </c>
      <c r="H9" s="4">
        <v>7116491.0800000001</v>
      </c>
      <c r="I9" s="4"/>
      <c r="J9" s="4">
        <v>286040.83</v>
      </c>
      <c r="K9" s="4">
        <f t="shared" si="4"/>
        <v>286040.83</v>
      </c>
      <c r="L9" s="4">
        <f t="shared" si="5"/>
        <v>7402531.9100000001</v>
      </c>
      <c r="M9" s="4">
        <f>P9+S9</f>
        <v>505468.08999999985</v>
      </c>
      <c r="N9" s="4">
        <v>700000</v>
      </c>
      <c r="O9" s="4">
        <f t="shared" si="0"/>
        <v>0</v>
      </c>
      <c r="P9" s="4">
        <f t="shared" si="6"/>
        <v>205468.08999999985</v>
      </c>
      <c r="Q9" s="4">
        <v>300000</v>
      </c>
      <c r="R9" s="4"/>
      <c r="S9" s="4">
        <f t="shared" si="7"/>
        <v>300000</v>
      </c>
      <c r="T9" s="4">
        <f t="shared" si="8"/>
        <v>0</v>
      </c>
      <c r="U9" s="4">
        <f t="shared" si="9"/>
        <v>700000</v>
      </c>
      <c r="V9" s="4">
        <f t="shared" si="10"/>
        <v>350000</v>
      </c>
      <c r="W9" s="4">
        <f>N9*0.5</f>
        <v>350000</v>
      </c>
      <c r="X9" s="4"/>
      <c r="Y9" s="4"/>
      <c r="Z9" s="3"/>
      <c r="AA9" s="3">
        <v>760000</v>
      </c>
      <c r="AB9" s="3"/>
      <c r="AC9" s="3"/>
      <c r="AD9" s="3"/>
      <c r="AE9" s="3"/>
      <c r="AF9" s="3"/>
      <c r="AG9" s="3"/>
      <c r="AH9" s="3"/>
      <c r="AI9" s="3"/>
      <c r="AJ9" s="3"/>
      <c r="AK9" s="500">
        <f t="shared" si="1"/>
        <v>0</v>
      </c>
      <c r="AL9" s="4"/>
      <c r="AM9" s="4">
        <f t="shared" si="11"/>
        <v>0</v>
      </c>
      <c r="AN9" s="4">
        <f t="shared" si="12"/>
        <v>700000</v>
      </c>
      <c r="AO9" s="4">
        <f t="shared" si="13"/>
        <v>0</v>
      </c>
      <c r="AP9" s="3"/>
      <c r="AQ9" s="3"/>
      <c r="AR9" s="4"/>
      <c r="AS9" s="500"/>
      <c r="AT9" s="4">
        <f t="shared" si="14"/>
        <v>0</v>
      </c>
      <c r="AU9" s="3"/>
      <c r="AV9" s="3"/>
      <c r="AW9" s="3"/>
      <c r="AX9" s="4"/>
      <c r="AY9" s="4">
        <f t="shared" si="15"/>
        <v>350000</v>
      </c>
      <c r="AZ9" s="4">
        <v>350000</v>
      </c>
      <c r="BA9" s="3"/>
      <c r="BB9" s="3"/>
      <c r="BC9" s="3"/>
    </row>
    <row r="10" spans="1:55" s="5" customFormat="1">
      <c r="A10" s="3">
        <f t="shared" si="2"/>
        <v>4</v>
      </c>
      <c r="B10" s="3">
        <v>1422</v>
      </c>
      <c r="C10" s="3" t="s">
        <v>97</v>
      </c>
      <c r="D10" s="4">
        <v>30257000</v>
      </c>
      <c r="E10" s="4">
        <v>30257000</v>
      </c>
      <c r="F10" s="4">
        <f t="shared" si="3"/>
        <v>0</v>
      </c>
      <c r="G10" s="4">
        <v>14182000</v>
      </c>
      <c r="H10" s="4">
        <v>7257000</v>
      </c>
      <c r="I10" s="4"/>
      <c r="J10" s="4"/>
      <c r="K10" s="4">
        <f t="shared" si="4"/>
        <v>0</v>
      </c>
      <c r="L10" s="4">
        <f t="shared" si="5"/>
        <v>7257000</v>
      </c>
      <c r="M10" s="4">
        <f>P10+S10</f>
        <v>6925000</v>
      </c>
      <c r="N10" s="4"/>
      <c r="O10" s="4">
        <f t="shared" si="0"/>
        <v>16075000</v>
      </c>
      <c r="P10" s="4">
        <f t="shared" si="6"/>
        <v>6925000</v>
      </c>
      <c r="Q10" s="4"/>
      <c r="R10" s="4"/>
      <c r="S10" s="4">
        <f t="shared" si="7"/>
        <v>0</v>
      </c>
      <c r="T10" s="4">
        <f t="shared" si="8"/>
        <v>0</v>
      </c>
      <c r="U10" s="4">
        <f t="shared" si="9"/>
        <v>0</v>
      </c>
      <c r="V10" s="4">
        <f t="shared" si="10"/>
        <v>0</v>
      </c>
      <c r="W10" s="4"/>
      <c r="X10" s="4"/>
      <c r="Y10" s="4"/>
      <c r="Z10" s="3"/>
      <c r="AA10" s="3">
        <v>730000</v>
      </c>
      <c r="AB10" s="3"/>
      <c r="AC10" s="3"/>
      <c r="AD10" s="4"/>
      <c r="AE10" s="4"/>
      <c r="AF10" s="4"/>
      <c r="AG10" s="4"/>
      <c r="AH10" s="4"/>
      <c r="AI10" s="4"/>
      <c r="AJ10" s="4"/>
      <c r="AK10" s="4">
        <f t="shared" si="1"/>
        <v>0</v>
      </c>
      <c r="AL10" s="4"/>
      <c r="AM10" s="4">
        <f t="shared" si="11"/>
        <v>0</v>
      </c>
      <c r="AN10" s="4">
        <f t="shared" si="12"/>
        <v>0</v>
      </c>
      <c r="AO10" s="4">
        <f t="shared" si="13"/>
        <v>0</v>
      </c>
      <c r="AP10" s="3"/>
      <c r="AQ10" s="3"/>
      <c r="AR10" s="4"/>
      <c r="AS10" s="4"/>
      <c r="AT10" s="4">
        <f t="shared" si="14"/>
        <v>0</v>
      </c>
      <c r="AU10" s="3"/>
      <c r="AV10" s="3"/>
      <c r="AW10" s="3"/>
      <c r="AX10" s="4"/>
      <c r="AY10" s="4">
        <f t="shared" si="15"/>
        <v>0</v>
      </c>
      <c r="AZ10" s="4"/>
      <c r="BA10" s="3"/>
      <c r="BB10" s="3"/>
      <c r="BC10" s="3"/>
    </row>
    <row r="11" spans="1:55" s="5" customFormat="1">
      <c r="A11" s="3">
        <f t="shared" si="2"/>
        <v>5</v>
      </c>
      <c r="B11" s="3">
        <v>1688</v>
      </c>
      <c r="C11" s="3" t="s">
        <v>98</v>
      </c>
      <c r="D11" s="4">
        <v>15133000</v>
      </c>
      <c r="E11" s="4">
        <v>15133000</v>
      </c>
      <c r="F11" s="4">
        <f t="shared" si="3"/>
        <v>0</v>
      </c>
      <c r="G11" s="4">
        <v>15133000</v>
      </c>
      <c r="H11" s="4">
        <v>15133000</v>
      </c>
      <c r="I11" s="4"/>
      <c r="J11" s="4"/>
      <c r="K11" s="4">
        <f t="shared" si="4"/>
        <v>0</v>
      </c>
      <c r="L11" s="4">
        <f t="shared" si="5"/>
        <v>15133000</v>
      </c>
      <c r="M11" s="4">
        <f>P11+S11</f>
        <v>0</v>
      </c>
      <c r="N11" s="4"/>
      <c r="O11" s="4">
        <f t="shared" si="0"/>
        <v>0</v>
      </c>
      <c r="P11" s="4">
        <f t="shared" si="6"/>
        <v>0</v>
      </c>
      <c r="Q11" s="4"/>
      <c r="R11" s="4"/>
      <c r="S11" s="4">
        <f t="shared" si="7"/>
        <v>0</v>
      </c>
      <c r="T11" s="4">
        <f t="shared" si="8"/>
        <v>0</v>
      </c>
      <c r="U11" s="4">
        <f t="shared" si="9"/>
        <v>0</v>
      </c>
      <c r="V11" s="4">
        <f t="shared" si="10"/>
        <v>0</v>
      </c>
      <c r="W11" s="4"/>
      <c r="X11" s="4"/>
      <c r="Y11" s="4"/>
      <c r="Z11" s="3"/>
      <c r="AA11" s="3">
        <v>990000</v>
      </c>
      <c r="AB11" s="3"/>
      <c r="AC11" s="3"/>
      <c r="AD11" s="4"/>
      <c r="AE11" s="4"/>
      <c r="AF11" s="4"/>
      <c r="AG11" s="4"/>
      <c r="AH11" s="4"/>
      <c r="AI11" s="4"/>
      <c r="AJ11" s="4"/>
      <c r="AK11" s="4">
        <f t="shared" si="1"/>
        <v>0</v>
      </c>
      <c r="AL11" s="4"/>
      <c r="AM11" s="4">
        <f t="shared" si="11"/>
        <v>0</v>
      </c>
      <c r="AN11" s="4">
        <f t="shared" si="12"/>
        <v>0</v>
      </c>
      <c r="AO11" s="4">
        <f t="shared" si="13"/>
        <v>0</v>
      </c>
      <c r="AP11" s="3"/>
      <c r="AQ11" s="3"/>
      <c r="AR11" s="4"/>
      <c r="AS11" s="4"/>
      <c r="AT11" s="4">
        <f t="shared" si="14"/>
        <v>0</v>
      </c>
      <c r="AU11" s="3"/>
      <c r="AV11" s="3"/>
      <c r="AW11" s="3"/>
      <c r="AX11" s="4"/>
      <c r="AY11" s="4">
        <f t="shared" si="15"/>
        <v>0</v>
      </c>
      <c r="AZ11" s="4"/>
      <c r="BA11" s="3"/>
      <c r="BB11" s="3"/>
      <c r="BC11" s="3"/>
    </row>
    <row r="12" spans="1:55" s="5" customFormat="1">
      <c r="A12" s="3">
        <f t="shared" si="2"/>
        <v>6</v>
      </c>
      <c r="B12" s="3">
        <v>1793</v>
      </c>
      <c r="C12" s="3" t="s">
        <v>343</v>
      </c>
      <c r="D12" s="4">
        <f>4166020-1119414-163000</f>
        <v>2883606</v>
      </c>
      <c r="E12" s="4">
        <v>4166020</v>
      </c>
      <c r="F12" s="4">
        <f t="shared" si="3"/>
        <v>-1282414</v>
      </c>
      <c r="G12" s="4">
        <v>4320020</v>
      </c>
      <c r="H12" s="4">
        <v>2692202.1</v>
      </c>
      <c r="I12" s="4"/>
      <c r="J12" s="4"/>
      <c r="K12" s="4">
        <f>SUM(I12:J12)</f>
        <v>0</v>
      </c>
      <c r="L12" s="4">
        <f t="shared" si="5"/>
        <v>2692202.1</v>
      </c>
      <c r="M12" s="4">
        <f>P12+S12-918066-439585+154000+84237-163000</f>
        <v>191403.89999999991</v>
      </c>
      <c r="N12" s="4"/>
      <c r="O12" s="4">
        <f t="shared" si="0"/>
        <v>0</v>
      </c>
      <c r="P12" s="4">
        <f t="shared" si="6"/>
        <v>1627817.9</v>
      </c>
      <c r="Q12" s="4">
        <v>-154000</v>
      </c>
      <c r="R12" s="4"/>
      <c r="S12" s="4">
        <f t="shared" si="7"/>
        <v>-154000</v>
      </c>
      <c r="T12" s="4">
        <f t="shared" si="8"/>
        <v>1282414</v>
      </c>
      <c r="U12" s="4">
        <f t="shared" si="9"/>
        <v>-1282414</v>
      </c>
      <c r="V12" s="4">
        <f>-918066+154000+84237+84415-163000</f>
        <v>-758414</v>
      </c>
      <c r="W12" s="4">
        <f>-439585-84415</f>
        <v>-524000</v>
      </c>
      <c r="X12" s="4"/>
      <c r="Y12" s="4"/>
      <c r="Z12" s="4">
        <f>U12-W12-V12</f>
        <v>0</v>
      </c>
      <c r="AA12" s="3">
        <v>742000</v>
      </c>
      <c r="AB12" s="3"/>
      <c r="AC12" s="3"/>
      <c r="AD12" s="4">
        <f>-1182414+50000</f>
        <v>-1132414</v>
      </c>
      <c r="AE12" s="4"/>
      <c r="AF12" s="4"/>
      <c r="AG12" s="4"/>
      <c r="AH12" s="4"/>
      <c r="AI12" s="4"/>
      <c r="AJ12" s="4"/>
      <c r="AK12" s="4">
        <f t="shared" si="1"/>
        <v>-1132414</v>
      </c>
      <c r="AL12" s="4"/>
      <c r="AM12" s="4">
        <f t="shared" si="11"/>
        <v>-1132414</v>
      </c>
      <c r="AN12" s="4">
        <f t="shared" si="12"/>
        <v>-150000</v>
      </c>
      <c r="AO12" s="4">
        <f t="shared" si="13"/>
        <v>-758414</v>
      </c>
      <c r="AP12" s="4">
        <f>-524000+150000</f>
        <v>-374000</v>
      </c>
      <c r="AQ12" s="3"/>
      <c r="AR12" s="4"/>
      <c r="AS12" s="4"/>
      <c r="AT12" s="4">
        <f t="shared" si="14"/>
        <v>0</v>
      </c>
      <c r="AU12" s="3"/>
      <c r="AV12" s="3"/>
      <c r="AW12" s="3"/>
      <c r="AX12" s="4"/>
      <c r="AY12" s="4">
        <f t="shared" si="15"/>
        <v>0</v>
      </c>
      <c r="AZ12" s="4">
        <v>-150000</v>
      </c>
      <c r="BA12" s="3"/>
      <c r="BB12" s="3"/>
      <c r="BC12" s="3"/>
    </row>
    <row r="13" spans="1:55" s="5" customFormat="1" ht="28">
      <c r="A13" s="3">
        <f t="shared" si="2"/>
        <v>7</v>
      </c>
      <c r="B13" s="244">
        <v>1945</v>
      </c>
      <c r="C13" s="244" t="s">
        <v>1146</v>
      </c>
      <c r="D13" s="4">
        <v>230000</v>
      </c>
      <c r="E13" s="4">
        <v>230000</v>
      </c>
      <c r="F13" s="4">
        <f t="shared" si="3"/>
        <v>0</v>
      </c>
      <c r="G13" s="4">
        <v>230000</v>
      </c>
      <c r="H13" s="4">
        <v>0</v>
      </c>
      <c r="I13" s="4"/>
      <c r="J13" s="4">
        <v>95000</v>
      </c>
      <c r="K13" s="4">
        <f>SUM(I13:J13)</f>
        <v>95000</v>
      </c>
      <c r="L13" s="4">
        <f t="shared" si="5"/>
        <v>95000</v>
      </c>
      <c r="M13" s="4">
        <f>P13+S13</f>
        <v>135000</v>
      </c>
      <c r="N13" s="4"/>
      <c r="O13" s="4">
        <f t="shared" si="0"/>
        <v>0</v>
      </c>
      <c r="P13" s="4">
        <f t="shared" si="6"/>
        <v>135000</v>
      </c>
      <c r="Q13" s="4"/>
      <c r="R13" s="4"/>
      <c r="S13" s="4">
        <f t="shared" si="7"/>
        <v>0</v>
      </c>
      <c r="T13" s="4">
        <f t="shared" si="8"/>
        <v>0</v>
      </c>
      <c r="U13" s="4">
        <f t="shared" si="9"/>
        <v>0</v>
      </c>
      <c r="V13" s="4">
        <f t="shared" si="10"/>
        <v>0</v>
      </c>
      <c r="W13" s="4"/>
      <c r="X13" s="4"/>
      <c r="Y13" s="4"/>
      <c r="Z13" s="3"/>
      <c r="AA13" s="3">
        <v>742000</v>
      </c>
      <c r="AB13" s="3"/>
      <c r="AC13" s="3"/>
      <c r="AD13" s="4"/>
      <c r="AE13" s="4"/>
      <c r="AF13" s="4"/>
      <c r="AG13" s="4"/>
      <c r="AH13" s="4"/>
      <c r="AI13" s="4"/>
      <c r="AJ13" s="4"/>
      <c r="AK13" s="4">
        <f t="shared" si="1"/>
        <v>0</v>
      </c>
      <c r="AL13" s="4"/>
      <c r="AM13" s="4">
        <f t="shared" si="11"/>
        <v>0</v>
      </c>
      <c r="AN13" s="4">
        <f t="shared" si="12"/>
        <v>0</v>
      </c>
      <c r="AO13" s="4">
        <f t="shared" si="13"/>
        <v>0</v>
      </c>
      <c r="AP13" s="3"/>
      <c r="AQ13" s="3"/>
      <c r="AR13" s="4"/>
      <c r="AS13" s="4"/>
      <c r="AT13" s="4">
        <f t="shared" si="14"/>
        <v>0</v>
      </c>
      <c r="AU13" s="3"/>
      <c r="AV13" s="3"/>
      <c r="AW13" s="3"/>
      <c r="AX13" s="4"/>
      <c r="AY13" s="4">
        <f t="shared" si="15"/>
        <v>0</v>
      </c>
      <c r="AZ13" s="3"/>
      <c r="BA13" s="3"/>
      <c r="BB13" s="3"/>
      <c r="BC13" s="3"/>
    </row>
    <row r="14" spans="1:55" s="5" customFormat="1">
      <c r="A14" s="3">
        <f t="shared" si="2"/>
        <v>8</v>
      </c>
      <c r="B14" s="3">
        <v>1986</v>
      </c>
      <c r="C14" s="3" t="s">
        <v>282</v>
      </c>
      <c r="D14" s="4">
        <f>10000000-3600000</f>
        <v>6400000</v>
      </c>
      <c r="E14" s="4">
        <v>10000000</v>
      </c>
      <c r="F14" s="4">
        <f t="shared" si="3"/>
        <v>-3600000</v>
      </c>
      <c r="G14" s="4">
        <v>4400000</v>
      </c>
      <c r="H14" s="4">
        <v>485873.54</v>
      </c>
      <c r="I14" s="4"/>
      <c r="J14" s="4">
        <v>213363.88</v>
      </c>
      <c r="K14" s="4">
        <f t="shared" si="4"/>
        <v>213363.88</v>
      </c>
      <c r="L14" s="4">
        <f t="shared" si="5"/>
        <v>699237.41999999993</v>
      </c>
      <c r="M14" s="4">
        <f>P14+S14-2000000</f>
        <v>1700762.58</v>
      </c>
      <c r="N14" s="4">
        <v>4000000</v>
      </c>
      <c r="O14" s="4">
        <f t="shared" si="0"/>
        <v>0</v>
      </c>
      <c r="P14" s="4">
        <f t="shared" si="6"/>
        <v>3700762.58</v>
      </c>
      <c r="Q14" s="4"/>
      <c r="R14" s="4"/>
      <c r="S14" s="4">
        <f t="shared" si="7"/>
        <v>0</v>
      </c>
      <c r="T14" s="4">
        <f t="shared" si="8"/>
        <v>2000000</v>
      </c>
      <c r="U14" s="4">
        <f t="shared" si="9"/>
        <v>2000000</v>
      </c>
      <c r="V14" s="4">
        <f t="shared" si="10"/>
        <v>2000000</v>
      </c>
      <c r="W14" s="4"/>
      <c r="X14" s="4"/>
      <c r="Y14" s="4"/>
      <c r="Z14" s="3"/>
      <c r="AA14" s="3">
        <v>742000</v>
      </c>
      <c r="AB14" s="3"/>
      <c r="AC14" s="3"/>
      <c r="AD14" s="4">
        <v>2000000</v>
      </c>
      <c r="AE14" s="4"/>
      <c r="AF14" s="4"/>
      <c r="AG14" s="4"/>
      <c r="AH14" s="4"/>
      <c r="AI14" s="4"/>
      <c r="AJ14" s="4"/>
      <c r="AK14" s="4">
        <f t="shared" si="1"/>
        <v>2000000</v>
      </c>
      <c r="AL14" s="4"/>
      <c r="AM14" s="4">
        <f t="shared" si="11"/>
        <v>2000000</v>
      </c>
      <c r="AN14" s="4">
        <f t="shared" si="12"/>
        <v>0</v>
      </c>
      <c r="AO14" s="4">
        <f t="shared" si="13"/>
        <v>2000000</v>
      </c>
      <c r="AP14" s="3"/>
      <c r="AQ14" s="3"/>
      <c r="AR14" s="4"/>
      <c r="AS14" s="4"/>
      <c r="AT14" s="4">
        <f t="shared" si="14"/>
        <v>0</v>
      </c>
      <c r="AU14" s="3"/>
      <c r="AV14" s="3"/>
      <c r="AW14" s="3"/>
      <c r="AX14" s="4"/>
      <c r="AY14" s="4">
        <f t="shared" si="15"/>
        <v>0</v>
      </c>
      <c r="AZ14" s="3"/>
      <c r="BA14" s="3"/>
      <c r="BB14" s="3"/>
      <c r="BC14" s="3"/>
    </row>
    <row r="15" spans="1:55" s="56" customFormat="1" ht="15.5">
      <c r="A15" s="48">
        <f>A14</f>
        <v>8</v>
      </c>
      <c r="B15" s="48"/>
      <c r="C15" s="48" t="s">
        <v>99</v>
      </c>
      <c r="D15" s="13">
        <f t="shared" ref="D15:BC15" si="16">SUM(D7:D14)</f>
        <v>109471606</v>
      </c>
      <c r="E15" s="13">
        <f t="shared" si="16"/>
        <v>114354020</v>
      </c>
      <c r="F15" s="13">
        <f t="shared" si="16"/>
        <v>-4882414</v>
      </c>
      <c r="G15" s="13">
        <f t="shared" si="16"/>
        <v>74283020</v>
      </c>
      <c r="H15" s="13">
        <f t="shared" si="16"/>
        <v>54198754.880000003</v>
      </c>
      <c r="I15" s="13">
        <f t="shared" si="16"/>
        <v>207252.8</v>
      </c>
      <c r="J15" s="13">
        <f t="shared" si="16"/>
        <v>3096209.4899999998</v>
      </c>
      <c r="K15" s="13">
        <f t="shared" si="16"/>
        <v>3303462.2899999996</v>
      </c>
      <c r="L15" s="13">
        <f t="shared" si="16"/>
        <v>57502217.170000009</v>
      </c>
      <c r="M15" s="13">
        <f t="shared" si="16"/>
        <v>14904388.83</v>
      </c>
      <c r="N15" s="13">
        <f t="shared" si="16"/>
        <v>10050000</v>
      </c>
      <c r="O15" s="13">
        <f t="shared" si="16"/>
        <v>27015000</v>
      </c>
      <c r="P15" s="13">
        <f t="shared" si="16"/>
        <v>16780802.829999998</v>
      </c>
      <c r="Q15" s="13">
        <f t="shared" si="16"/>
        <v>1406000</v>
      </c>
      <c r="R15" s="13">
        <f t="shared" si="16"/>
        <v>0</v>
      </c>
      <c r="S15" s="13">
        <f t="shared" si="16"/>
        <v>1406000</v>
      </c>
      <c r="T15" s="13">
        <f t="shared" si="16"/>
        <v>3282414</v>
      </c>
      <c r="U15" s="13">
        <f t="shared" si="16"/>
        <v>6767586</v>
      </c>
      <c r="V15" s="13">
        <f t="shared" si="16"/>
        <v>6941586</v>
      </c>
      <c r="W15" s="13">
        <f t="shared" si="16"/>
        <v>-174000</v>
      </c>
      <c r="X15" s="13">
        <f t="shared" si="16"/>
        <v>0</v>
      </c>
      <c r="Y15" s="13">
        <f t="shared" si="16"/>
        <v>0</v>
      </c>
      <c r="Z15" s="13">
        <f t="shared" si="16"/>
        <v>0</v>
      </c>
      <c r="AA15" s="13">
        <f t="shared" si="16"/>
        <v>6208000</v>
      </c>
      <c r="AB15" s="13">
        <f t="shared" si="16"/>
        <v>0</v>
      </c>
      <c r="AC15" s="13">
        <f t="shared" si="16"/>
        <v>0</v>
      </c>
      <c r="AD15" s="13">
        <f t="shared" si="16"/>
        <v>867586</v>
      </c>
      <c r="AE15" s="13">
        <f t="shared" si="16"/>
        <v>0</v>
      </c>
      <c r="AF15" s="13">
        <f t="shared" si="16"/>
        <v>0</v>
      </c>
      <c r="AG15" s="13">
        <f t="shared" si="16"/>
        <v>950000</v>
      </c>
      <c r="AH15" s="13">
        <f t="shared" si="16"/>
        <v>0</v>
      </c>
      <c r="AI15" s="13">
        <f t="shared" si="16"/>
        <v>700000</v>
      </c>
      <c r="AJ15" s="13">
        <f t="shared" si="16"/>
        <v>0</v>
      </c>
      <c r="AK15" s="13">
        <f t="shared" si="16"/>
        <v>2517586</v>
      </c>
      <c r="AL15" s="13">
        <f t="shared" si="16"/>
        <v>0</v>
      </c>
      <c r="AM15" s="13">
        <f t="shared" si="16"/>
        <v>2517586</v>
      </c>
      <c r="AN15" s="13">
        <f t="shared" si="16"/>
        <v>4250000</v>
      </c>
      <c r="AO15" s="13">
        <f t="shared" si="16"/>
        <v>2891586</v>
      </c>
      <c r="AP15" s="13">
        <f t="shared" si="16"/>
        <v>-374000</v>
      </c>
      <c r="AQ15" s="13">
        <f t="shared" si="16"/>
        <v>0</v>
      </c>
      <c r="AR15" s="13">
        <f t="shared" si="16"/>
        <v>0</v>
      </c>
      <c r="AS15" s="13">
        <f t="shared" si="16"/>
        <v>0</v>
      </c>
      <c r="AT15" s="13">
        <f t="shared" si="16"/>
        <v>0</v>
      </c>
      <c r="AU15" s="13">
        <f t="shared" si="16"/>
        <v>0</v>
      </c>
      <c r="AV15" s="13">
        <f t="shared" si="16"/>
        <v>0</v>
      </c>
      <c r="AW15" s="13">
        <f t="shared" si="16"/>
        <v>0</v>
      </c>
      <c r="AX15" s="13">
        <f t="shared" si="16"/>
        <v>0</v>
      </c>
      <c r="AY15" s="13">
        <f t="shared" si="16"/>
        <v>4050000</v>
      </c>
      <c r="AZ15" s="13">
        <f t="shared" si="16"/>
        <v>200000</v>
      </c>
      <c r="BA15" s="13">
        <f t="shared" si="16"/>
        <v>0</v>
      </c>
      <c r="BB15" s="13">
        <f t="shared" si="16"/>
        <v>0</v>
      </c>
      <c r="BC15" s="13">
        <f t="shared" si="16"/>
        <v>0</v>
      </c>
    </row>
    <row r="16" spans="1:55">
      <c r="AB16" s="5"/>
    </row>
    <row r="17" spans="16:16">
      <c r="P17" s="307"/>
    </row>
  </sheetData>
  <sheetProtection formatCells="0" formatColumns="0" formatRows="0" insertColumns="0" insertRows="0" insertHyperlinks="0" deleteColumns="0" deleteRows="0" sort="0" autoFilter="0" pivotTables="0"/>
  <mergeCells count="3">
    <mergeCell ref="AB4:AK4"/>
    <mergeCell ref="AO4:AS4"/>
    <mergeCell ref="U4:Z4"/>
  </mergeCells>
  <conditionalFormatting sqref="AK4:AL4 AN4">
    <cfRule type="cellIs" dxfId="13" priority="14" operator="equal">
      <formula>0</formula>
    </cfRule>
  </conditionalFormatting>
  <conditionalFormatting sqref="AB4:AB5 AJ4">
    <cfRule type="cellIs" dxfId="12" priority="13" operator="equal">
      <formula>0</formula>
    </cfRule>
  </conditionalFormatting>
  <conditionalFormatting sqref="A4:T4">
    <cfRule type="cellIs" dxfId="11" priority="12" operator="equal">
      <formula>0</formula>
    </cfRule>
  </conditionalFormatting>
  <conditionalFormatting sqref="AC4:AC5">
    <cfRule type="cellIs" dxfId="10" priority="11" operator="equal">
      <formula>0</formula>
    </cfRule>
  </conditionalFormatting>
  <conditionalFormatting sqref="AD4:AD5">
    <cfRule type="cellIs" dxfId="9" priority="10" operator="equal">
      <formula>0</formula>
    </cfRule>
  </conditionalFormatting>
  <conditionalFormatting sqref="AE4:AE5">
    <cfRule type="cellIs" dxfId="8" priority="9" operator="equal">
      <formula>0</formula>
    </cfRule>
  </conditionalFormatting>
  <conditionalFormatting sqref="AF4:AF5">
    <cfRule type="cellIs" dxfId="7" priority="8" operator="equal">
      <formula>0</formula>
    </cfRule>
  </conditionalFormatting>
  <conditionalFormatting sqref="AG4:AG5">
    <cfRule type="cellIs" dxfId="6" priority="7" operator="equal">
      <formula>0</formula>
    </cfRule>
  </conditionalFormatting>
  <conditionalFormatting sqref="AH4:AH5">
    <cfRule type="cellIs" dxfId="5" priority="6" operator="equal">
      <formula>0</formula>
    </cfRule>
  </conditionalFormatting>
  <conditionalFormatting sqref="AI4">
    <cfRule type="cellIs" dxfId="4" priority="5" operator="equal">
      <formula>0</formula>
    </cfRule>
  </conditionalFormatting>
  <conditionalFormatting sqref="AI5">
    <cfRule type="cellIs" dxfId="3" priority="4" operator="equal">
      <formula>0</formula>
    </cfRule>
  </conditionalFormatting>
  <conditionalFormatting sqref="AJ5">
    <cfRule type="cellIs" dxfId="2" priority="3" operator="equal">
      <formula>0</formula>
    </cfRule>
  </conditionalFormatting>
  <conditionalFormatting sqref="AU4:AW4">
    <cfRule type="cellIs" dxfId="1" priority="2" operator="equal">
      <formula>0</formula>
    </cfRule>
  </conditionalFormatting>
  <conditionalFormatting sqref="AX4 AY5:BC5 AZ4:BC4">
    <cfRule type="cellIs" dxfId="0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  <legacy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18"/>
  <sheetViews>
    <sheetView showZeros="0" rightToLeft="1" topLeftCell="C97" zoomScaleNormal="100" zoomScaleSheetLayoutView="75" workbookViewId="0">
      <selection activeCell="T20" sqref="T20"/>
    </sheetView>
  </sheetViews>
  <sheetFormatPr defaultColWidth="14" defaultRowHeight="15.5"/>
  <cols>
    <col min="1" max="1" width="11.1796875" style="290" hidden="1" customWidth="1"/>
    <col min="2" max="2" width="13.1796875" style="146" hidden="1" customWidth="1"/>
    <col min="3" max="3" width="4.54296875" style="146" customWidth="1"/>
    <col min="4" max="4" width="6" style="146" customWidth="1"/>
    <col min="5" max="5" width="37.453125" style="146" customWidth="1"/>
    <col min="6" max="6" width="11.54296875" style="146" hidden="1" customWidth="1"/>
    <col min="7" max="10" width="11.1796875" style="146" hidden="1" customWidth="1"/>
    <col min="11" max="11" width="12" style="146" hidden="1" customWidth="1"/>
    <col min="12" max="13" width="11.1796875" style="146" hidden="1" customWidth="1"/>
    <col min="14" max="14" width="12.54296875" style="146" customWidth="1"/>
    <col min="15" max="15" width="12" style="146" customWidth="1"/>
    <col min="16" max="16" width="12.7265625" style="146" customWidth="1"/>
    <col min="17" max="17" width="11.54296875" style="146" customWidth="1"/>
    <col min="18" max="19" width="13.26953125" style="146" hidden="1" customWidth="1"/>
    <col min="20" max="25" width="9.7265625" style="146" hidden="1" customWidth="1"/>
    <col min="26" max="28" width="10.1796875" style="146" hidden="1" customWidth="1"/>
    <col min="29" max="30" width="11.1796875" style="146" hidden="1" customWidth="1"/>
    <col min="31" max="31" width="11.453125" style="146" customWidth="1"/>
    <col min="32" max="32" width="10.54296875" style="146" customWidth="1"/>
    <col min="33" max="33" width="12.81640625" style="146" customWidth="1"/>
    <col min="34" max="34" width="11.453125" style="146" customWidth="1"/>
    <col min="35" max="35" width="15.1796875" style="146" customWidth="1"/>
    <col min="36" max="36" width="11.453125" style="146" hidden="1" customWidth="1"/>
    <col min="37" max="38" width="9.1796875" style="146" hidden="1" customWidth="1"/>
    <col min="39" max="39" width="11.453125" style="146" hidden="1" customWidth="1"/>
    <col min="40" max="41" width="9.1796875" style="146" hidden="1" customWidth="1"/>
    <col min="42" max="42" width="10.26953125" style="146" customWidth="1"/>
    <col min="43" max="16384" width="14" style="146"/>
  </cols>
  <sheetData>
    <row r="1" spans="1:42" ht="15" customHeight="1"/>
    <row r="2" spans="1:42" ht="23">
      <c r="B2" s="324"/>
      <c r="C2" s="324"/>
      <c r="D2" s="551" t="s">
        <v>1421</v>
      </c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324"/>
      <c r="P2" s="324"/>
      <c r="R2" s="324"/>
      <c r="S2" s="324"/>
      <c r="T2" s="324"/>
      <c r="U2" s="324"/>
      <c r="V2" s="324"/>
      <c r="W2" s="324"/>
      <c r="X2" s="324"/>
      <c r="Y2" s="324"/>
      <c r="Z2" s="324"/>
      <c r="AA2" s="324"/>
      <c r="AB2" s="324"/>
      <c r="AC2" s="324"/>
      <c r="AD2" s="324"/>
      <c r="AE2" s="324"/>
      <c r="AF2" s="552"/>
      <c r="AG2" s="324"/>
      <c r="AH2" s="324"/>
      <c r="AI2" s="324"/>
      <c r="AJ2" s="324"/>
      <c r="AK2" s="552"/>
      <c r="AL2" s="324"/>
      <c r="AM2" s="324"/>
      <c r="AN2" s="552"/>
      <c r="AO2" s="324"/>
    </row>
    <row r="3" spans="1:42" ht="17.25" customHeight="1">
      <c r="A3" s="291"/>
      <c r="B3" s="321"/>
      <c r="C3" s="321"/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321"/>
      <c r="O3" s="321"/>
      <c r="P3" s="321"/>
      <c r="Q3" s="321"/>
      <c r="R3" s="321"/>
      <c r="S3" s="321"/>
      <c r="T3" s="321"/>
      <c r="U3" s="321"/>
      <c r="V3" s="321"/>
      <c r="W3" s="321"/>
      <c r="X3" s="321"/>
      <c r="Y3" s="321"/>
      <c r="Z3" s="321"/>
      <c r="AA3" s="321"/>
      <c r="AB3" s="321"/>
      <c r="AC3" s="321"/>
      <c r="AD3" s="292"/>
      <c r="AE3" s="321"/>
      <c r="AF3" s="321"/>
      <c r="AG3" s="321"/>
      <c r="AH3" s="321"/>
      <c r="AI3" s="292"/>
      <c r="AJ3" s="321"/>
      <c r="AK3" s="321"/>
      <c r="AL3" s="321"/>
      <c r="AM3" s="321"/>
      <c r="AN3" s="321"/>
      <c r="AO3" s="321"/>
    </row>
    <row r="4" spans="1:42">
      <c r="A4" s="281"/>
      <c r="B4" s="225"/>
      <c r="C4" s="225"/>
      <c r="D4" s="225"/>
      <c r="E4" s="225"/>
      <c r="F4" s="578" t="s">
        <v>510</v>
      </c>
      <c r="G4" s="578"/>
      <c r="H4" s="578"/>
      <c r="I4" s="578"/>
      <c r="J4" s="578"/>
      <c r="K4" s="578"/>
      <c r="L4" s="225"/>
      <c r="M4" s="578" t="s">
        <v>511</v>
      </c>
      <c r="N4" s="578"/>
      <c r="O4" s="741" t="s">
        <v>849</v>
      </c>
      <c r="P4" s="742"/>
      <c r="Q4" s="743"/>
      <c r="R4" s="579"/>
      <c r="S4" s="579"/>
      <c r="T4" s="579"/>
      <c r="U4" s="579"/>
      <c r="V4" s="579"/>
      <c r="W4" s="579"/>
      <c r="X4" s="579"/>
      <c r="Y4" s="579"/>
      <c r="Z4" s="579"/>
      <c r="AA4" s="579"/>
      <c r="AB4" s="579"/>
      <c r="AC4" s="579" t="s">
        <v>848</v>
      </c>
      <c r="AD4" s="579"/>
      <c r="AE4" s="579"/>
      <c r="AF4" s="579"/>
      <c r="AG4" s="735" t="s">
        <v>834</v>
      </c>
      <c r="AH4" s="736"/>
      <c r="AI4" s="737"/>
      <c r="AJ4" s="583" t="s">
        <v>835</v>
      </c>
      <c r="AK4" s="564"/>
      <c r="AL4" s="564"/>
      <c r="AM4" s="583" t="s">
        <v>836</v>
      </c>
      <c r="AN4" s="564"/>
      <c r="AO4" s="579"/>
    </row>
    <row r="5" spans="1:42" s="296" customFormat="1" ht="108.5">
      <c r="A5" s="580" t="s">
        <v>512</v>
      </c>
      <c r="B5" s="293" t="s">
        <v>513</v>
      </c>
      <c r="C5" s="293" t="s">
        <v>0</v>
      </c>
      <c r="D5" s="293" t="s">
        <v>1</v>
      </c>
      <c r="E5" s="293" t="s">
        <v>2</v>
      </c>
      <c r="F5" s="294" t="s">
        <v>514</v>
      </c>
      <c r="G5" s="294" t="s">
        <v>515</v>
      </c>
      <c r="H5" s="294" t="s">
        <v>516</v>
      </c>
      <c r="I5" s="294" t="s">
        <v>850</v>
      </c>
      <c r="J5" s="294" t="s">
        <v>851</v>
      </c>
      <c r="K5" s="294" t="s">
        <v>311</v>
      </c>
      <c r="L5" s="294" t="s">
        <v>852</v>
      </c>
      <c r="M5" s="294" t="s">
        <v>853</v>
      </c>
      <c r="N5" s="294" t="s">
        <v>854</v>
      </c>
      <c r="O5" s="294" t="s">
        <v>13</v>
      </c>
      <c r="P5" s="294" t="s">
        <v>14</v>
      </c>
      <c r="Q5" s="294" t="s">
        <v>140</v>
      </c>
      <c r="R5" s="294" t="s">
        <v>855</v>
      </c>
      <c r="S5" s="294" t="s">
        <v>856</v>
      </c>
      <c r="T5" s="294" t="s">
        <v>857</v>
      </c>
      <c r="U5" s="294" t="s">
        <v>858</v>
      </c>
      <c r="V5" s="294" t="s">
        <v>859</v>
      </c>
      <c r="W5" s="294" t="s">
        <v>860</v>
      </c>
      <c r="X5" s="294" t="s">
        <v>861</v>
      </c>
      <c r="Y5" s="294" t="s">
        <v>862</v>
      </c>
      <c r="Z5" s="294" t="s">
        <v>862</v>
      </c>
      <c r="AA5" s="294" t="s">
        <v>862</v>
      </c>
      <c r="AB5" s="294" t="s">
        <v>863</v>
      </c>
      <c r="AC5" s="107" t="s">
        <v>837</v>
      </c>
      <c r="AD5" s="107" t="s">
        <v>838</v>
      </c>
      <c r="AE5" s="107" t="s">
        <v>839</v>
      </c>
      <c r="AF5" s="107" t="s">
        <v>840</v>
      </c>
      <c r="AG5" s="294" t="s">
        <v>13</v>
      </c>
      <c r="AH5" s="294" t="s">
        <v>14</v>
      </c>
      <c r="AI5" s="294" t="s">
        <v>140</v>
      </c>
      <c r="AJ5" s="294" t="s">
        <v>13</v>
      </c>
      <c r="AK5" s="294" t="s">
        <v>14</v>
      </c>
      <c r="AL5" s="294" t="s">
        <v>140</v>
      </c>
      <c r="AM5" s="294" t="s">
        <v>13</v>
      </c>
      <c r="AN5" s="294" t="s">
        <v>14</v>
      </c>
      <c r="AO5" s="294" t="s">
        <v>140</v>
      </c>
      <c r="AP5" s="146"/>
    </row>
    <row r="6" spans="1:42" s="296" customFormat="1">
      <c r="A6" s="580"/>
      <c r="B6" s="293"/>
      <c r="C6" s="293"/>
      <c r="D6" s="293"/>
      <c r="E6" s="293"/>
      <c r="F6" s="294"/>
      <c r="G6" s="294"/>
      <c r="H6" s="294"/>
      <c r="I6" s="294"/>
      <c r="J6" s="294"/>
      <c r="K6" s="294"/>
      <c r="L6" s="294"/>
      <c r="M6" s="294"/>
      <c r="N6" s="294"/>
      <c r="O6" s="294"/>
      <c r="P6" s="294"/>
      <c r="Q6" s="294"/>
      <c r="R6" s="294"/>
      <c r="S6" s="294"/>
      <c r="T6" s="294"/>
      <c r="U6" s="294"/>
      <c r="V6" s="294"/>
      <c r="W6" s="294"/>
      <c r="X6" s="294"/>
      <c r="Y6" s="294"/>
      <c r="Z6" s="294"/>
      <c r="AA6" s="294"/>
      <c r="AB6" s="294"/>
      <c r="AC6" s="294"/>
      <c r="AD6" s="294"/>
      <c r="AE6" s="294"/>
      <c r="AF6" s="294"/>
      <c r="AG6" s="294"/>
      <c r="AH6" s="294"/>
      <c r="AI6" s="294"/>
      <c r="AJ6" s="294"/>
      <c r="AK6" s="294"/>
      <c r="AL6" s="294"/>
      <c r="AM6" s="294"/>
      <c r="AN6" s="294"/>
      <c r="AO6" s="294"/>
      <c r="AP6" s="146"/>
    </row>
    <row r="7" spans="1:42" s="157" customFormat="1">
      <c r="A7" s="281"/>
      <c r="B7" s="225"/>
      <c r="C7" s="225"/>
      <c r="D7" s="225"/>
      <c r="E7" s="299" t="s">
        <v>286</v>
      </c>
      <c r="F7" s="227"/>
      <c r="G7" s="227"/>
      <c r="H7" s="227"/>
      <c r="I7" s="227"/>
      <c r="J7" s="227"/>
      <c r="K7" s="227"/>
      <c r="L7" s="227"/>
      <c r="M7" s="227"/>
      <c r="N7" s="227"/>
      <c r="O7" s="227"/>
      <c r="P7" s="227"/>
      <c r="Q7" s="225"/>
      <c r="R7" s="225"/>
      <c r="S7" s="225"/>
      <c r="T7" s="225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5"/>
      <c r="AM7" s="225"/>
      <c r="AN7" s="225"/>
      <c r="AO7" s="225"/>
      <c r="AP7" s="146"/>
    </row>
    <row r="8" spans="1:42" s="157" customFormat="1">
      <c r="A8" s="581" t="s">
        <v>864</v>
      </c>
      <c r="B8" s="293" t="s">
        <v>865</v>
      </c>
      <c r="C8" s="225">
        <v>1</v>
      </c>
      <c r="D8" s="225">
        <v>1943</v>
      </c>
      <c r="E8" s="300" t="s">
        <v>866</v>
      </c>
      <c r="F8" s="227">
        <v>6500000</v>
      </c>
      <c r="G8" s="227">
        <v>6000000</v>
      </c>
      <c r="H8" s="227">
        <f t="shared" ref="H8:H20" si="0">F8-G8</f>
        <v>500000</v>
      </c>
      <c r="I8" s="227">
        <v>5000000</v>
      </c>
      <c r="J8" s="227">
        <v>1500000</v>
      </c>
      <c r="K8" s="227">
        <f t="shared" ref="K8:K20" si="1">F8-I8-J8</f>
        <v>0</v>
      </c>
      <c r="L8" s="227">
        <f t="shared" ref="L8:L20" si="2">J8</f>
        <v>1500000</v>
      </c>
      <c r="M8" s="227">
        <v>500000</v>
      </c>
      <c r="N8" s="227">
        <f t="shared" ref="N8:N20" si="3">L8-M8</f>
        <v>1000000</v>
      </c>
      <c r="O8" s="227">
        <f>N8-P8-Q8</f>
        <v>1000000</v>
      </c>
      <c r="P8" s="227"/>
      <c r="Q8" s="227"/>
      <c r="R8" s="227">
        <v>1000000</v>
      </c>
      <c r="S8" s="227"/>
      <c r="T8" s="227"/>
      <c r="U8" s="227"/>
      <c r="V8" s="227"/>
      <c r="W8" s="227"/>
      <c r="X8" s="227"/>
      <c r="Y8" s="227"/>
      <c r="Z8" s="227"/>
      <c r="AA8" s="227"/>
      <c r="AB8" s="227"/>
      <c r="AC8" s="227">
        <f>SUM(R8:AB8)</f>
        <v>1000000</v>
      </c>
      <c r="AD8" s="227"/>
      <c r="AE8" s="227">
        <f>AC8+AD8</f>
        <v>1000000</v>
      </c>
      <c r="AF8" s="227">
        <f>N8-AE8</f>
        <v>0</v>
      </c>
      <c r="AG8" s="227">
        <f>AE8-AH8-AI8</f>
        <v>1000000</v>
      </c>
      <c r="AH8" s="227"/>
      <c r="AI8" s="227"/>
      <c r="AJ8" s="227">
        <f>AD8-AK8-AL8</f>
        <v>0</v>
      </c>
      <c r="AK8" s="227"/>
      <c r="AL8" s="227"/>
      <c r="AM8" s="227">
        <f>AF8-AN8-AO8</f>
        <v>0</v>
      </c>
      <c r="AN8" s="227"/>
      <c r="AO8" s="227"/>
      <c r="AP8" s="146"/>
    </row>
    <row r="9" spans="1:42" s="555" customFormat="1">
      <c r="A9" s="581" t="s">
        <v>912</v>
      </c>
      <c r="B9" s="302" t="s">
        <v>913</v>
      </c>
      <c r="C9" s="225">
        <f>C8+1</f>
        <v>2</v>
      </c>
      <c r="D9" s="402">
        <v>1693</v>
      </c>
      <c r="E9" s="280" t="s">
        <v>1045</v>
      </c>
      <c r="F9" s="282">
        <v>4500000</v>
      </c>
      <c r="G9" s="282">
        <v>4500000</v>
      </c>
      <c r="H9" s="282">
        <f>F9-G9</f>
        <v>0</v>
      </c>
      <c r="I9" s="282">
        <v>262478</v>
      </c>
      <c r="J9" s="282">
        <v>1993003</v>
      </c>
      <c r="K9" s="282">
        <f>F9-I9-J9</f>
        <v>2244519</v>
      </c>
      <c r="L9" s="282">
        <f>J9</f>
        <v>1993003</v>
      </c>
      <c r="M9" s="282">
        <v>120000</v>
      </c>
      <c r="N9" s="282">
        <f>L9-M9</f>
        <v>1873003</v>
      </c>
      <c r="O9" s="227">
        <f>N9-P9-Q9</f>
        <v>29475</v>
      </c>
      <c r="P9" s="282"/>
      <c r="Q9" s="282">
        <v>1843528</v>
      </c>
      <c r="R9" s="282"/>
      <c r="S9" s="282"/>
      <c r="T9" s="282"/>
      <c r="U9" s="282"/>
      <c r="V9" s="282"/>
      <c r="W9" s="282"/>
      <c r="X9" s="282">
        <v>1873003</v>
      </c>
      <c r="Y9" s="282"/>
      <c r="Z9" s="282"/>
      <c r="AA9" s="282"/>
      <c r="AB9" s="282"/>
      <c r="AC9" s="227">
        <f>SUM(R9:AB9)</f>
        <v>1873003</v>
      </c>
      <c r="AD9" s="557"/>
      <c r="AE9" s="227">
        <f>AC9+AD9</f>
        <v>1873003</v>
      </c>
      <c r="AF9" s="557"/>
      <c r="AG9" s="227">
        <f>AE9-AH9-AI9</f>
        <v>29475</v>
      </c>
      <c r="AH9" s="557"/>
      <c r="AI9" s="227">
        <v>1843528</v>
      </c>
      <c r="AJ9" s="225"/>
      <c r="AK9" s="225"/>
      <c r="AL9" s="282"/>
      <c r="AM9" s="282"/>
      <c r="AN9" s="282"/>
      <c r="AO9" s="225"/>
      <c r="AP9" s="146"/>
    </row>
    <row r="10" spans="1:42" s="157" customFormat="1">
      <c r="A10" s="280" t="s">
        <v>867</v>
      </c>
      <c r="B10" s="293" t="s">
        <v>868</v>
      </c>
      <c r="C10" s="225">
        <f t="shared" ref="C10:C20" si="4">C9+1</f>
        <v>3</v>
      </c>
      <c r="D10" s="226">
        <v>2059</v>
      </c>
      <c r="E10" s="300" t="s">
        <v>869</v>
      </c>
      <c r="F10" s="227">
        <v>2610000</v>
      </c>
      <c r="G10" s="227"/>
      <c r="H10" s="227">
        <f t="shared" si="0"/>
        <v>2610000</v>
      </c>
      <c r="I10" s="227"/>
      <c r="J10" s="227">
        <v>350000</v>
      </c>
      <c r="K10" s="227">
        <f t="shared" si="1"/>
        <v>2260000</v>
      </c>
      <c r="L10" s="227">
        <f t="shared" si="2"/>
        <v>350000</v>
      </c>
      <c r="M10" s="227"/>
      <c r="N10" s="227">
        <f t="shared" si="3"/>
        <v>350000</v>
      </c>
      <c r="O10" s="227">
        <f>N10-P10-Q10</f>
        <v>350000</v>
      </c>
      <c r="P10" s="227"/>
      <c r="Q10" s="227"/>
      <c r="R10" s="227">
        <v>350000</v>
      </c>
      <c r="S10" s="227"/>
      <c r="T10" s="227"/>
      <c r="U10" s="227"/>
      <c r="V10" s="227"/>
      <c r="W10" s="227"/>
      <c r="X10" s="227"/>
      <c r="Y10" s="227"/>
      <c r="Z10" s="227"/>
      <c r="AA10" s="227"/>
      <c r="AB10" s="227"/>
      <c r="AC10" s="227">
        <f t="shared" ref="AC10:AC20" si="5">SUM(R10:AB10)</f>
        <v>350000</v>
      </c>
      <c r="AD10" s="227"/>
      <c r="AE10" s="227">
        <f t="shared" ref="AE10:AE20" si="6">AC10+AD10</f>
        <v>350000</v>
      </c>
      <c r="AF10" s="227">
        <f t="shared" ref="AF10:AF20" si="7">N10-AE10</f>
        <v>0</v>
      </c>
      <c r="AG10" s="227">
        <f t="shared" ref="AG10:AG20" si="8">AE10-AH10-AI10</f>
        <v>350000</v>
      </c>
      <c r="AH10" s="227"/>
      <c r="AI10" s="227"/>
      <c r="AJ10" s="227">
        <f t="shared" ref="AJ10:AJ20" si="9">AD10-AK10-AL10</f>
        <v>0</v>
      </c>
      <c r="AK10" s="227"/>
      <c r="AL10" s="227"/>
      <c r="AM10" s="227">
        <f t="shared" ref="AM10:AM20" si="10">AF10-AN10-AO10</f>
        <v>0</v>
      </c>
      <c r="AN10" s="227"/>
      <c r="AO10" s="227"/>
      <c r="AP10" s="146"/>
    </row>
    <row r="11" spans="1:42" s="157" customFormat="1">
      <c r="A11" s="280" t="s">
        <v>867</v>
      </c>
      <c r="B11" s="293" t="s">
        <v>868</v>
      </c>
      <c r="C11" s="225">
        <f t="shared" si="4"/>
        <v>4</v>
      </c>
      <c r="D11" s="226">
        <v>1320</v>
      </c>
      <c r="E11" s="300" t="s">
        <v>531</v>
      </c>
      <c r="F11" s="227">
        <v>23500000</v>
      </c>
      <c r="G11" s="227"/>
      <c r="H11" s="227">
        <f t="shared" si="0"/>
        <v>23500000</v>
      </c>
      <c r="I11" s="227">
        <v>21700000</v>
      </c>
      <c r="J11" s="227">
        <v>-150000</v>
      </c>
      <c r="K11" s="227">
        <f t="shared" si="1"/>
        <v>1950000</v>
      </c>
      <c r="L11" s="227">
        <f t="shared" si="2"/>
        <v>-150000</v>
      </c>
      <c r="M11" s="227"/>
      <c r="N11" s="227">
        <f t="shared" si="3"/>
        <v>-150000</v>
      </c>
      <c r="O11" s="227">
        <f>N11-P11-Q11</f>
        <v>-150000</v>
      </c>
      <c r="P11" s="227"/>
      <c r="Q11" s="227"/>
      <c r="R11" s="227">
        <v>-150000</v>
      </c>
      <c r="S11" s="227"/>
      <c r="T11" s="227"/>
      <c r="U11" s="227"/>
      <c r="V11" s="227"/>
      <c r="W11" s="227"/>
      <c r="X11" s="227"/>
      <c r="Y11" s="227"/>
      <c r="Z11" s="227"/>
      <c r="AA11" s="227"/>
      <c r="AB11" s="227"/>
      <c r="AC11" s="227">
        <f t="shared" si="5"/>
        <v>-150000</v>
      </c>
      <c r="AD11" s="227"/>
      <c r="AE11" s="227">
        <f t="shared" si="6"/>
        <v>-150000</v>
      </c>
      <c r="AF11" s="227">
        <f t="shared" si="7"/>
        <v>0</v>
      </c>
      <c r="AG11" s="227">
        <f t="shared" si="8"/>
        <v>-150000</v>
      </c>
      <c r="AH11" s="227"/>
      <c r="AI11" s="227"/>
      <c r="AJ11" s="227">
        <f t="shared" si="9"/>
        <v>0</v>
      </c>
      <c r="AK11" s="227"/>
      <c r="AL11" s="227"/>
      <c r="AM11" s="227">
        <f t="shared" si="10"/>
        <v>0</v>
      </c>
      <c r="AN11" s="227"/>
      <c r="AO11" s="227"/>
      <c r="AP11" s="146"/>
    </row>
    <row r="12" spans="1:42" s="157" customFormat="1">
      <c r="A12" s="280" t="s">
        <v>870</v>
      </c>
      <c r="B12" s="293" t="s">
        <v>871</v>
      </c>
      <c r="C12" s="225">
        <f t="shared" si="4"/>
        <v>5</v>
      </c>
      <c r="D12" s="226">
        <v>1268</v>
      </c>
      <c r="E12" s="300" t="s">
        <v>1013</v>
      </c>
      <c r="F12" s="227">
        <v>10800000</v>
      </c>
      <c r="G12" s="227">
        <v>10800000</v>
      </c>
      <c r="H12" s="227">
        <f t="shared" si="0"/>
        <v>0</v>
      </c>
      <c r="I12" s="227">
        <f>10784038+15962</f>
        <v>10800000</v>
      </c>
      <c r="J12" s="227"/>
      <c r="K12" s="227">
        <f t="shared" si="1"/>
        <v>0</v>
      </c>
      <c r="L12" s="227">
        <f t="shared" si="2"/>
        <v>0</v>
      </c>
      <c r="M12" s="227"/>
      <c r="N12" s="227">
        <f t="shared" si="3"/>
        <v>0</v>
      </c>
      <c r="O12" s="227">
        <v>33099</v>
      </c>
      <c r="P12" s="227"/>
      <c r="Q12" s="227">
        <v>-33099</v>
      </c>
      <c r="R12" s="227"/>
      <c r="S12" s="227"/>
      <c r="T12" s="304"/>
      <c r="U12" s="227"/>
      <c r="V12" s="227"/>
      <c r="W12" s="227"/>
      <c r="X12" s="227"/>
      <c r="Y12" s="227"/>
      <c r="Z12" s="227"/>
      <c r="AA12" s="227"/>
      <c r="AB12" s="227"/>
      <c r="AC12" s="227">
        <f t="shared" si="5"/>
        <v>0</v>
      </c>
      <c r="AD12" s="227"/>
      <c r="AE12" s="227">
        <f t="shared" si="6"/>
        <v>0</v>
      </c>
      <c r="AF12" s="227">
        <f t="shared" si="7"/>
        <v>0</v>
      </c>
      <c r="AG12" s="227">
        <f t="shared" si="8"/>
        <v>33099</v>
      </c>
      <c r="AH12" s="227"/>
      <c r="AI12" s="227">
        <v>-33099</v>
      </c>
      <c r="AJ12" s="227">
        <f t="shared" si="9"/>
        <v>0</v>
      </c>
      <c r="AK12" s="227"/>
      <c r="AL12" s="227"/>
      <c r="AM12" s="227">
        <f t="shared" si="10"/>
        <v>0</v>
      </c>
      <c r="AN12" s="227"/>
      <c r="AO12" s="227"/>
      <c r="AP12" s="146"/>
    </row>
    <row r="13" spans="1:42" s="157" customFormat="1">
      <c r="A13" s="280" t="s">
        <v>872</v>
      </c>
      <c r="B13" s="293" t="s">
        <v>873</v>
      </c>
      <c r="C13" s="225">
        <f t="shared" si="4"/>
        <v>6</v>
      </c>
      <c r="D13" s="226">
        <v>2077</v>
      </c>
      <c r="E13" s="300" t="s">
        <v>874</v>
      </c>
      <c r="F13" s="227">
        <v>4000000</v>
      </c>
      <c r="G13" s="227"/>
      <c r="H13" s="227">
        <f t="shared" si="0"/>
        <v>4000000</v>
      </c>
      <c r="I13" s="227"/>
      <c r="J13" s="227">
        <v>1000000</v>
      </c>
      <c r="K13" s="227">
        <f t="shared" si="1"/>
        <v>3000000</v>
      </c>
      <c r="L13" s="227">
        <f t="shared" si="2"/>
        <v>1000000</v>
      </c>
      <c r="M13" s="227"/>
      <c r="N13" s="227">
        <f t="shared" si="3"/>
        <v>1000000</v>
      </c>
      <c r="O13" s="227">
        <f t="shared" ref="O13:O20" si="11">N13-P13-Q13</f>
        <v>1000000</v>
      </c>
      <c r="P13" s="227"/>
      <c r="Q13" s="227"/>
      <c r="R13" s="227"/>
      <c r="S13" s="227"/>
      <c r="T13" s="227"/>
      <c r="U13" s="227"/>
      <c r="V13" s="227"/>
      <c r="W13" s="227"/>
      <c r="X13" s="227"/>
      <c r="Y13" s="227"/>
      <c r="Z13" s="227"/>
      <c r="AA13" s="227"/>
      <c r="AB13" s="227"/>
      <c r="AC13" s="227">
        <f t="shared" si="5"/>
        <v>0</v>
      </c>
      <c r="AD13" s="227"/>
      <c r="AE13" s="227">
        <f t="shared" si="6"/>
        <v>0</v>
      </c>
      <c r="AF13" s="227">
        <f t="shared" si="7"/>
        <v>1000000</v>
      </c>
      <c r="AG13" s="227">
        <f t="shared" si="8"/>
        <v>0</v>
      </c>
      <c r="AH13" s="227"/>
      <c r="AI13" s="227"/>
      <c r="AJ13" s="227">
        <f t="shared" si="9"/>
        <v>0</v>
      </c>
      <c r="AK13" s="227"/>
      <c r="AL13" s="227"/>
      <c r="AM13" s="227">
        <f t="shared" si="10"/>
        <v>1000000</v>
      </c>
      <c r="AN13" s="227"/>
      <c r="AO13" s="227"/>
      <c r="AP13" s="146"/>
    </row>
    <row r="14" spans="1:42" s="157" customFormat="1">
      <c r="A14" s="280" t="s">
        <v>872</v>
      </c>
      <c r="B14" s="293" t="s">
        <v>873</v>
      </c>
      <c r="C14" s="225">
        <f t="shared" si="4"/>
        <v>7</v>
      </c>
      <c r="D14" s="226">
        <v>2007</v>
      </c>
      <c r="E14" s="300" t="s">
        <v>1082</v>
      </c>
      <c r="F14" s="227">
        <v>3000000</v>
      </c>
      <c r="G14" s="227">
        <v>3000000</v>
      </c>
      <c r="H14" s="227">
        <f t="shared" si="0"/>
        <v>0</v>
      </c>
      <c r="I14" s="227"/>
      <c r="J14" s="227">
        <v>1100000</v>
      </c>
      <c r="K14" s="227">
        <f t="shared" si="1"/>
        <v>1900000</v>
      </c>
      <c r="L14" s="227">
        <f t="shared" si="2"/>
        <v>1100000</v>
      </c>
      <c r="M14" s="227">
        <v>500000</v>
      </c>
      <c r="N14" s="227">
        <f t="shared" si="3"/>
        <v>600000</v>
      </c>
      <c r="O14" s="227">
        <f t="shared" si="11"/>
        <v>600000</v>
      </c>
      <c r="P14" s="227"/>
      <c r="Q14" s="227"/>
      <c r="R14" s="227"/>
      <c r="S14" s="227"/>
      <c r="T14" s="227"/>
      <c r="U14" s="227"/>
      <c r="V14" s="227"/>
      <c r="W14" s="227"/>
      <c r="X14" s="227"/>
      <c r="Y14" s="227"/>
      <c r="Z14" s="227">
        <v>600000</v>
      </c>
      <c r="AA14" s="227"/>
      <c r="AB14" s="227"/>
      <c r="AC14" s="227">
        <f t="shared" si="5"/>
        <v>600000</v>
      </c>
      <c r="AD14" s="227"/>
      <c r="AE14" s="227">
        <f t="shared" si="6"/>
        <v>600000</v>
      </c>
      <c r="AF14" s="227">
        <f t="shared" si="7"/>
        <v>0</v>
      </c>
      <c r="AG14" s="227">
        <f t="shared" si="8"/>
        <v>600000</v>
      </c>
      <c r="AH14" s="227"/>
      <c r="AI14" s="227"/>
      <c r="AJ14" s="227">
        <f t="shared" si="9"/>
        <v>0</v>
      </c>
      <c r="AK14" s="227"/>
      <c r="AL14" s="227"/>
      <c r="AM14" s="227">
        <f t="shared" si="10"/>
        <v>0</v>
      </c>
      <c r="AN14" s="227"/>
      <c r="AO14" s="227"/>
      <c r="AP14" s="146"/>
    </row>
    <row r="15" spans="1:42" s="157" customFormat="1">
      <c r="A15" s="280" t="s">
        <v>872</v>
      </c>
      <c r="B15" s="293" t="s">
        <v>873</v>
      </c>
      <c r="C15" s="225">
        <f t="shared" si="4"/>
        <v>8</v>
      </c>
      <c r="D15" s="226">
        <v>592</v>
      </c>
      <c r="E15" s="300" t="s">
        <v>875</v>
      </c>
      <c r="F15" s="227">
        <v>54893000</v>
      </c>
      <c r="G15" s="227">
        <v>54893000</v>
      </c>
      <c r="H15" s="227">
        <f t="shared" si="0"/>
        <v>0</v>
      </c>
      <c r="I15" s="227">
        <f>17505605+914395</f>
        <v>18420000</v>
      </c>
      <c r="J15" s="227">
        <v>300000</v>
      </c>
      <c r="K15" s="227">
        <f t="shared" si="1"/>
        <v>36173000</v>
      </c>
      <c r="L15" s="227">
        <f t="shared" si="2"/>
        <v>300000</v>
      </c>
      <c r="M15" s="227"/>
      <c r="N15" s="227">
        <f t="shared" si="3"/>
        <v>300000</v>
      </c>
      <c r="O15" s="227">
        <f t="shared" si="11"/>
        <v>300000</v>
      </c>
      <c r="P15" s="227"/>
      <c r="Q15" s="227"/>
      <c r="R15" s="227"/>
      <c r="S15" s="227"/>
      <c r="T15" s="227"/>
      <c r="U15" s="227"/>
      <c r="V15" s="227"/>
      <c r="W15" s="227"/>
      <c r="X15" s="227"/>
      <c r="Y15" s="227"/>
      <c r="Z15" s="227">
        <v>300000</v>
      </c>
      <c r="AA15" s="227"/>
      <c r="AB15" s="227"/>
      <c r="AC15" s="227">
        <f t="shared" si="5"/>
        <v>300000</v>
      </c>
      <c r="AD15" s="227"/>
      <c r="AE15" s="227">
        <f t="shared" si="6"/>
        <v>300000</v>
      </c>
      <c r="AF15" s="227">
        <f t="shared" si="7"/>
        <v>0</v>
      </c>
      <c r="AG15" s="227">
        <f t="shared" si="8"/>
        <v>300000</v>
      </c>
      <c r="AH15" s="227"/>
      <c r="AI15" s="227"/>
      <c r="AJ15" s="227">
        <f t="shared" si="9"/>
        <v>0</v>
      </c>
      <c r="AK15" s="227"/>
      <c r="AL15" s="227"/>
      <c r="AM15" s="227">
        <f t="shared" si="10"/>
        <v>0</v>
      </c>
      <c r="AN15" s="227"/>
      <c r="AO15" s="227"/>
      <c r="AP15" s="146"/>
    </row>
    <row r="16" spans="1:42" s="157" customFormat="1">
      <c r="A16" s="280" t="s">
        <v>872</v>
      </c>
      <c r="B16" s="293" t="s">
        <v>873</v>
      </c>
      <c r="C16" s="225">
        <f t="shared" si="4"/>
        <v>9</v>
      </c>
      <c r="D16" s="226">
        <v>608</v>
      </c>
      <c r="E16" s="300" t="s">
        <v>37</v>
      </c>
      <c r="F16" s="227">
        <v>8300000</v>
      </c>
      <c r="G16" s="227">
        <v>8300000</v>
      </c>
      <c r="H16" s="227">
        <f t="shared" si="0"/>
        <v>0</v>
      </c>
      <c r="I16" s="227">
        <f>5203017+96983</f>
        <v>5300000</v>
      </c>
      <c r="J16" s="227">
        <v>950000</v>
      </c>
      <c r="K16" s="227">
        <f t="shared" si="1"/>
        <v>2050000</v>
      </c>
      <c r="L16" s="227">
        <f t="shared" si="2"/>
        <v>950000</v>
      </c>
      <c r="M16" s="227">
        <v>750000</v>
      </c>
      <c r="N16" s="227">
        <f t="shared" si="3"/>
        <v>200000</v>
      </c>
      <c r="O16" s="227">
        <f t="shared" si="11"/>
        <v>200000</v>
      </c>
      <c r="P16" s="227"/>
      <c r="Q16" s="227"/>
      <c r="R16" s="227"/>
      <c r="S16" s="227"/>
      <c r="T16" s="227"/>
      <c r="U16" s="227"/>
      <c r="V16" s="227"/>
      <c r="W16" s="227"/>
      <c r="X16" s="227"/>
      <c r="Y16" s="227"/>
      <c r="Z16" s="227">
        <v>200000</v>
      </c>
      <c r="AA16" s="227"/>
      <c r="AB16" s="227"/>
      <c r="AC16" s="227">
        <f t="shared" si="5"/>
        <v>200000</v>
      </c>
      <c r="AD16" s="227"/>
      <c r="AE16" s="227">
        <f t="shared" si="6"/>
        <v>200000</v>
      </c>
      <c r="AF16" s="227">
        <f t="shared" si="7"/>
        <v>0</v>
      </c>
      <c r="AG16" s="227">
        <f t="shared" si="8"/>
        <v>200000</v>
      </c>
      <c r="AH16" s="227"/>
      <c r="AI16" s="227"/>
      <c r="AJ16" s="227">
        <f t="shared" si="9"/>
        <v>0</v>
      </c>
      <c r="AK16" s="227"/>
      <c r="AL16" s="227"/>
      <c r="AM16" s="227">
        <f t="shared" si="10"/>
        <v>0</v>
      </c>
      <c r="AN16" s="227"/>
      <c r="AO16" s="227"/>
      <c r="AP16" s="146"/>
    </row>
    <row r="17" spans="1:42" s="157" customFormat="1">
      <c r="A17" s="280" t="s">
        <v>872</v>
      </c>
      <c r="B17" s="293" t="s">
        <v>873</v>
      </c>
      <c r="C17" s="225">
        <f t="shared" si="4"/>
        <v>10</v>
      </c>
      <c r="D17" s="226">
        <v>2078</v>
      </c>
      <c r="E17" s="300" t="s">
        <v>876</v>
      </c>
      <c r="F17" s="227">
        <v>2260000</v>
      </c>
      <c r="G17" s="227"/>
      <c r="H17" s="227">
        <f t="shared" si="0"/>
        <v>2260000</v>
      </c>
      <c r="I17" s="227"/>
      <c r="J17" s="227">
        <v>150000</v>
      </c>
      <c r="K17" s="227">
        <f t="shared" si="1"/>
        <v>2110000</v>
      </c>
      <c r="L17" s="227">
        <f t="shared" si="2"/>
        <v>150000</v>
      </c>
      <c r="M17" s="227"/>
      <c r="N17" s="227">
        <f t="shared" si="3"/>
        <v>150000</v>
      </c>
      <c r="O17" s="227">
        <f t="shared" si="11"/>
        <v>150000</v>
      </c>
      <c r="P17" s="227"/>
      <c r="Q17" s="227"/>
      <c r="R17" s="227"/>
      <c r="S17" s="227"/>
      <c r="T17" s="227"/>
      <c r="U17" s="227"/>
      <c r="V17" s="227"/>
      <c r="W17" s="227"/>
      <c r="X17" s="227"/>
      <c r="Y17" s="227"/>
      <c r="Z17" s="227">
        <v>150000</v>
      </c>
      <c r="AA17" s="227"/>
      <c r="AB17" s="227"/>
      <c r="AC17" s="227">
        <f t="shared" si="5"/>
        <v>150000</v>
      </c>
      <c r="AD17" s="227"/>
      <c r="AE17" s="227">
        <f t="shared" si="6"/>
        <v>150000</v>
      </c>
      <c r="AF17" s="227">
        <f t="shared" si="7"/>
        <v>0</v>
      </c>
      <c r="AG17" s="227">
        <f t="shared" si="8"/>
        <v>150000</v>
      </c>
      <c r="AH17" s="227"/>
      <c r="AI17" s="227"/>
      <c r="AJ17" s="227">
        <f t="shared" si="9"/>
        <v>0</v>
      </c>
      <c r="AK17" s="227"/>
      <c r="AL17" s="227"/>
      <c r="AM17" s="227">
        <f t="shared" si="10"/>
        <v>0</v>
      </c>
      <c r="AN17" s="227"/>
      <c r="AO17" s="227"/>
      <c r="AP17" s="146"/>
    </row>
    <row r="18" spans="1:42" s="157" customFormat="1">
      <c r="A18" s="280" t="s">
        <v>872</v>
      </c>
      <c r="B18" s="293" t="s">
        <v>873</v>
      </c>
      <c r="C18" s="225">
        <f t="shared" si="4"/>
        <v>11</v>
      </c>
      <c r="D18" s="226">
        <v>1322</v>
      </c>
      <c r="E18" s="300" t="s">
        <v>42</v>
      </c>
      <c r="F18" s="227">
        <v>18500000</v>
      </c>
      <c r="G18" s="227">
        <v>18500000</v>
      </c>
      <c r="H18" s="227">
        <f t="shared" si="0"/>
        <v>0</v>
      </c>
      <c r="I18" s="227">
        <f>9772656+127344</f>
        <v>9900000</v>
      </c>
      <c r="J18" s="227">
        <v>1150000</v>
      </c>
      <c r="K18" s="227">
        <f t="shared" si="1"/>
        <v>7450000</v>
      </c>
      <c r="L18" s="227">
        <f t="shared" si="2"/>
        <v>1150000</v>
      </c>
      <c r="M18" s="227">
        <v>1500000</v>
      </c>
      <c r="N18" s="227">
        <f t="shared" si="3"/>
        <v>-350000</v>
      </c>
      <c r="O18" s="227">
        <f t="shared" si="11"/>
        <v>-350000</v>
      </c>
      <c r="P18" s="227"/>
      <c r="Q18" s="227"/>
      <c r="R18" s="227"/>
      <c r="S18" s="227"/>
      <c r="T18" s="227"/>
      <c r="U18" s="227"/>
      <c r="V18" s="227"/>
      <c r="W18" s="227"/>
      <c r="X18" s="227"/>
      <c r="Y18" s="227"/>
      <c r="Z18" s="227">
        <v>-350000</v>
      </c>
      <c r="AA18" s="227"/>
      <c r="AB18" s="227"/>
      <c r="AC18" s="227">
        <f t="shared" si="5"/>
        <v>-350000</v>
      </c>
      <c r="AD18" s="227"/>
      <c r="AE18" s="227">
        <f t="shared" si="6"/>
        <v>-350000</v>
      </c>
      <c r="AF18" s="227">
        <f t="shared" si="7"/>
        <v>0</v>
      </c>
      <c r="AG18" s="227">
        <f t="shared" si="8"/>
        <v>-350000</v>
      </c>
      <c r="AH18" s="227"/>
      <c r="AI18" s="227"/>
      <c r="AJ18" s="227">
        <f t="shared" si="9"/>
        <v>0</v>
      </c>
      <c r="AK18" s="227"/>
      <c r="AL18" s="227"/>
      <c r="AM18" s="227">
        <f t="shared" si="10"/>
        <v>0</v>
      </c>
      <c r="AN18" s="227"/>
      <c r="AO18" s="227"/>
      <c r="AP18" s="146"/>
    </row>
    <row r="19" spans="1:42" s="157" customFormat="1">
      <c r="A19" s="280" t="s">
        <v>872</v>
      </c>
      <c r="B19" s="293" t="s">
        <v>873</v>
      </c>
      <c r="C19" s="225">
        <f t="shared" si="4"/>
        <v>12</v>
      </c>
      <c r="D19" s="226">
        <v>1529</v>
      </c>
      <c r="E19" s="300" t="s">
        <v>61</v>
      </c>
      <c r="F19" s="227">
        <v>350000</v>
      </c>
      <c r="G19" s="227">
        <v>350000</v>
      </c>
      <c r="H19" s="227">
        <f t="shared" si="0"/>
        <v>0</v>
      </c>
      <c r="I19" s="227">
        <v>200000</v>
      </c>
      <c r="J19" s="227">
        <v>150000</v>
      </c>
      <c r="K19" s="227">
        <f t="shared" si="1"/>
        <v>0</v>
      </c>
      <c r="L19" s="227">
        <f t="shared" si="2"/>
        <v>150000</v>
      </c>
      <c r="M19" s="227">
        <v>50000</v>
      </c>
      <c r="N19" s="227">
        <f t="shared" si="3"/>
        <v>100000</v>
      </c>
      <c r="O19" s="227">
        <f t="shared" si="11"/>
        <v>100000</v>
      </c>
      <c r="P19" s="227"/>
      <c r="Q19" s="227"/>
      <c r="R19" s="227"/>
      <c r="S19" s="227"/>
      <c r="T19" s="227"/>
      <c r="U19" s="227"/>
      <c r="V19" s="227"/>
      <c r="W19" s="227"/>
      <c r="X19" s="227"/>
      <c r="Y19" s="227"/>
      <c r="Z19" s="227">
        <v>100000</v>
      </c>
      <c r="AA19" s="227"/>
      <c r="AB19" s="227"/>
      <c r="AC19" s="227">
        <f t="shared" si="5"/>
        <v>100000</v>
      </c>
      <c r="AD19" s="227"/>
      <c r="AE19" s="227">
        <f t="shared" si="6"/>
        <v>100000</v>
      </c>
      <c r="AF19" s="227">
        <f t="shared" si="7"/>
        <v>0</v>
      </c>
      <c r="AG19" s="227">
        <f t="shared" si="8"/>
        <v>100000</v>
      </c>
      <c r="AH19" s="227"/>
      <c r="AI19" s="227"/>
      <c r="AJ19" s="227">
        <f t="shared" si="9"/>
        <v>0</v>
      </c>
      <c r="AK19" s="227"/>
      <c r="AL19" s="227"/>
      <c r="AM19" s="227">
        <f t="shared" si="10"/>
        <v>0</v>
      </c>
      <c r="AN19" s="227"/>
      <c r="AO19" s="227"/>
      <c r="AP19" s="146"/>
    </row>
    <row r="20" spans="1:42" s="157" customFormat="1">
      <c r="A20" s="280" t="s">
        <v>872</v>
      </c>
      <c r="B20" s="293" t="s">
        <v>873</v>
      </c>
      <c r="C20" s="225">
        <f t="shared" si="4"/>
        <v>13</v>
      </c>
      <c r="D20" s="226">
        <v>1409</v>
      </c>
      <c r="E20" s="300" t="s">
        <v>877</v>
      </c>
      <c r="F20" s="227">
        <v>7300000</v>
      </c>
      <c r="G20" s="227">
        <v>4300000</v>
      </c>
      <c r="H20" s="227">
        <f t="shared" si="0"/>
        <v>3000000</v>
      </c>
      <c r="I20" s="227">
        <f>2954538+345462</f>
        <v>3300000</v>
      </c>
      <c r="J20" s="227">
        <v>3700000</v>
      </c>
      <c r="K20" s="227">
        <f t="shared" si="1"/>
        <v>300000</v>
      </c>
      <c r="L20" s="227">
        <f t="shared" si="2"/>
        <v>3700000</v>
      </c>
      <c r="M20" s="227">
        <v>700000</v>
      </c>
      <c r="N20" s="227">
        <f t="shared" si="3"/>
        <v>3000000</v>
      </c>
      <c r="O20" s="227">
        <f t="shared" si="11"/>
        <v>3000000</v>
      </c>
      <c r="P20" s="227"/>
      <c r="Q20" s="227"/>
      <c r="R20" s="227"/>
      <c r="S20" s="227"/>
      <c r="T20" s="227"/>
      <c r="U20" s="227"/>
      <c r="V20" s="227"/>
      <c r="W20" s="227"/>
      <c r="X20" s="227"/>
      <c r="Y20" s="227"/>
      <c r="Z20" s="227">
        <v>1000000</v>
      </c>
      <c r="AA20" s="227"/>
      <c r="AB20" s="227"/>
      <c r="AC20" s="227">
        <f t="shared" si="5"/>
        <v>1000000</v>
      </c>
      <c r="AD20" s="227"/>
      <c r="AE20" s="227">
        <f t="shared" si="6"/>
        <v>1000000</v>
      </c>
      <c r="AF20" s="227">
        <f t="shared" si="7"/>
        <v>2000000</v>
      </c>
      <c r="AG20" s="227">
        <f t="shared" si="8"/>
        <v>1000000</v>
      </c>
      <c r="AH20" s="227"/>
      <c r="AI20" s="227"/>
      <c r="AJ20" s="227">
        <f t="shared" si="9"/>
        <v>0</v>
      </c>
      <c r="AK20" s="227"/>
      <c r="AL20" s="227"/>
      <c r="AM20" s="227">
        <f t="shared" si="10"/>
        <v>2000000</v>
      </c>
      <c r="AN20" s="227"/>
      <c r="AO20" s="227"/>
      <c r="AP20" s="146"/>
    </row>
    <row r="21" spans="1:42" s="157" customFormat="1">
      <c r="A21" s="557"/>
      <c r="B21" s="301"/>
      <c r="C21" s="301">
        <f>COUNT(C8:C20)</f>
        <v>13</v>
      </c>
      <c r="D21" s="301"/>
      <c r="E21" s="299" t="s">
        <v>1413</v>
      </c>
      <c r="F21" s="230">
        <f t="shared" ref="F21:AO21" si="12">SUM(F8:F20)</f>
        <v>146513000</v>
      </c>
      <c r="G21" s="230">
        <f t="shared" si="12"/>
        <v>110643000</v>
      </c>
      <c r="H21" s="230">
        <f t="shared" si="12"/>
        <v>35870000</v>
      </c>
      <c r="I21" s="230">
        <f t="shared" si="12"/>
        <v>74882478</v>
      </c>
      <c r="J21" s="230">
        <f t="shared" si="12"/>
        <v>12193003</v>
      </c>
      <c r="K21" s="230">
        <f t="shared" si="12"/>
        <v>59437519</v>
      </c>
      <c r="L21" s="230">
        <f t="shared" si="12"/>
        <v>12193003</v>
      </c>
      <c r="M21" s="230">
        <f t="shared" si="12"/>
        <v>4120000</v>
      </c>
      <c r="N21" s="230">
        <f t="shared" si="12"/>
        <v>8073003</v>
      </c>
      <c r="O21" s="230">
        <f t="shared" si="12"/>
        <v>6262574</v>
      </c>
      <c r="P21" s="230">
        <f t="shared" si="12"/>
        <v>0</v>
      </c>
      <c r="Q21" s="230">
        <f t="shared" si="12"/>
        <v>1810429</v>
      </c>
      <c r="R21" s="230">
        <f t="shared" si="12"/>
        <v>1200000</v>
      </c>
      <c r="S21" s="230">
        <f t="shared" si="12"/>
        <v>0</v>
      </c>
      <c r="T21" s="230">
        <f t="shared" si="12"/>
        <v>0</v>
      </c>
      <c r="U21" s="230">
        <f t="shared" si="12"/>
        <v>0</v>
      </c>
      <c r="V21" s="230">
        <f t="shared" si="12"/>
        <v>0</v>
      </c>
      <c r="W21" s="230">
        <f t="shared" si="12"/>
        <v>0</v>
      </c>
      <c r="X21" s="230">
        <f t="shared" si="12"/>
        <v>1873003</v>
      </c>
      <c r="Y21" s="230">
        <f t="shared" si="12"/>
        <v>0</v>
      </c>
      <c r="Z21" s="230">
        <f t="shared" si="12"/>
        <v>2000000</v>
      </c>
      <c r="AA21" s="230">
        <f t="shared" si="12"/>
        <v>0</v>
      </c>
      <c r="AB21" s="230">
        <f t="shared" si="12"/>
        <v>0</v>
      </c>
      <c r="AC21" s="230">
        <f t="shared" si="12"/>
        <v>5073003</v>
      </c>
      <c r="AD21" s="230">
        <f t="shared" si="12"/>
        <v>0</v>
      </c>
      <c r="AE21" s="230">
        <f t="shared" si="12"/>
        <v>5073003</v>
      </c>
      <c r="AF21" s="230">
        <f t="shared" si="12"/>
        <v>3000000</v>
      </c>
      <c r="AG21" s="230">
        <f t="shared" si="12"/>
        <v>3262574</v>
      </c>
      <c r="AH21" s="230">
        <f t="shared" si="12"/>
        <v>0</v>
      </c>
      <c r="AI21" s="230">
        <f t="shared" si="12"/>
        <v>1810429</v>
      </c>
      <c r="AJ21" s="230">
        <f t="shared" si="12"/>
        <v>0</v>
      </c>
      <c r="AK21" s="230">
        <f t="shared" si="12"/>
        <v>0</v>
      </c>
      <c r="AL21" s="230">
        <f t="shared" si="12"/>
        <v>0</v>
      </c>
      <c r="AM21" s="230">
        <f t="shared" si="12"/>
        <v>3000000</v>
      </c>
      <c r="AN21" s="230">
        <f t="shared" si="12"/>
        <v>0</v>
      </c>
      <c r="AO21" s="230">
        <f t="shared" si="12"/>
        <v>0</v>
      </c>
      <c r="AP21" s="146"/>
    </row>
    <row r="22" spans="1:42" s="298" customFormat="1">
      <c r="A22" s="297"/>
      <c r="B22" s="297"/>
      <c r="C22" s="297"/>
      <c r="D22" s="280"/>
      <c r="E22" s="280"/>
      <c r="F22" s="295"/>
      <c r="G22" s="295"/>
      <c r="H22" s="295"/>
      <c r="I22" s="295"/>
      <c r="J22" s="295"/>
      <c r="K22" s="295"/>
      <c r="L22" s="295"/>
      <c r="M22" s="295"/>
      <c r="N22" s="295"/>
      <c r="O22" s="295"/>
      <c r="P22" s="295"/>
      <c r="Q22" s="295"/>
      <c r="R22" s="295"/>
      <c r="S22" s="295"/>
      <c r="T22" s="295"/>
      <c r="U22" s="295"/>
      <c r="V22" s="295"/>
      <c r="W22" s="295"/>
      <c r="X22" s="295"/>
      <c r="Y22" s="295"/>
      <c r="Z22" s="295"/>
      <c r="AA22" s="295"/>
      <c r="AB22" s="295"/>
      <c r="AC22" s="295"/>
      <c r="AD22" s="295"/>
      <c r="AE22" s="295"/>
      <c r="AF22" s="295"/>
      <c r="AG22" s="295"/>
      <c r="AH22" s="295"/>
      <c r="AI22" s="295"/>
      <c r="AJ22" s="295"/>
      <c r="AK22" s="295"/>
      <c r="AL22" s="295"/>
      <c r="AM22" s="295"/>
      <c r="AN22" s="295"/>
      <c r="AO22" s="295"/>
      <c r="AP22" s="146"/>
    </row>
    <row r="23" spans="1:42" s="157" customFormat="1">
      <c r="A23" s="281"/>
      <c r="B23" s="225"/>
      <c r="C23" s="225"/>
      <c r="D23" s="225"/>
      <c r="E23" s="299" t="s">
        <v>444</v>
      </c>
      <c r="F23" s="227"/>
      <c r="G23" s="227"/>
      <c r="H23" s="227"/>
      <c r="I23" s="227"/>
      <c r="J23" s="227"/>
      <c r="K23" s="227"/>
      <c r="L23" s="227"/>
      <c r="M23" s="227"/>
      <c r="N23" s="227"/>
      <c r="O23" s="227"/>
      <c r="P23" s="227"/>
      <c r="Q23" s="225"/>
      <c r="R23" s="225"/>
      <c r="S23" s="225"/>
      <c r="T23" s="225"/>
      <c r="U23" s="225"/>
      <c r="V23" s="225"/>
      <c r="W23" s="225"/>
      <c r="X23" s="225"/>
      <c r="Y23" s="225"/>
      <c r="Z23" s="225"/>
      <c r="AA23" s="225"/>
      <c r="AB23" s="225"/>
      <c r="AC23" s="225"/>
      <c r="AD23" s="225"/>
      <c r="AE23" s="225"/>
      <c r="AF23" s="225"/>
      <c r="AG23" s="225"/>
      <c r="AH23" s="225"/>
      <c r="AI23" s="225"/>
      <c r="AJ23" s="225"/>
      <c r="AK23" s="225"/>
      <c r="AL23" s="225"/>
      <c r="AM23" s="225"/>
      <c r="AN23" s="225"/>
      <c r="AO23" s="225"/>
      <c r="AP23" s="146"/>
    </row>
    <row r="24" spans="1:42" s="157" customFormat="1">
      <c r="A24" s="581" t="s">
        <v>864</v>
      </c>
      <c r="B24" s="293" t="s">
        <v>865</v>
      </c>
      <c r="C24" s="225">
        <v>1</v>
      </c>
      <c r="D24" s="225">
        <v>2058</v>
      </c>
      <c r="E24" s="300" t="s">
        <v>878</v>
      </c>
      <c r="F24" s="227">
        <v>2330000</v>
      </c>
      <c r="G24" s="227"/>
      <c r="H24" s="227">
        <f t="shared" ref="H24:H37" si="13">F24-G24</f>
        <v>2330000</v>
      </c>
      <c r="I24" s="227"/>
      <c r="J24" s="227">
        <v>2330000</v>
      </c>
      <c r="K24" s="227">
        <f t="shared" ref="K24:K37" si="14">F24-I24-J24</f>
        <v>0</v>
      </c>
      <c r="L24" s="227">
        <f t="shared" ref="L24:L37" si="15">J24</f>
        <v>2330000</v>
      </c>
      <c r="M24" s="227"/>
      <c r="N24" s="227">
        <f t="shared" ref="N24:N37" si="16">L24-M24</f>
        <v>2330000</v>
      </c>
      <c r="O24" s="227">
        <f t="shared" ref="O24:O37" si="17">N24-P24-Q24</f>
        <v>2330000</v>
      </c>
      <c r="P24" s="227"/>
      <c r="Q24" s="227"/>
      <c r="R24" s="227">
        <v>130000</v>
      </c>
      <c r="S24" s="227"/>
      <c r="T24" s="227"/>
      <c r="U24" s="227"/>
      <c r="V24" s="227">
        <v>500000</v>
      </c>
      <c r="W24" s="227"/>
      <c r="X24" s="227"/>
      <c r="Y24" s="227"/>
      <c r="Z24" s="227"/>
      <c r="AA24" s="227"/>
      <c r="AB24" s="227"/>
      <c r="AC24" s="227">
        <f t="shared" ref="AC24:AC43" si="18">SUM(R24:AB24)</f>
        <v>630000</v>
      </c>
      <c r="AD24" s="225"/>
      <c r="AE24" s="227">
        <f t="shared" ref="AE24:AE43" si="19">AC24+AD24</f>
        <v>630000</v>
      </c>
      <c r="AF24" s="227">
        <f t="shared" ref="AF24:AF43" si="20">N24-AE24</f>
        <v>1700000</v>
      </c>
      <c r="AG24" s="227">
        <f t="shared" ref="AG24:AG43" si="21">AE24-AH24-AI24</f>
        <v>630000</v>
      </c>
      <c r="AH24" s="227"/>
      <c r="AI24" s="225"/>
      <c r="AJ24" s="227">
        <f t="shared" ref="AJ24:AJ43" si="22">AD24-AK24-AL24</f>
        <v>0</v>
      </c>
      <c r="AK24" s="227"/>
      <c r="AL24" s="227"/>
      <c r="AM24" s="227">
        <f>AF24-AN24-AO24</f>
        <v>1700000</v>
      </c>
      <c r="AN24" s="227"/>
      <c r="AO24" s="227"/>
      <c r="AP24" s="146"/>
    </row>
    <row r="25" spans="1:42" s="157" customFormat="1">
      <c r="A25" s="280" t="s">
        <v>867</v>
      </c>
      <c r="B25" s="293" t="s">
        <v>868</v>
      </c>
      <c r="C25" s="225">
        <f>C24+1</f>
        <v>2</v>
      </c>
      <c r="D25" s="225">
        <v>2062</v>
      </c>
      <c r="E25" s="300" t="s">
        <v>720</v>
      </c>
      <c r="F25" s="227">
        <v>1200000</v>
      </c>
      <c r="G25" s="227"/>
      <c r="H25" s="227">
        <f t="shared" si="13"/>
        <v>1200000</v>
      </c>
      <c r="I25" s="227"/>
      <c r="J25" s="227">
        <v>1200000</v>
      </c>
      <c r="K25" s="227">
        <f t="shared" si="14"/>
        <v>0</v>
      </c>
      <c r="L25" s="227">
        <f t="shared" si="15"/>
        <v>1200000</v>
      </c>
      <c r="M25" s="227"/>
      <c r="N25" s="227">
        <f t="shared" si="16"/>
        <v>1200000</v>
      </c>
      <c r="O25" s="227">
        <f t="shared" si="17"/>
        <v>1200000</v>
      </c>
      <c r="P25" s="227"/>
      <c r="Q25" s="227"/>
      <c r="R25" s="227">
        <v>100000</v>
      </c>
      <c r="S25" s="227"/>
      <c r="T25" s="227">
        <v>1100000</v>
      </c>
      <c r="U25" s="227"/>
      <c r="V25" s="227"/>
      <c r="W25" s="227"/>
      <c r="X25" s="227"/>
      <c r="Y25" s="227"/>
      <c r="Z25" s="227"/>
      <c r="AA25" s="227"/>
      <c r="AB25" s="227"/>
      <c r="AC25" s="227">
        <f t="shared" si="18"/>
        <v>1200000</v>
      </c>
      <c r="AD25" s="227"/>
      <c r="AE25" s="227">
        <f t="shared" si="19"/>
        <v>1200000</v>
      </c>
      <c r="AF25" s="227">
        <f t="shared" si="20"/>
        <v>0</v>
      </c>
      <c r="AG25" s="227">
        <f t="shared" si="21"/>
        <v>1200000</v>
      </c>
      <c r="AH25" s="227"/>
      <c r="AI25" s="225"/>
      <c r="AJ25" s="227">
        <f t="shared" si="22"/>
        <v>0</v>
      </c>
      <c r="AK25" s="227"/>
      <c r="AL25" s="227"/>
      <c r="AM25" s="227">
        <f t="shared" ref="AM25:AM43" si="23">AF25-AN25-AO25</f>
        <v>0</v>
      </c>
      <c r="AN25" s="227"/>
      <c r="AO25" s="227"/>
      <c r="AP25" s="146"/>
    </row>
    <row r="26" spans="1:42" s="157" customFormat="1">
      <c r="A26" s="280" t="s">
        <v>879</v>
      </c>
      <c r="B26" s="293" t="s">
        <v>880</v>
      </c>
      <c r="C26" s="225">
        <f t="shared" ref="C26:C43" si="24">C25+1</f>
        <v>3</v>
      </c>
      <c r="D26" s="225">
        <v>1833</v>
      </c>
      <c r="E26" s="300" t="s">
        <v>1014</v>
      </c>
      <c r="F26" s="227">
        <v>24000000</v>
      </c>
      <c r="G26" s="227">
        <v>24000000</v>
      </c>
      <c r="H26" s="227">
        <f t="shared" si="13"/>
        <v>0</v>
      </c>
      <c r="I26" s="227">
        <f>499998+2</f>
        <v>500000</v>
      </c>
      <c r="J26" s="227">
        <v>14400000</v>
      </c>
      <c r="K26" s="227">
        <f t="shared" si="14"/>
        <v>9100000</v>
      </c>
      <c r="L26" s="227">
        <f t="shared" si="15"/>
        <v>14400000</v>
      </c>
      <c r="M26" s="227">
        <f>14400000-500000</f>
        <v>13900000</v>
      </c>
      <c r="N26" s="227">
        <f t="shared" si="16"/>
        <v>500000</v>
      </c>
      <c r="O26" s="227">
        <f t="shared" si="17"/>
        <v>500000</v>
      </c>
      <c r="P26" s="227"/>
      <c r="Q26" s="227">
        <f>-500000+500000</f>
        <v>0</v>
      </c>
      <c r="R26" s="227"/>
      <c r="S26" s="227"/>
      <c r="T26" s="227"/>
      <c r="U26" s="227"/>
      <c r="V26" s="227"/>
      <c r="W26" s="227"/>
      <c r="X26" s="227">
        <v>500000</v>
      </c>
      <c r="Y26" s="227"/>
      <c r="Z26" s="227"/>
      <c r="AA26" s="227"/>
      <c r="AB26" s="227"/>
      <c r="AC26" s="227">
        <f t="shared" si="18"/>
        <v>500000</v>
      </c>
      <c r="AD26" s="227"/>
      <c r="AE26" s="227">
        <f t="shared" si="19"/>
        <v>500000</v>
      </c>
      <c r="AF26" s="227">
        <f t="shared" si="20"/>
        <v>0</v>
      </c>
      <c r="AG26" s="227">
        <f t="shared" si="21"/>
        <v>500000</v>
      </c>
      <c r="AH26" s="227"/>
      <c r="AI26" s="225"/>
      <c r="AJ26" s="227">
        <f t="shared" si="22"/>
        <v>0</v>
      </c>
      <c r="AK26" s="227"/>
      <c r="AL26" s="227"/>
      <c r="AM26" s="227">
        <f t="shared" si="23"/>
        <v>0</v>
      </c>
      <c r="AN26" s="227"/>
      <c r="AO26" s="227"/>
      <c r="AP26" s="146"/>
    </row>
    <row r="27" spans="1:42" s="157" customFormat="1">
      <c r="A27" s="280" t="s">
        <v>879</v>
      </c>
      <c r="B27" s="293" t="s">
        <v>880</v>
      </c>
      <c r="C27" s="225">
        <f t="shared" si="24"/>
        <v>4</v>
      </c>
      <c r="D27" s="225">
        <v>2064</v>
      </c>
      <c r="E27" s="300" t="s">
        <v>522</v>
      </c>
      <c r="F27" s="227">
        <v>6417000</v>
      </c>
      <c r="G27" s="227"/>
      <c r="H27" s="227">
        <f t="shared" si="13"/>
        <v>6417000</v>
      </c>
      <c r="I27" s="227"/>
      <c r="J27" s="227">
        <v>1000000</v>
      </c>
      <c r="K27" s="227">
        <f t="shared" si="14"/>
        <v>5417000</v>
      </c>
      <c r="L27" s="227">
        <f t="shared" si="15"/>
        <v>1000000</v>
      </c>
      <c r="M27" s="227"/>
      <c r="N27" s="227">
        <f t="shared" si="16"/>
        <v>1000000</v>
      </c>
      <c r="O27" s="227">
        <f t="shared" si="17"/>
        <v>679000</v>
      </c>
      <c r="P27" s="227">
        <v>185000</v>
      </c>
      <c r="Q27" s="227">
        <v>136000</v>
      </c>
      <c r="R27" s="227"/>
      <c r="S27" s="227">
        <v>100000</v>
      </c>
      <c r="T27" s="227">
        <v>100000</v>
      </c>
      <c r="U27" s="227"/>
      <c r="V27" s="227"/>
      <c r="W27" s="227"/>
      <c r="X27" s="227"/>
      <c r="Y27" s="227"/>
      <c r="Z27" s="227"/>
      <c r="AA27" s="227"/>
      <c r="AB27" s="227"/>
      <c r="AC27" s="227">
        <f t="shared" si="18"/>
        <v>200000</v>
      </c>
      <c r="AD27" s="227">
        <v>800000</v>
      </c>
      <c r="AE27" s="227">
        <f t="shared" si="19"/>
        <v>1000000</v>
      </c>
      <c r="AF27" s="227">
        <f t="shared" si="20"/>
        <v>0</v>
      </c>
      <c r="AG27" s="227">
        <f t="shared" si="21"/>
        <v>679000</v>
      </c>
      <c r="AH27" s="227">
        <v>185000</v>
      </c>
      <c r="AI27" s="227">
        <v>136000</v>
      </c>
      <c r="AJ27" s="227">
        <f t="shared" si="22"/>
        <v>479000</v>
      </c>
      <c r="AK27" s="227">
        <v>185000</v>
      </c>
      <c r="AL27" s="227">
        <v>136000</v>
      </c>
      <c r="AM27" s="227">
        <f t="shared" si="23"/>
        <v>0</v>
      </c>
      <c r="AN27" s="227"/>
      <c r="AO27" s="227"/>
      <c r="AP27" s="146"/>
    </row>
    <row r="28" spans="1:42" s="157" customFormat="1">
      <c r="A28" s="280" t="s">
        <v>879</v>
      </c>
      <c r="B28" s="293" t="s">
        <v>880</v>
      </c>
      <c r="C28" s="226">
        <f t="shared" si="24"/>
        <v>5</v>
      </c>
      <c r="D28" s="226">
        <v>1403</v>
      </c>
      <c r="E28" s="300" t="s">
        <v>1015</v>
      </c>
      <c r="F28" s="227">
        <v>29750000</v>
      </c>
      <c r="G28" s="227">
        <v>29750000</v>
      </c>
      <c r="H28" s="227">
        <f t="shared" si="13"/>
        <v>0</v>
      </c>
      <c r="I28" s="227">
        <f>12248674+3301326</f>
        <v>15550000</v>
      </c>
      <c r="J28" s="227">
        <v>14200000</v>
      </c>
      <c r="K28" s="227">
        <f t="shared" si="14"/>
        <v>0</v>
      </c>
      <c r="L28" s="227">
        <f t="shared" si="15"/>
        <v>14200000</v>
      </c>
      <c r="M28" s="227">
        <v>14200000</v>
      </c>
      <c r="N28" s="227">
        <f t="shared" si="16"/>
        <v>0</v>
      </c>
      <c r="O28" s="227">
        <f t="shared" si="17"/>
        <v>0</v>
      </c>
      <c r="P28" s="227"/>
      <c r="Q28" s="227"/>
      <c r="R28" s="227"/>
      <c r="S28" s="227"/>
      <c r="T28" s="227"/>
      <c r="U28" s="227"/>
      <c r="V28" s="227"/>
      <c r="W28" s="227"/>
      <c r="X28" s="227"/>
      <c r="Y28" s="227"/>
      <c r="Z28" s="227"/>
      <c r="AA28" s="227"/>
      <c r="AB28" s="227"/>
      <c r="AC28" s="227">
        <f t="shared" si="18"/>
        <v>0</v>
      </c>
      <c r="AD28" s="227"/>
      <c r="AE28" s="227">
        <f t="shared" si="19"/>
        <v>0</v>
      </c>
      <c r="AF28" s="227">
        <f t="shared" si="20"/>
        <v>0</v>
      </c>
      <c r="AG28" s="227">
        <f t="shared" si="21"/>
        <v>0</v>
      </c>
      <c r="AH28" s="227"/>
      <c r="AI28" s="225"/>
      <c r="AJ28" s="227">
        <f t="shared" si="22"/>
        <v>0</v>
      </c>
      <c r="AK28" s="227"/>
      <c r="AL28" s="227"/>
      <c r="AM28" s="227">
        <f t="shared" si="23"/>
        <v>0</v>
      </c>
      <c r="AN28" s="227"/>
      <c r="AO28" s="227"/>
      <c r="AP28" s="146"/>
    </row>
    <row r="29" spans="1:42" s="157" customFormat="1">
      <c r="A29" s="280" t="s">
        <v>881</v>
      </c>
      <c r="B29" s="293" t="s">
        <v>871</v>
      </c>
      <c r="C29" s="226">
        <f t="shared" si="24"/>
        <v>6</v>
      </c>
      <c r="D29" s="226">
        <v>2067</v>
      </c>
      <c r="E29" s="300" t="s">
        <v>882</v>
      </c>
      <c r="F29" s="227">
        <v>800000</v>
      </c>
      <c r="G29" s="227"/>
      <c r="H29" s="227">
        <f t="shared" si="13"/>
        <v>800000</v>
      </c>
      <c r="I29" s="227"/>
      <c r="J29" s="227">
        <v>800000</v>
      </c>
      <c r="K29" s="227">
        <f t="shared" si="14"/>
        <v>0</v>
      </c>
      <c r="L29" s="227">
        <f t="shared" si="15"/>
        <v>800000</v>
      </c>
      <c r="M29" s="227"/>
      <c r="N29" s="227">
        <f t="shared" si="16"/>
        <v>800000</v>
      </c>
      <c r="O29" s="227">
        <f t="shared" si="17"/>
        <v>800000</v>
      </c>
      <c r="P29" s="227"/>
      <c r="Q29" s="227"/>
      <c r="R29" s="227"/>
      <c r="S29" s="227"/>
      <c r="T29" s="227">
        <v>800000</v>
      </c>
      <c r="U29" s="227"/>
      <c r="V29" s="227"/>
      <c r="W29" s="227"/>
      <c r="X29" s="227"/>
      <c r="Y29" s="227"/>
      <c r="Z29" s="227"/>
      <c r="AA29" s="227"/>
      <c r="AB29" s="227"/>
      <c r="AC29" s="227">
        <f t="shared" si="18"/>
        <v>800000</v>
      </c>
      <c r="AD29" s="227"/>
      <c r="AE29" s="227">
        <f t="shared" si="19"/>
        <v>800000</v>
      </c>
      <c r="AF29" s="227">
        <f t="shared" si="20"/>
        <v>0</v>
      </c>
      <c r="AG29" s="227">
        <f t="shared" si="21"/>
        <v>800000</v>
      </c>
      <c r="AH29" s="227"/>
      <c r="AI29" s="225"/>
      <c r="AJ29" s="227">
        <f t="shared" si="22"/>
        <v>0</v>
      </c>
      <c r="AK29" s="227"/>
      <c r="AL29" s="227"/>
      <c r="AM29" s="227">
        <f t="shared" si="23"/>
        <v>0</v>
      </c>
      <c r="AN29" s="227"/>
      <c r="AO29" s="227"/>
      <c r="AP29" s="146"/>
    </row>
    <row r="30" spans="1:42" s="157" customFormat="1" ht="31">
      <c r="A30" s="280" t="s">
        <v>870</v>
      </c>
      <c r="B30" s="293" t="s">
        <v>871</v>
      </c>
      <c r="C30" s="226">
        <f t="shared" si="24"/>
        <v>7</v>
      </c>
      <c r="D30" s="226">
        <v>382</v>
      </c>
      <c r="E30" s="300" t="s">
        <v>1016</v>
      </c>
      <c r="F30" s="227">
        <v>49581930</v>
      </c>
      <c r="G30" s="227">
        <v>49581930</v>
      </c>
      <c r="H30" s="227">
        <f t="shared" si="13"/>
        <v>0</v>
      </c>
      <c r="I30" s="227">
        <f>32264293+4617037</f>
        <v>36881330</v>
      </c>
      <c r="J30" s="227">
        <v>10000000</v>
      </c>
      <c r="K30" s="227">
        <f t="shared" si="14"/>
        <v>2700600</v>
      </c>
      <c r="L30" s="227">
        <f t="shared" si="15"/>
        <v>10000000</v>
      </c>
      <c r="M30" s="227">
        <v>10000000</v>
      </c>
      <c r="N30" s="227">
        <f t="shared" si="16"/>
        <v>0</v>
      </c>
      <c r="O30" s="227">
        <f t="shared" si="17"/>
        <v>-543353</v>
      </c>
      <c r="P30" s="227"/>
      <c r="Q30" s="227">
        <v>543353</v>
      </c>
      <c r="R30" s="227"/>
      <c r="S30" s="227"/>
      <c r="T30" s="304"/>
      <c r="U30" s="227"/>
      <c r="V30" s="227"/>
      <c r="W30" s="227"/>
      <c r="X30" s="227"/>
      <c r="Y30" s="227"/>
      <c r="Z30" s="227"/>
      <c r="AA30" s="227"/>
      <c r="AB30" s="227"/>
      <c r="AC30" s="227">
        <f t="shared" si="18"/>
        <v>0</v>
      </c>
      <c r="AD30" s="227"/>
      <c r="AE30" s="227">
        <f t="shared" si="19"/>
        <v>0</v>
      </c>
      <c r="AF30" s="227">
        <f t="shared" si="20"/>
        <v>0</v>
      </c>
      <c r="AG30" s="227">
        <f t="shared" si="21"/>
        <v>-543353</v>
      </c>
      <c r="AH30" s="227"/>
      <c r="AI30" s="227">
        <v>543353</v>
      </c>
      <c r="AJ30" s="227">
        <f t="shared" si="22"/>
        <v>0</v>
      </c>
      <c r="AK30" s="227"/>
      <c r="AL30" s="227"/>
      <c r="AM30" s="227">
        <f t="shared" si="23"/>
        <v>0</v>
      </c>
      <c r="AN30" s="227"/>
      <c r="AO30" s="227"/>
      <c r="AP30" s="146"/>
    </row>
    <row r="31" spans="1:42" s="157" customFormat="1">
      <c r="A31" s="280" t="s">
        <v>870</v>
      </c>
      <c r="B31" s="293" t="s">
        <v>871</v>
      </c>
      <c r="C31" s="225">
        <f t="shared" si="24"/>
        <v>8</v>
      </c>
      <c r="D31" s="225">
        <v>2016</v>
      </c>
      <c r="E31" s="300" t="s">
        <v>1017</v>
      </c>
      <c r="F31" s="227">
        <v>7340000</v>
      </c>
      <c r="G31" s="227">
        <v>7340000</v>
      </c>
      <c r="H31" s="227">
        <f t="shared" si="13"/>
        <v>0</v>
      </c>
      <c r="I31" s="227"/>
      <c r="J31" s="227">
        <v>7340000</v>
      </c>
      <c r="K31" s="227">
        <f t="shared" si="14"/>
        <v>0</v>
      </c>
      <c r="L31" s="227">
        <f t="shared" si="15"/>
        <v>7340000</v>
      </c>
      <c r="M31" s="227">
        <v>7340000</v>
      </c>
      <c r="N31" s="227">
        <f t="shared" si="16"/>
        <v>0</v>
      </c>
      <c r="O31" s="227">
        <f t="shared" si="17"/>
        <v>-2219133</v>
      </c>
      <c r="P31" s="227"/>
      <c r="Q31" s="227">
        <v>2219133</v>
      </c>
      <c r="R31" s="227"/>
      <c r="S31" s="227"/>
      <c r="T31" s="304"/>
      <c r="U31" s="227"/>
      <c r="V31" s="227"/>
      <c r="W31" s="227"/>
      <c r="X31" s="227"/>
      <c r="Y31" s="227"/>
      <c r="Z31" s="227"/>
      <c r="AA31" s="227"/>
      <c r="AB31" s="227"/>
      <c r="AC31" s="227">
        <f t="shared" si="18"/>
        <v>0</v>
      </c>
      <c r="AD31" s="227"/>
      <c r="AE31" s="227">
        <f t="shared" si="19"/>
        <v>0</v>
      </c>
      <c r="AF31" s="227">
        <f t="shared" si="20"/>
        <v>0</v>
      </c>
      <c r="AG31" s="227">
        <f t="shared" si="21"/>
        <v>-2219133</v>
      </c>
      <c r="AH31" s="227"/>
      <c r="AI31" s="227">
        <v>2219133</v>
      </c>
      <c r="AJ31" s="227">
        <f t="shared" si="22"/>
        <v>0</v>
      </c>
      <c r="AK31" s="227"/>
      <c r="AL31" s="227"/>
      <c r="AM31" s="227">
        <f t="shared" si="23"/>
        <v>0</v>
      </c>
      <c r="AN31" s="227"/>
      <c r="AO31" s="227"/>
      <c r="AP31" s="146"/>
    </row>
    <row r="32" spans="1:42" s="157" customFormat="1">
      <c r="A32" s="280" t="s">
        <v>870</v>
      </c>
      <c r="B32" s="293" t="s">
        <v>871</v>
      </c>
      <c r="C32" s="225">
        <f t="shared" si="24"/>
        <v>9</v>
      </c>
      <c r="D32" s="225">
        <v>1403</v>
      </c>
      <c r="E32" s="300" t="s">
        <v>1018</v>
      </c>
      <c r="F32" s="227">
        <v>31750000</v>
      </c>
      <c r="G32" s="227">
        <v>29750000</v>
      </c>
      <c r="H32" s="227">
        <f t="shared" si="13"/>
        <v>2000000</v>
      </c>
      <c r="I32" s="227">
        <v>15550000</v>
      </c>
      <c r="J32" s="227">
        <v>16200000</v>
      </c>
      <c r="K32" s="227">
        <f t="shared" si="14"/>
        <v>0</v>
      </c>
      <c r="L32" s="227">
        <f t="shared" si="15"/>
        <v>16200000</v>
      </c>
      <c r="M32" s="227">
        <v>14200000</v>
      </c>
      <c r="N32" s="227">
        <f t="shared" si="16"/>
        <v>2000000</v>
      </c>
      <c r="O32" s="227">
        <f t="shared" si="17"/>
        <v>2000000</v>
      </c>
      <c r="P32" s="227"/>
      <c r="Q32" s="227"/>
      <c r="R32" s="227"/>
      <c r="S32" s="227"/>
      <c r="T32" s="227"/>
      <c r="U32" s="227"/>
      <c r="V32" s="227"/>
      <c r="W32" s="227"/>
      <c r="X32" s="227"/>
      <c r="Y32" s="227"/>
      <c r="Z32" s="227"/>
      <c r="AA32" s="227"/>
      <c r="AB32" s="227"/>
      <c r="AC32" s="227">
        <f t="shared" si="18"/>
        <v>0</v>
      </c>
      <c r="AD32" s="227">
        <v>2000000</v>
      </c>
      <c r="AE32" s="227">
        <f t="shared" si="19"/>
        <v>2000000</v>
      </c>
      <c r="AF32" s="227">
        <f t="shared" si="20"/>
        <v>0</v>
      </c>
      <c r="AG32" s="227">
        <f t="shared" si="21"/>
        <v>2000000</v>
      </c>
      <c r="AH32" s="227"/>
      <c r="AI32" s="225"/>
      <c r="AJ32" s="227">
        <f t="shared" si="22"/>
        <v>2000000</v>
      </c>
      <c r="AK32" s="227"/>
      <c r="AL32" s="227"/>
      <c r="AM32" s="227">
        <f t="shared" si="23"/>
        <v>0</v>
      </c>
      <c r="AN32" s="227"/>
      <c r="AO32" s="227"/>
      <c r="AP32" s="146"/>
    </row>
    <row r="33" spans="1:42" s="157" customFormat="1">
      <c r="A33" s="280" t="s">
        <v>883</v>
      </c>
      <c r="B33" s="293" t="s">
        <v>884</v>
      </c>
      <c r="C33" s="225">
        <f t="shared" si="24"/>
        <v>10</v>
      </c>
      <c r="D33" s="225">
        <v>1765</v>
      </c>
      <c r="E33" s="300" t="s">
        <v>1019</v>
      </c>
      <c r="F33" s="227">
        <v>2800000</v>
      </c>
      <c r="G33" s="227">
        <v>2800000</v>
      </c>
      <c r="H33" s="227">
        <f t="shared" si="13"/>
        <v>0</v>
      </c>
      <c r="I33" s="227">
        <f>1900765+899235</f>
        <v>2800000</v>
      </c>
      <c r="J33" s="227"/>
      <c r="K33" s="227">
        <f t="shared" si="14"/>
        <v>0</v>
      </c>
      <c r="L33" s="227">
        <f t="shared" si="15"/>
        <v>0</v>
      </c>
      <c r="M33" s="227"/>
      <c r="N33" s="227">
        <f t="shared" si="16"/>
        <v>0</v>
      </c>
      <c r="O33" s="227">
        <f t="shared" si="17"/>
        <v>-692278</v>
      </c>
      <c r="P33" s="227"/>
      <c r="Q33" s="227">
        <v>692278</v>
      </c>
      <c r="R33" s="227"/>
      <c r="S33" s="227"/>
      <c r="T33" s="227"/>
      <c r="U33" s="227"/>
      <c r="V33" s="304"/>
      <c r="W33" s="227"/>
      <c r="X33" s="227"/>
      <c r="Y33" s="227"/>
      <c r="Z33" s="227"/>
      <c r="AA33" s="227"/>
      <c r="AB33" s="227"/>
      <c r="AC33" s="227">
        <f t="shared" si="18"/>
        <v>0</v>
      </c>
      <c r="AD33" s="227"/>
      <c r="AE33" s="227">
        <f t="shared" si="19"/>
        <v>0</v>
      </c>
      <c r="AF33" s="227">
        <f t="shared" si="20"/>
        <v>0</v>
      </c>
      <c r="AG33" s="227">
        <f t="shared" si="21"/>
        <v>-692278</v>
      </c>
      <c r="AH33" s="227"/>
      <c r="AI33" s="227">
        <v>692278</v>
      </c>
      <c r="AJ33" s="227">
        <f t="shared" si="22"/>
        <v>0</v>
      </c>
      <c r="AK33" s="227"/>
      <c r="AL33" s="227"/>
      <c r="AM33" s="227">
        <f t="shared" si="23"/>
        <v>0</v>
      </c>
      <c r="AN33" s="227"/>
      <c r="AO33" s="227"/>
      <c r="AP33" s="146"/>
    </row>
    <row r="34" spans="1:42" s="157" customFormat="1">
      <c r="A34" s="280" t="s">
        <v>883</v>
      </c>
      <c r="B34" s="293" t="s">
        <v>884</v>
      </c>
      <c r="C34" s="225">
        <f t="shared" si="24"/>
        <v>11</v>
      </c>
      <c r="D34" s="225">
        <v>1539</v>
      </c>
      <c r="E34" s="300" t="s">
        <v>1020</v>
      </c>
      <c r="F34" s="227">
        <v>16300000</v>
      </c>
      <c r="G34" s="227">
        <v>16300000</v>
      </c>
      <c r="H34" s="227">
        <f t="shared" si="13"/>
        <v>0</v>
      </c>
      <c r="I34" s="227">
        <f>3654413+7585655</f>
        <v>11240068</v>
      </c>
      <c r="J34" s="227">
        <v>5059932</v>
      </c>
      <c r="K34" s="227">
        <f t="shared" si="14"/>
        <v>0</v>
      </c>
      <c r="L34" s="227">
        <f t="shared" si="15"/>
        <v>5059932</v>
      </c>
      <c r="M34" s="227">
        <v>5059932</v>
      </c>
      <c r="N34" s="227">
        <f t="shared" si="16"/>
        <v>0</v>
      </c>
      <c r="O34" s="227">
        <f t="shared" si="17"/>
        <v>-141891</v>
      </c>
      <c r="P34" s="227"/>
      <c r="Q34" s="227">
        <v>141891</v>
      </c>
      <c r="R34" s="227"/>
      <c r="S34" s="227"/>
      <c r="T34" s="227"/>
      <c r="U34" s="227"/>
      <c r="V34" s="304"/>
      <c r="W34" s="227"/>
      <c r="X34" s="227"/>
      <c r="Y34" s="227"/>
      <c r="Z34" s="227"/>
      <c r="AA34" s="227"/>
      <c r="AB34" s="227"/>
      <c r="AC34" s="227">
        <f t="shared" si="18"/>
        <v>0</v>
      </c>
      <c r="AD34" s="227"/>
      <c r="AE34" s="227">
        <f t="shared" si="19"/>
        <v>0</v>
      </c>
      <c r="AF34" s="227">
        <f t="shared" si="20"/>
        <v>0</v>
      </c>
      <c r="AG34" s="227">
        <f t="shared" si="21"/>
        <v>-141891</v>
      </c>
      <c r="AH34" s="227"/>
      <c r="AI34" s="227">
        <v>141891</v>
      </c>
      <c r="AJ34" s="227">
        <f t="shared" si="22"/>
        <v>0</v>
      </c>
      <c r="AK34" s="227"/>
      <c r="AL34" s="227"/>
      <c r="AM34" s="227">
        <f t="shared" si="23"/>
        <v>0</v>
      </c>
      <c r="AN34" s="227"/>
      <c r="AO34" s="227"/>
      <c r="AP34" s="146"/>
    </row>
    <row r="35" spans="1:42" s="157" customFormat="1">
      <c r="A35" s="280" t="s">
        <v>883</v>
      </c>
      <c r="B35" s="293" t="s">
        <v>884</v>
      </c>
      <c r="C35" s="225">
        <f t="shared" si="24"/>
        <v>12</v>
      </c>
      <c r="D35" s="225">
        <v>2073</v>
      </c>
      <c r="E35" s="300" t="s">
        <v>885</v>
      </c>
      <c r="F35" s="227">
        <v>350000</v>
      </c>
      <c r="G35" s="227"/>
      <c r="H35" s="227">
        <f t="shared" si="13"/>
        <v>350000</v>
      </c>
      <c r="I35" s="227"/>
      <c r="J35" s="227">
        <v>350000</v>
      </c>
      <c r="K35" s="227">
        <f t="shared" si="14"/>
        <v>0</v>
      </c>
      <c r="L35" s="227">
        <f t="shared" si="15"/>
        <v>350000</v>
      </c>
      <c r="M35" s="227"/>
      <c r="N35" s="227">
        <f t="shared" si="16"/>
        <v>350000</v>
      </c>
      <c r="O35" s="227">
        <f t="shared" si="17"/>
        <v>350000</v>
      </c>
      <c r="P35" s="227"/>
      <c r="Q35" s="227"/>
      <c r="R35" s="227"/>
      <c r="S35" s="227"/>
      <c r="T35" s="227"/>
      <c r="U35" s="227"/>
      <c r="V35" s="227">
        <v>350000</v>
      </c>
      <c r="W35" s="227"/>
      <c r="X35" s="227"/>
      <c r="Y35" s="227"/>
      <c r="Z35" s="227"/>
      <c r="AA35" s="227"/>
      <c r="AB35" s="227"/>
      <c r="AC35" s="227">
        <f t="shared" si="18"/>
        <v>350000</v>
      </c>
      <c r="AD35" s="227"/>
      <c r="AE35" s="227">
        <f t="shared" si="19"/>
        <v>350000</v>
      </c>
      <c r="AF35" s="227">
        <f t="shared" si="20"/>
        <v>0</v>
      </c>
      <c r="AG35" s="227">
        <f t="shared" si="21"/>
        <v>350000</v>
      </c>
      <c r="AH35" s="227"/>
      <c r="AI35" s="225"/>
      <c r="AJ35" s="227">
        <f t="shared" si="22"/>
        <v>0</v>
      </c>
      <c r="AK35" s="227"/>
      <c r="AL35" s="227"/>
      <c r="AM35" s="227">
        <f t="shared" si="23"/>
        <v>0</v>
      </c>
      <c r="AN35" s="227"/>
      <c r="AO35" s="227"/>
      <c r="AP35" s="146"/>
    </row>
    <row r="36" spans="1:42" s="157" customFormat="1">
      <c r="A36" s="280" t="s">
        <v>883</v>
      </c>
      <c r="B36" s="293" t="s">
        <v>884</v>
      </c>
      <c r="C36" s="225">
        <f t="shared" si="24"/>
        <v>13</v>
      </c>
      <c r="D36" s="225">
        <v>1588</v>
      </c>
      <c r="E36" s="300" t="s">
        <v>886</v>
      </c>
      <c r="F36" s="227">
        <v>50500000</v>
      </c>
      <c r="G36" s="227">
        <v>50500000</v>
      </c>
      <c r="H36" s="227">
        <f t="shared" si="13"/>
        <v>0</v>
      </c>
      <c r="I36" s="227">
        <f>2370498+5629502</f>
        <v>8000000</v>
      </c>
      <c r="J36" s="227">
        <f>5000000+11500000</f>
        <v>16500000</v>
      </c>
      <c r="K36" s="227">
        <f t="shared" si="14"/>
        <v>26000000</v>
      </c>
      <c r="L36" s="227">
        <f t="shared" si="15"/>
        <v>16500000</v>
      </c>
      <c r="M36" s="227">
        <v>5000000</v>
      </c>
      <c r="N36" s="227">
        <f t="shared" si="16"/>
        <v>11500000</v>
      </c>
      <c r="O36" s="227">
        <f t="shared" si="17"/>
        <v>11500000</v>
      </c>
      <c r="P36" s="227"/>
      <c r="Q36" s="227"/>
      <c r="R36" s="227"/>
      <c r="S36" s="227"/>
      <c r="T36" s="227"/>
      <c r="U36" s="227"/>
      <c r="V36" s="227">
        <v>2500000</v>
      </c>
      <c r="W36" s="227"/>
      <c r="X36" s="227">
        <v>3500000</v>
      </c>
      <c r="Y36" s="227"/>
      <c r="Z36" s="227">
        <v>1500000</v>
      </c>
      <c r="AA36" s="227"/>
      <c r="AB36" s="227">
        <v>1500000</v>
      </c>
      <c r="AC36" s="227">
        <f t="shared" si="18"/>
        <v>9000000</v>
      </c>
      <c r="AD36" s="227">
        <f>N36-AC36</f>
        <v>2500000</v>
      </c>
      <c r="AE36" s="227">
        <f t="shared" si="19"/>
        <v>11500000</v>
      </c>
      <c r="AF36" s="227">
        <f t="shared" si="20"/>
        <v>0</v>
      </c>
      <c r="AG36" s="227">
        <f t="shared" si="21"/>
        <v>11500000</v>
      </c>
      <c r="AH36" s="227"/>
      <c r="AI36" s="225"/>
      <c r="AJ36" s="227">
        <f t="shared" si="22"/>
        <v>2500000</v>
      </c>
      <c r="AK36" s="227"/>
      <c r="AL36" s="227"/>
      <c r="AM36" s="227">
        <f t="shared" si="23"/>
        <v>0</v>
      </c>
      <c r="AN36" s="227"/>
      <c r="AO36" s="227"/>
      <c r="AP36" s="146"/>
    </row>
    <row r="37" spans="1:42" s="157" customFormat="1">
      <c r="A37" s="280" t="s">
        <v>887</v>
      </c>
      <c r="B37" s="293" t="s">
        <v>888</v>
      </c>
      <c r="C37" s="225">
        <f t="shared" si="24"/>
        <v>14</v>
      </c>
      <c r="D37" s="281">
        <v>1921</v>
      </c>
      <c r="E37" s="280" t="s">
        <v>889</v>
      </c>
      <c r="F37" s="227">
        <v>9320000</v>
      </c>
      <c r="G37" s="227">
        <v>6820000</v>
      </c>
      <c r="H37" s="227">
        <f t="shared" si="13"/>
        <v>2500000</v>
      </c>
      <c r="I37" s="227">
        <f>850247+3649753</f>
        <v>4500000</v>
      </c>
      <c r="J37" s="227">
        <v>2320000</v>
      </c>
      <c r="K37" s="227">
        <f t="shared" si="14"/>
        <v>2500000</v>
      </c>
      <c r="L37" s="227">
        <f t="shared" si="15"/>
        <v>2320000</v>
      </c>
      <c r="M37" s="227">
        <v>2320000</v>
      </c>
      <c r="N37" s="227">
        <f t="shared" si="16"/>
        <v>0</v>
      </c>
      <c r="O37" s="227">
        <f t="shared" si="17"/>
        <v>0</v>
      </c>
      <c r="P37" s="227"/>
      <c r="Q37" s="227"/>
      <c r="R37" s="227"/>
      <c r="S37" s="227"/>
      <c r="T37" s="227"/>
      <c r="U37" s="227"/>
      <c r="V37" s="227"/>
      <c r="W37" s="227"/>
      <c r="X37" s="227"/>
      <c r="Y37" s="227"/>
      <c r="Z37" s="227"/>
      <c r="AA37" s="227"/>
      <c r="AB37" s="227"/>
      <c r="AC37" s="227">
        <f t="shared" si="18"/>
        <v>0</v>
      </c>
      <c r="AD37" s="227"/>
      <c r="AE37" s="227">
        <f t="shared" si="19"/>
        <v>0</v>
      </c>
      <c r="AF37" s="227">
        <f t="shared" si="20"/>
        <v>0</v>
      </c>
      <c r="AG37" s="227">
        <f t="shared" si="21"/>
        <v>0</v>
      </c>
      <c r="AH37" s="227"/>
      <c r="AI37" s="225"/>
      <c r="AJ37" s="227">
        <f t="shared" si="22"/>
        <v>0</v>
      </c>
      <c r="AK37" s="227"/>
      <c r="AL37" s="227"/>
      <c r="AM37" s="227">
        <f t="shared" si="23"/>
        <v>0</v>
      </c>
      <c r="AN37" s="227"/>
      <c r="AO37" s="227"/>
      <c r="AP37" s="146"/>
    </row>
    <row r="38" spans="1:42" s="157" customFormat="1">
      <c r="A38" s="280" t="s">
        <v>890</v>
      </c>
      <c r="B38" s="293" t="s">
        <v>888</v>
      </c>
      <c r="C38" s="225">
        <f t="shared" si="24"/>
        <v>15</v>
      </c>
      <c r="D38" s="225">
        <v>2076</v>
      </c>
      <c r="E38" s="300" t="s">
        <v>891</v>
      </c>
      <c r="F38" s="227">
        <v>1450000</v>
      </c>
      <c r="G38" s="227"/>
      <c r="H38" s="227">
        <f t="shared" ref="H38:H43" si="25">F38-G38</f>
        <v>1450000</v>
      </c>
      <c r="I38" s="227"/>
      <c r="J38" s="227">
        <v>250000</v>
      </c>
      <c r="K38" s="227">
        <f t="shared" ref="K38:K43" si="26">F38-I38-J38</f>
        <v>1200000</v>
      </c>
      <c r="L38" s="227">
        <f t="shared" ref="L38:L43" si="27">J38</f>
        <v>250000</v>
      </c>
      <c r="M38" s="227"/>
      <c r="N38" s="227">
        <f t="shared" ref="N38:N43" si="28">L38-M38</f>
        <v>250000</v>
      </c>
      <c r="O38" s="227">
        <f t="shared" ref="O38:O43" si="29">N38-P38-Q38</f>
        <v>250000</v>
      </c>
      <c r="P38" s="227"/>
      <c r="Q38" s="227"/>
      <c r="R38" s="227"/>
      <c r="S38" s="227"/>
      <c r="T38" s="227"/>
      <c r="U38" s="227"/>
      <c r="V38" s="227"/>
      <c r="W38" s="227"/>
      <c r="X38" s="227">
        <v>250000</v>
      </c>
      <c r="Y38" s="227"/>
      <c r="Z38" s="227"/>
      <c r="AA38" s="227"/>
      <c r="AB38" s="227"/>
      <c r="AC38" s="227">
        <f t="shared" si="18"/>
        <v>250000</v>
      </c>
      <c r="AD38" s="227"/>
      <c r="AE38" s="227">
        <f t="shared" si="19"/>
        <v>250000</v>
      </c>
      <c r="AF38" s="227">
        <f t="shared" si="20"/>
        <v>0</v>
      </c>
      <c r="AG38" s="227">
        <f t="shared" si="21"/>
        <v>250000</v>
      </c>
      <c r="AH38" s="227"/>
      <c r="AI38" s="225"/>
      <c r="AJ38" s="227">
        <f t="shared" si="22"/>
        <v>0</v>
      </c>
      <c r="AK38" s="227"/>
      <c r="AL38" s="227"/>
      <c r="AM38" s="227">
        <f t="shared" si="23"/>
        <v>0</v>
      </c>
      <c r="AN38" s="227"/>
      <c r="AO38" s="227"/>
      <c r="AP38" s="146"/>
    </row>
    <row r="39" spans="1:42" s="157" customFormat="1">
      <c r="A39" s="280" t="s">
        <v>872</v>
      </c>
      <c r="B39" s="293" t="s">
        <v>873</v>
      </c>
      <c r="C39" s="225">
        <f t="shared" si="24"/>
        <v>16</v>
      </c>
      <c r="D39" s="225">
        <v>2002</v>
      </c>
      <c r="E39" s="300" t="s">
        <v>381</v>
      </c>
      <c r="F39" s="227">
        <v>1500000</v>
      </c>
      <c r="G39" s="227">
        <v>865000</v>
      </c>
      <c r="H39" s="227">
        <f t="shared" si="25"/>
        <v>635000</v>
      </c>
      <c r="I39" s="227">
        <v>865000</v>
      </c>
      <c r="J39" s="227">
        <v>635000</v>
      </c>
      <c r="K39" s="227">
        <f t="shared" si="26"/>
        <v>0</v>
      </c>
      <c r="L39" s="227">
        <f t="shared" si="27"/>
        <v>635000</v>
      </c>
      <c r="M39" s="227"/>
      <c r="N39" s="227">
        <f t="shared" si="28"/>
        <v>635000</v>
      </c>
      <c r="O39" s="227">
        <f t="shared" si="29"/>
        <v>635000</v>
      </c>
      <c r="P39" s="227"/>
      <c r="Q39" s="227"/>
      <c r="R39" s="227"/>
      <c r="S39" s="227"/>
      <c r="T39" s="227"/>
      <c r="U39" s="227"/>
      <c r="V39" s="227"/>
      <c r="W39" s="227"/>
      <c r="X39" s="227"/>
      <c r="Y39" s="227"/>
      <c r="Z39" s="227"/>
      <c r="AA39" s="227"/>
      <c r="AB39" s="227"/>
      <c r="AC39" s="227">
        <f t="shared" si="18"/>
        <v>0</v>
      </c>
      <c r="AD39" s="227"/>
      <c r="AE39" s="227">
        <f t="shared" si="19"/>
        <v>0</v>
      </c>
      <c r="AF39" s="227">
        <f t="shared" si="20"/>
        <v>635000</v>
      </c>
      <c r="AG39" s="227">
        <f t="shared" si="21"/>
        <v>0</v>
      </c>
      <c r="AH39" s="227"/>
      <c r="AI39" s="225"/>
      <c r="AJ39" s="227">
        <f t="shared" si="22"/>
        <v>0</v>
      </c>
      <c r="AK39" s="227"/>
      <c r="AL39" s="227"/>
      <c r="AM39" s="227">
        <f t="shared" si="23"/>
        <v>635000</v>
      </c>
      <c r="AN39" s="227"/>
      <c r="AO39" s="227"/>
      <c r="AP39" s="146"/>
    </row>
    <row r="40" spans="1:42" s="157" customFormat="1" ht="31">
      <c r="A40" s="280" t="s">
        <v>872</v>
      </c>
      <c r="B40" s="293" t="s">
        <v>873</v>
      </c>
      <c r="C40" s="226">
        <f t="shared" si="24"/>
        <v>17</v>
      </c>
      <c r="D40" s="226">
        <v>1825</v>
      </c>
      <c r="E40" s="300" t="s">
        <v>1021</v>
      </c>
      <c r="F40" s="227">
        <v>36000000</v>
      </c>
      <c r="G40" s="227">
        <v>36000000</v>
      </c>
      <c r="H40" s="227">
        <f t="shared" si="25"/>
        <v>0</v>
      </c>
      <c r="I40" s="227">
        <f>1369177+13329993</f>
        <v>14699170</v>
      </c>
      <c r="J40" s="227">
        <v>21300830</v>
      </c>
      <c r="K40" s="227">
        <f t="shared" si="26"/>
        <v>0</v>
      </c>
      <c r="L40" s="227">
        <f t="shared" si="27"/>
        <v>21300830</v>
      </c>
      <c r="M40" s="227">
        <f>21300830-7982160</f>
        <v>13318670</v>
      </c>
      <c r="N40" s="227">
        <f t="shared" si="28"/>
        <v>7982160</v>
      </c>
      <c r="O40" s="227">
        <f t="shared" si="29"/>
        <v>7982160</v>
      </c>
      <c r="P40" s="227"/>
      <c r="Q40" s="227">
        <f>-7982160+7982160</f>
        <v>0</v>
      </c>
      <c r="R40" s="227"/>
      <c r="S40" s="227"/>
      <c r="T40" s="227"/>
      <c r="U40" s="227"/>
      <c r="V40" s="227"/>
      <c r="W40" s="227"/>
      <c r="X40" s="227"/>
      <c r="Y40" s="227"/>
      <c r="Z40" s="304">
        <f>7982160</f>
        <v>7982160</v>
      </c>
      <c r="AA40" s="227"/>
      <c r="AB40" s="227"/>
      <c r="AC40" s="227">
        <f t="shared" si="18"/>
        <v>7982160</v>
      </c>
      <c r="AD40" s="227"/>
      <c r="AE40" s="227">
        <f t="shared" si="19"/>
        <v>7982160</v>
      </c>
      <c r="AF40" s="227">
        <f t="shared" si="20"/>
        <v>0</v>
      </c>
      <c r="AG40" s="227">
        <f t="shared" si="21"/>
        <v>7982160</v>
      </c>
      <c r="AH40" s="227"/>
      <c r="AI40" s="225"/>
      <c r="AJ40" s="227">
        <f t="shared" si="22"/>
        <v>0</v>
      </c>
      <c r="AK40" s="227"/>
      <c r="AL40" s="227"/>
      <c r="AM40" s="227">
        <f t="shared" si="23"/>
        <v>0</v>
      </c>
      <c r="AN40" s="227"/>
      <c r="AO40" s="227"/>
      <c r="AP40" s="146"/>
    </row>
    <row r="41" spans="1:42" s="157" customFormat="1">
      <c r="A41" s="280" t="s">
        <v>872</v>
      </c>
      <c r="B41" s="293" t="s">
        <v>873</v>
      </c>
      <c r="C41" s="225">
        <f t="shared" si="24"/>
        <v>18</v>
      </c>
      <c r="D41" s="225">
        <v>2079</v>
      </c>
      <c r="E41" s="300" t="s">
        <v>892</v>
      </c>
      <c r="F41" s="227">
        <v>500000</v>
      </c>
      <c r="G41" s="227"/>
      <c r="H41" s="227">
        <f t="shared" si="25"/>
        <v>500000</v>
      </c>
      <c r="I41" s="227"/>
      <c r="J41" s="227">
        <v>500000</v>
      </c>
      <c r="K41" s="227">
        <f t="shared" si="26"/>
        <v>0</v>
      </c>
      <c r="L41" s="227">
        <f t="shared" si="27"/>
        <v>500000</v>
      </c>
      <c r="M41" s="227"/>
      <c r="N41" s="227">
        <f t="shared" si="28"/>
        <v>500000</v>
      </c>
      <c r="O41" s="227">
        <f t="shared" si="29"/>
        <v>500000</v>
      </c>
      <c r="P41" s="227"/>
      <c r="Q41" s="227"/>
      <c r="R41" s="227"/>
      <c r="S41" s="227"/>
      <c r="T41" s="227"/>
      <c r="U41" s="227"/>
      <c r="V41" s="227"/>
      <c r="W41" s="227"/>
      <c r="X41" s="227"/>
      <c r="Y41" s="227"/>
      <c r="Z41" s="227">
        <v>500000</v>
      </c>
      <c r="AA41" s="227"/>
      <c r="AB41" s="227"/>
      <c r="AC41" s="227">
        <f t="shared" si="18"/>
        <v>500000</v>
      </c>
      <c r="AD41" s="227"/>
      <c r="AE41" s="227">
        <f t="shared" si="19"/>
        <v>500000</v>
      </c>
      <c r="AF41" s="227">
        <f t="shared" si="20"/>
        <v>0</v>
      </c>
      <c r="AG41" s="227">
        <f t="shared" si="21"/>
        <v>500000</v>
      </c>
      <c r="AH41" s="227"/>
      <c r="AI41" s="225"/>
      <c r="AJ41" s="227">
        <f t="shared" si="22"/>
        <v>0</v>
      </c>
      <c r="AK41" s="227"/>
      <c r="AL41" s="227"/>
      <c r="AM41" s="227">
        <f t="shared" si="23"/>
        <v>0</v>
      </c>
      <c r="AN41" s="227"/>
      <c r="AO41" s="227"/>
      <c r="AP41" s="146"/>
    </row>
    <row r="42" spans="1:42" s="157" customFormat="1">
      <c r="A42" s="280" t="s">
        <v>872</v>
      </c>
      <c r="B42" s="293" t="s">
        <v>873</v>
      </c>
      <c r="C42" s="225">
        <f t="shared" si="24"/>
        <v>19</v>
      </c>
      <c r="D42" s="225">
        <v>1825</v>
      </c>
      <c r="E42" s="300" t="s">
        <v>1022</v>
      </c>
      <c r="F42" s="227">
        <v>36500000</v>
      </c>
      <c r="G42" s="227">
        <v>36000000</v>
      </c>
      <c r="H42" s="227">
        <f t="shared" si="25"/>
        <v>500000</v>
      </c>
      <c r="I42" s="227">
        <f>1369177+13329993</f>
        <v>14699170</v>
      </c>
      <c r="J42" s="227">
        <v>21800830</v>
      </c>
      <c r="K42" s="227">
        <f t="shared" si="26"/>
        <v>0</v>
      </c>
      <c r="L42" s="227">
        <f t="shared" si="27"/>
        <v>21800830</v>
      </c>
      <c r="M42" s="227">
        <v>21300830</v>
      </c>
      <c r="N42" s="227">
        <f t="shared" si="28"/>
        <v>500000</v>
      </c>
      <c r="O42" s="227">
        <f t="shared" si="29"/>
        <v>500000</v>
      </c>
      <c r="P42" s="227"/>
      <c r="Q42" s="227"/>
      <c r="R42" s="227"/>
      <c r="S42" s="227"/>
      <c r="T42" s="227"/>
      <c r="U42" s="227"/>
      <c r="V42" s="227"/>
      <c r="W42" s="227"/>
      <c r="X42" s="227"/>
      <c r="Y42" s="227"/>
      <c r="Z42" s="227">
        <v>500000</v>
      </c>
      <c r="AA42" s="227"/>
      <c r="AB42" s="227"/>
      <c r="AC42" s="227">
        <f t="shared" si="18"/>
        <v>500000</v>
      </c>
      <c r="AD42" s="227"/>
      <c r="AE42" s="227">
        <f t="shared" si="19"/>
        <v>500000</v>
      </c>
      <c r="AF42" s="227">
        <f t="shared" si="20"/>
        <v>0</v>
      </c>
      <c r="AG42" s="227">
        <f t="shared" si="21"/>
        <v>500000</v>
      </c>
      <c r="AH42" s="227"/>
      <c r="AI42" s="225"/>
      <c r="AJ42" s="227">
        <f t="shared" si="22"/>
        <v>0</v>
      </c>
      <c r="AK42" s="227"/>
      <c r="AL42" s="227"/>
      <c r="AM42" s="227">
        <f t="shared" si="23"/>
        <v>0</v>
      </c>
      <c r="AN42" s="227"/>
      <c r="AO42" s="227"/>
      <c r="AP42" s="146"/>
    </row>
    <row r="43" spans="1:42" s="157" customFormat="1">
      <c r="A43" s="280" t="s">
        <v>872</v>
      </c>
      <c r="B43" s="293" t="s">
        <v>873</v>
      </c>
      <c r="C43" s="225">
        <f t="shared" si="24"/>
        <v>20</v>
      </c>
      <c r="D43" s="225">
        <v>2080</v>
      </c>
      <c r="E43" s="300" t="s">
        <v>893</v>
      </c>
      <c r="F43" s="227">
        <v>2050000</v>
      </c>
      <c r="G43" s="227"/>
      <c r="H43" s="227">
        <f t="shared" si="25"/>
        <v>2050000</v>
      </c>
      <c r="I43" s="227"/>
      <c r="J43" s="227">
        <v>500000</v>
      </c>
      <c r="K43" s="227">
        <f t="shared" si="26"/>
        <v>1550000</v>
      </c>
      <c r="L43" s="227">
        <f t="shared" si="27"/>
        <v>500000</v>
      </c>
      <c r="M43" s="227"/>
      <c r="N43" s="227">
        <f t="shared" si="28"/>
        <v>500000</v>
      </c>
      <c r="O43" s="227">
        <f t="shared" si="29"/>
        <v>500000</v>
      </c>
      <c r="P43" s="227"/>
      <c r="Q43" s="227"/>
      <c r="R43" s="227"/>
      <c r="S43" s="227"/>
      <c r="T43" s="227"/>
      <c r="U43" s="227"/>
      <c r="V43" s="227"/>
      <c r="W43" s="227"/>
      <c r="X43" s="227"/>
      <c r="Y43" s="227"/>
      <c r="Z43" s="227">
        <v>500000</v>
      </c>
      <c r="AA43" s="227"/>
      <c r="AB43" s="227"/>
      <c r="AC43" s="227">
        <f t="shared" si="18"/>
        <v>500000</v>
      </c>
      <c r="AD43" s="227"/>
      <c r="AE43" s="227">
        <f t="shared" si="19"/>
        <v>500000</v>
      </c>
      <c r="AF43" s="227">
        <f t="shared" si="20"/>
        <v>0</v>
      </c>
      <c r="AG43" s="227">
        <f t="shared" si="21"/>
        <v>500000</v>
      </c>
      <c r="AH43" s="227"/>
      <c r="AI43" s="225"/>
      <c r="AJ43" s="227">
        <f t="shared" si="22"/>
        <v>0</v>
      </c>
      <c r="AK43" s="227"/>
      <c r="AL43" s="227"/>
      <c r="AM43" s="227">
        <f t="shared" si="23"/>
        <v>0</v>
      </c>
      <c r="AN43" s="227"/>
      <c r="AO43" s="227"/>
      <c r="AP43" s="146"/>
    </row>
    <row r="44" spans="1:42" s="157" customFormat="1">
      <c r="A44" s="557"/>
      <c r="B44" s="301"/>
      <c r="C44" s="301">
        <f>COUNT(C24:C43)</f>
        <v>20</v>
      </c>
      <c r="D44" s="301"/>
      <c r="E44" s="299" t="s">
        <v>137</v>
      </c>
      <c r="F44" s="230">
        <f t="shared" ref="F44:AO44" si="30">SUM(F24:F43)</f>
        <v>310438930</v>
      </c>
      <c r="G44" s="230">
        <f t="shared" si="30"/>
        <v>289706930</v>
      </c>
      <c r="H44" s="230">
        <f t="shared" si="30"/>
        <v>20732000</v>
      </c>
      <c r="I44" s="230">
        <f t="shared" si="30"/>
        <v>125284738</v>
      </c>
      <c r="J44" s="230">
        <f t="shared" si="30"/>
        <v>136686592</v>
      </c>
      <c r="K44" s="230">
        <f t="shared" si="30"/>
        <v>48467600</v>
      </c>
      <c r="L44" s="230">
        <f t="shared" si="30"/>
        <v>136686592</v>
      </c>
      <c r="M44" s="230">
        <f t="shared" si="30"/>
        <v>106639432</v>
      </c>
      <c r="N44" s="230">
        <f t="shared" si="30"/>
        <v>30047160</v>
      </c>
      <c r="O44" s="230">
        <f t="shared" si="30"/>
        <v>26129505</v>
      </c>
      <c r="P44" s="230">
        <f t="shared" si="30"/>
        <v>185000</v>
      </c>
      <c r="Q44" s="230">
        <f t="shared" si="30"/>
        <v>3732655</v>
      </c>
      <c r="R44" s="230">
        <f t="shared" si="30"/>
        <v>230000</v>
      </c>
      <c r="S44" s="230">
        <f t="shared" si="30"/>
        <v>100000</v>
      </c>
      <c r="T44" s="230">
        <f t="shared" si="30"/>
        <v>2000000</v>
      </c>
      <c r="U44" s="230">
        <f t="shared" si="30"/>
        <v>0</v>
      </c>
      <c r="V44" s="230">
        <f t="shared" si="30"/>
        <v>3350000</v>
      </c>
      <c r="W44" s="230">
        <f t="shared" si="30"/>
        <v>0</v>
      </c>
      <c r="X44" s="230">
        <f t="shared" si="30"/>
        <v>4250000</v>
      </c>
      <c r="Y44" s="230">
        <f t="shared" si="30"/>
        <v>0</v>
      </c>
      <c r="Z44" s="230">
        <f t="shared" si="30"/>
        <v>10982160</v>
      </c>
      <c r="AA44" s="230">
        <f t="shared" si="30"/>
        <v>0</v>
      </c>
      <c r="AB44" s="230">
        <f t="shared" si="30"/>
        <v>1500000</v>
      </c>
      <c r="AC44" s="230">
        <f t="shared" si="30"/>
        <v>22412160</v>
      </c>
      <c r="AD44" s="230">
        <f t="shared" si="30"/>
        <v>5300000</v>
      </c>
      <c r="AE44" s="230">
        <f t="shared" si="30"/>
        <v>27712160</v>
      </c>
      <c r="AF44" s="230">
        <f t="shared" si="30"/>
        <v>2335000</v>
      </c>
      <c r="AG44" s="230">
        <f t="shared" si="30"/>
        <v>23794505</v>
      </c>
      <c r="AH44" s="230">
        <f t="shared" si="30"/>
        <v>185000</v>
      </c>
      <c r="AI44" s="230">
        <f t="shared" si="30"/>
        <v>3732655</v>
      </c>
      <c r="AJ44" s="230">
        <f t="shared" si="30"/>
        <v>4979000</v>
      </c>
      <c r="AK44" s="230">
        <f t="shared" si="30"/>
        <v>185000</v>
      </c>
      <c r="AL44" s="230">
        <f t="shared" si="30"/>
        <v>136000</v>
      </c>
      <c r="AM44" s="230">
        <f t="shared" si="30"/>
        <v>2335000</v>
      </c>
      <c r="AN44" s="230">
        <f t="shared" si="30"/>
        <v>0</v>
      </c>
      <c r="AO44" s="230">
        <f t="shared" si="30"/>
        <v>0</v>
      </c>
      <c r="AP44" s="146"/>
    </row>
    <row r="45" spans="1:42" s="157" customFormat="1">
      <c r="A45" s="557"/>
      <c r="B45" s="301"/>
      <c r="C45" s="301"/>
      <c r="D45" s="301"/>
      <c r="E45" s="299"/>
      <c r="F45" s="230"/>
      <c r="G45" s="230"/>
      <c r="H45" s="230"/>
      <c r="I45" s="230"/>
      <c r="J45" s="230"/>
      <c r="K45" s="230"/>
      <c r="L45" s="230"/>
      <c r="M45" s="230"/>
      <c r="N45" s="230"/>
      <c r="O45" s="230"/>
      <c r="P45" s="230"/>
      <c r="Q45" s="230"/>
      <c r="R45" s="230"/>
      <c r="S45" s="230"/>
      <c r="T45" s="230"/>
      <c r="U45" s="230"/>
      <c r="V45" s="230"/>
      <c r="W45" s="230"/>
      <c r="X45" s="230"/>
      <c r="Y45" s="230"/>
      <c r="Z45" s="230"/>
      <c r="AA45" s="230"/>
      <c r="AB45" s="230"/>
      <c r="AC45" s="230"/>
      <c r="AD45" s="230"/>
      <c r="AE45" s="230"/>
      <c r="AF45" s="230"/>
      <c r="AG45" s="230"/>
      <c r="AH45" s="230"/>
      <c r="AI45" s="230"/>
      <c r="AJ45" s="230"/>
      <c r="AK45" s="230"/>
      <c r="AL45" s="230"/>
      <c r="AM45" s="230"/>
      <c r="AN45" s="230"/>
      <c r="AO45" s="230"/>
      <c r="AP45" s="146"/>
    </row>
    <row r="46" spans="1:42" s="157" customFormat="1">
      <c r="A46" s="281"/>
      <c r="B46" s="225"/>
      <c r="C46" s="225"/>
      <c r="D46" s="225"/>
      <c r="E46" s="299" t="s">
        <v>356</v>
      </c>
      <c r="F46" s="227"/>
      <c r="G46" s="227"/>
      <c r="H46" s="227"/>
      <c r="I46" s="227"/>
      <c r="J46" s="227"/>
      <c r="K46" s="227"/>
      <c r="L46" s="227"/>
      <c r="M46" s="227"/>
      <c r="N46" s="227"/>
      <c r="O46" s="227"/>
      <c r="P46" s="227"/>
      <c r="Q46" s="225"/>
      <c r="R46" s="225"/>
      <c r="S46" s="225"/>
      <c r="T46" s="225"/>
      <c r="U46" s="225"/>
      <c r="V46" s="225"/>
      <c r="W46" s="225"/>
      <c r="X46" s="225"/>
      <c r="Y46" s="225"/>
      <c r="Z46" s="225"/>
      <c r="AA46" s="225"/>
      <c r="AB46" s="225"/>
      <c r="AC46" s="225"/>
      <c r="AD46" s="225"/>
      <c r="AE46" s="225"/>
      <c r="AF46" s="152"/>
      <c r="AG46" s="225"/>
      <c r="AH46" s="225"/>
      <c r="AI46" s="225"/>
      <c r="AJ46" s="225"/>
      <c r="AK46" s="225"/>
      <c r="AL46" s="225"/>
      <c r="AM46" s="225"/>
      <c r="AN46" s="225"/>
      <c r="AO46" s="225"/>
      <c r="AP46" s="146"/>
    </row>
    <row r="47" spans="1:42" s="157" customFormat="1" ht="31">
      <c r="A47" s="280" t="s">
        <v>867</v>
      </c>
      <c r="B47" s="293" t="s">
        <v>868</v>
      </c>
      <c r="C47" s="226">
        <f>C45+1</f>
        <v>1</v>
      </c>
      <c r="D47" s="226">
        <v>2061</v>
      </c>
      <c r="E47" s="300" t="s">
        <v>894</v>
      </c>
      <c r="F47" s="227">
        <v>290000</v>
      </c>
      <c r="G47" s="227"/>
      <c r="H47" s="227">
        <f t="shared" ref="H47:H76" si="31">F47-G47</f>
        <v>290000</v>
      </c>
      <c r="I47" s="227"/>
      <c r="J47" s="227">
        <v>290000</v>
      </c>
      <c r="K47" s="227">
        <f t="shared" ref="K47:K76" si="32">F47-I47-J47</f>
        <v>0</v>
      </c>
      <c r="L47" s="227">
        <f t="shared" ref="L47:L76" si="33">J47</f>
        <v>290000</v>
      </c>
      <c r="M47" s="227"/>
      <c r="N47" s="227">
        <f t="shared" ref="N47:N76" si="34">L47-M47</f>
        <v>290000</v>
      </c>
      <c r="O47" s="227">
        <f t="shared" ref="O47:O76" si="35">N47-P47-Q47</f>
        <v>0</v>
      </c>
      <c r="P47" s="227">
        <v>290000</v>
      </c>
      <c r="Q47" s="227"/>
      <c r="R47" s="227">
        <v>290000</v>
      </c>
      <c r="S47" s="227"/>
      <c r="T47" s="227"/>
      <c r="U47" s="227"/>
      <c r="V47" s="227"/>
      <c r="W47" s="227"/>
      <c r="X47" s="227"/>
      <c r="Y47" s="227"/>
      <c r="Z47" s="227"/>
      <c r="AA47" s="227"/>
      <c r="AB47" s="227"/>
      <c r="AC47" s="227">
        <f t="shared" ref="AC47:AC76" si="36">SUM(R47:AB47)</f>
        <v>290000</v>
      </c>
      <c r="AD47" s="227"/>
      <c r="AE47" s="227">
        <f t="shared" ref="AE47:AE76" si="37">AC47+AD47</f>
        <v>290000</v>
      </c>
      <c r="AF47" s="227">
        <f t="shared" ref="AF47:AF76" si="38">N47-AE47</f>
        <v>0</v>
      </c>
      <c r="AG47" s="227">
        <f t="shared" ref="AG47:AG76" si="39">AE47-AH47-AI47</f>
        <v>0</v>
      </c>
      <c r="AH47" s="227">
        <v>290000</v>
      </c>
      <c r="AI47" s="225"/>
      <c r="AJ47" s="227">
        <f t="shared" ref="AJ47:AJ76" si="40">AD47-AK47-AL47</f>
        <v>0</v>
      </c>
      <c r="AK47" s="227"/>
      <c r="AL47" s="227"/>
      <c r="AM47" s="227">
        <f t="shared" ref="AM47:AM76" si="41">AF47-AN47-AO47</f>
        <v>0</v>
      </c>
      <c r="AN47" s="227"/>
      <c r="AO47" s="227"/>
      <c r="AP47" s="146"/>
    </row>
    <row r="48" spans="1:42" s="157" customFormat="1">
      <c r="A48" s="280" t="s">
        <v>879</v>
      </c>
      <c r="B48" s="293" t="s">
        <v>880</v>
      </c>
      <c r="C48" s="225">
        <f>C47+1</f>
        <v>2</v>
      </c>
      <c r="D48" s="226">
        <v>1883</v>
      </c>
      <c r="E48" s="300" t="s">
        <v>1023</v>
      </c>
      <c r="F48" s="227">
        <v>25480000</v>
      </c>
      <c r="G48" s="227">
        <v>23500000</v>
      </c>
      <c r="H48" s="227">
        <f t="shared" si="31"/>
        <v>1980000</v>
      </c>
      <c r="I48" s="227">
        <f>16483124+16876</f>
        <v>16500000</v>
      </c>
      <c r="J48" s="227">
        <v>8980000</v>
      </c>
      <c r="K48" s="227">
        <f t="shared" si="32"/>
        <v>0</v>
      </c>
      <c r="L48" s="227">
        <f t="shared" si="33"/>
        <v>8980000</v>
      </c>
      <c r="M48" s="227">
        <v>7000000</v>
      </c>
      <c r="N48" s="227">
        <f t="shared" si="34"/>
        <v>1980000</v>
      </c>
      <c r="O48" s="227">
        <f t="shared" si="35"/>
        <v>1870000</v>
      </c>
      <c r="P48" s="227"/>
      <c r="Q48" s="227">
        <v>110000</v>
      </c>
      <c r="R48" s="227"/>
      <c r="S48" s="227">
        <v>1980000</v>
      </c>
      <c r="T48" s="227"/>
      <c r="U48" s="227"/>
      <c r="V48" s="227"/>
      <c r="W48" s="227"/>
      <c r="X48" s="227"/>
      <c r="Y48" s="227"/>
      <c r="Z48" s="227"/>
      <c r="AA48" s="227"/>
      <c r="AB48" s="227"/>
      <c r="AC48" s="227">
        <f t="shared" si="36"/>
        <v>1980000</v>
      </c>
      <c r="AD48" s="227"/>
      <c r="AE48" s="227">
        <f t="shared" si="37"/>
        <v>1980000</v>
      </c>
      <c r="AF48" s="227">
        <f t="shared" si="38"/>
        <v>0</v>
      </c>
      <c r="AG48" s="227">
        <f t="shared" si="39"/>
        <v>1980000</v>
      </c>
      <c r="AH48" s="227">
        <v>-110000</v>
      </c>
      <c r="AI48" s="227">
        <v>110000</v>
      </c>
      <c r="AJ48" s="227">
        <f t="shared" si="40"/>
        <v>0</v>
      </c>
      <c r="AK48" s="227"/>
      <c r="AL48" s="227"/>
      <c r="AM48" s="227">
        <f t="shared" si="41"/>
        <v>0</v>
      </c>
      <c r="AN48" s="227"/>
      <c r="AO48" s="227"/>
      <c r="AP48" s="146"/>
    </row>
    <row r="49" spans="1:42" s="157" customFormat="1" ht="31">
      <c r="A49" s="280" t="s">
        <v>879</v>
      </c>
      <c r="B49" s="293" t="s">
        <v>880</v>
      </c>
      <c r="C49" s="226">
        <f t="shared" ref="C49:C76" si="42">C48+1</f>
        <v>3</v>
      </c>
      <c r="D49" s="226">
        <v>1947</v>
      </c>
      <c r="E49" s="300" t="s">
        <v>1024</v>
      </c>
      <c r="F49" s="227">
        <v>1400000</v>
      </c>
      <c r="G49" s="227">
        <v>1400000</v>
      </c>
      <c r="H49" s="227">
        <f t="shared" si="31"/>
        <v>0</v>
      </c>
      <c r="I49" s="227">
        <v>1400000</v>
      </c>
      <c r="J49" s="227"/>
      <c r="K49" s="227">
        <f t="shared" si="32"/>
        <v>0</v>
      </c>
      <c r="L49" s="227">
        <f t="shared" si="33"/>
        <v>0</v>
      </c>
      <c r="M49" s="227"/>
      <c r="N49" s="227">
        <f t="shared" si="34"/>
        <v>0</v>
      </c>
      <c r="O49" s="227">
        <f t="shared" si="35"/>
        <v>-228340</v>
      </c>
      <c r="P49" s="227"/>
      <c r="Q49" s="227">
        <v>228340</v>
      </c>
      <c r="R49" s="227"/>
      <c r="S49" s="304"/>
      <c r="T49" s="227"/>
      <c r="U49" s="227"/>
      <c r="V49" s="227"/>
      <c r="W49" s="227"/>
      <c r="X49" s="227"/>
      <c r="Y49" s="227"/>
      <c r="Z49" s="227"/>
      <c r="AA49" s="227"/>
      <c r="AB49" s="227"/>
      <c r="AC49" s="227">
        <f t="shared" si="36"/>
        <v>0</v>
      </c>
      <c r="AD49" s="227"/>
      <c r="AE49" s="227">
        <f t="shared" si="37"/>
        <v>0</v>
      </c>
      <c r="AF49" s="227">
        <f t="shared" si="38"/>
        <v>0</v>
      </c>
      <c r="AG49" s="227">
        <f t="shared" si="39"/>
        <v>-228340</v>
      </c>
      <c r="AH49" s="227"/>
      <c r="AI49" s="227">
        <v>228340</v>
      </c>
      <c r="AJ49" s="227">
        <f t="shared" si="40"/>
        <v>0</v>
      </c>
      <c r="AK49" s="227"/>
      <c r="AL49" s="227"/>
      <c r="AM49" s="227">
        <f t="shared" si="41"/>
        <v>0</v>
      </c>
      <c r="AN49" s="227"/>
      <c r="AO49" s="227"/>
      <c r="AP49" s="146"/>
    </row>
    <row r="50" spans="1:42" s="157" customFormat="1">
      <c r="A50" s="280" t="s">
        <v>879</v>
      </c>
      <c r="B50" s="293" t="s">
        <v>880</v>
      </c>
      <c r="C50" s="225">
        <f t="shared" si="42"/>
        <v>4</v>
      </c>
      <c r="D50" s="226">
        <v>2063</v>
      </c>
      <c r="E50" s="300" t="s">
        <v>1025</v>
      </c>
      <c r="F50" s="227">
        <v>1240000</v>
      </c>
      <c r="G50" s="227"/>
      <c r="H50" s="227">
        <f t="shared" si="31"/>
        <v>1240000</v>
      </c>
      <c r="I50" s="227"/>
      <c r="J50" s="227">
        <v>1240000</v>
      </c>
      <c r="K50" s="227">
        <f t="shared" si="32"/>
        <v>0</v>
      </c>
      <c r="L50" s="227">
        <f t="shared" si="33"/>
        <v>1240000</v>
      </c>
      <c r="M50" s="227"/>
      <c r="N50" s="227">
        <f t="shared" si="34"/>
        <v>1240000</v>
      </c>
      <c r="O50" s="227">
        <f t="shared" si="35"/>
        <v>1240000</v>
      </c>
      <c r="P50" s="227"/>
      <c r="Q50" s="227"/>
      <c r="R50" s="227"/>
      <c r="S50" s="227">
        <v>1240000</v>
      </c>
      <c r="T50" s="227"/>
      <c r="U50" s="227"/>
      <c r="V50" s="227"/>
      <c r="W50" s="227"/>
      <c r="X50" s="227"/>
      <c r="Y50" s="227"/>
      <c r="Z50" s="227"/>
      <c r="AA50" s="227"/>
      <c r="AB50" s="227"/>
      <c r="AC50" s="227">
        <f t="shared" si="36"/>
        <v>1240000</v>
      </c>
      <c r="AD50" s="227"/>
      <c r="AE50" s="227">
        <f t="shared" si="37"/>
        <v>1240000</v>
      </c>
      <c r="AF50" s="227">
        <f t="shared" si="38"/>
        <v>0</v>
      </c>
      <c r="AG50" s="227">
        <f t="shared" si="39"/>
        <v>1240000</v>
      </c>
      <c r="AH50" s="227"/>
      <c r="AI50" s="225"/>
      <c r="AJ50" s="227">
        <f t="shared" si="40"/>
        <v>0</v>
      </c>
      <c r="AK50" s="227"/>
      <c r="AL50" s="227"/>
      <c r="AM50" s="227">
        <f t="shared" si="41"/>
        <v>0</v>
      </c>
      <c r="AN50" s="227"/>
      <c r="AO50" s="227"/>
      <c r="AP50" s="146"/>
    </row>
    <row r="51" spans="1:42" s="157" customFormat="1">
      <c r="A51" s="280" t="s">
        <v>879</v>
      </c>
      <c r="B51" s="293" t="s">
        <v>880</v>
      </c>
      <c r="C51" s="225">
        <f t="shared" si="42"/>
        <v>5</v>
      </c>
      <c r="D51" s="226">
        <v>1489</v>
      </c>
      <c r="E51" s="300" t="s">
        <v>357</v>
      </c>
      <c r="F51" s="227">
        <v>46200000</v>
      </c>
      <c r="G51" s="227">
        <v>46200000</v>
      </c>
      <c r="H51" s="227">
        <f t="shared" si="31"/>
        <v>0</v>
      </c>
      <c r="I51" s="227">
        <f>29274237+225763</f>
        <v>29500000</v>
      </c>
      <c r="J51" s="227">
        <v>9000000</v>
      </c>
      <c r="K51" s="227">
        <f t="shared" si="32"/>
        <v>7700000</v>
      </c>
      <c r="L51" s="227">
        <f t="shared" si="33"/>
        <v>9000000</v>
      </c>
      <c r="M51" s="227">
        <v>4000000</v>
      </c>
      <c r="N51" s="227">
        <f t="shared" si="34"/>
        <v>5000000</v>
      </c>
      <c r="O51" s="227">
        <f t="shared" si="35"/>
        <v>0</v>
      </c>
      <c r="P51" s="227">
        <v>5000000</v>
      </c>
      <c r="Q51" s="227"/>
      <c r="R51" s="227"/>
      <c r="S51" s="227"/>
      <c r="T51" s="227"/>
      <c r="U51" s="227">
        <v>5000000</v>
      </c>
      <c r="V51" s="227"/>
      <c r="W51" s="227"/>
      <c r="X51" s="227"/>
      <c r="Y51" s="227"/>
      <c r="Z51" s="227"/>
      <c r="AA51" s="227"/>
      <c r="AB51" s="227"/>
      <c r="AC51" s="227">
        <f t="shared" si="36"/>
        <v>5000000</v>
      </c>
      <c r="AD51" s="227"/>
      <c r="AE51" s="227">
        <f t="shared" si="37"/>
        <v>5000000</v>
      </c>
      <c r="AF51" s="227">
        <f t="shared" si="38"/>
        <v>0</v>
      </c>
      <c r="AG51" s="227">
        <f t="shared" si="39"/>
        <v>0</v>
      </c>
      <c r="AH51" s="227">
        <v>5000000</v>
      </c>
      <c r="AI51" s="225"/>
      <c r="AJ51" s="227">
        <f t="shared" si="40"/>
        <v>0</v>
      </c>
      <c r="AK51" s="227"/>
      <c r="AL51" s="227"/>
      <c r="AM51" s="227">
        <f t="shared" si="41"/>
        <v>0</v>
      </c>
      <c r="AN51" s="227"/>
      <c r="AO51" s="227"/>
      <c r="AP51" s="146"/>
    </row>
    <row r="52" spans="1:42" s="157" customFormat="1">
      <c r="A52" s="280" t="s">
        <v>881</v>
      </c>
      <c r="B52" s="293" t="s">
        <v>871</v>
      </c>
      <c r="C52" s="225">
        <f t="shared" si="42"/>
        <v>6</v>
      </c>
      <c r="D52" s="226">
        <v>1887</v>
      </c>
      <c r="E52" s="300" t="s">
        <v>223</v>
      </c>
      <c r="F52" s="227">
        <v>4200000</v>
      </c>
      <c r="G52" s="227">
        <v>2200000</v>
      </c>
      <c r="H52" s="227">
        <f t="shared" si="31"/>
        <v>2000000</v>
      </c>
      <c r="I52" s="227">
        <f>922988+1077012</f>
        <v>2000000</v>
      </c>
      <c r="J52" s="227">
        <v>2200000</v>
      </c>
      <c r="K52" s="227">
        <f t="shared" si="32"/>
        <v>0</v>
      </c>
      <c r="L52" s="227">
        <f t="shared" si="33"/>
        <v>2200000</v>
      </c>
      <c r="M52" s="227">
        <v>200000</v>
      </c>
      <c r="N52" s="227">
        <f t="shared" si="34"/>
        <v>2000000</v>
      </c>
      <c r="O52" s="227">
        <f t="shared" si="35"/>
        <v>1000000</v>
      </c>
      <c r="P52" s="227">
        <v>1000000</v>
      </c>
      <c r="Q52" s="227"/>
      <c r="R52" s="227"/>
      <c r="S52" s="227"/>
      <c r="T52" s="227">
        <v>2000000</v>
      </c>
      <c r="U52" s="227"/>
      <c r="V52" s="227"/>
      <c r="W52" s="227"/>
      <c r="X52" s="227"/>
      <c r="Y52" s="227"/>
      <c r="Z52" s="227"/>
      <c r="AA52" s="227"/>
      <c r="AB52" s="227"/>
      <c r="AC52" s="227">
        <f t="shared" si="36"/>
        <v>2000000</v>
      </c>
      <c r="AD52" s="227"/>
      <c r="AE52" s="227">
        <f t="shared" si="37"/>
        <v>2000000</v>
      </c>
      <c r="AF52" s="227">
        <f t="shared" si="38"/>
        <v>0</v>
      </c>
      <c r="AG52" s="227">
        <f t="shared" si="39"/>
        <v>1000000</v>
      </c>
      <c r="AH52" s="227">
        <v>1000000</v>
      </c>
      <c r="AI52" s="227"/>
      <c r="AJ52" s="227">
        <f t="shared" si="40"/>
        <v>0</v>
      </c>
      <c r="AK52" s="227"/>
      <c r="AL52" s="227"/>
      <c r="AM52" s="227">
        <f t="shared" si="41"/>
        <v>0</v>
      </c>
      <c r="AN52" s="227"/>
      <c r="AO52" s="227"/>
      <c r="AP52" s="146"/>
    </row>
    <row r="53" spans="1:42" s="157" customFormat="1">
      <c r="A53" s="280" t="s">
        <v>881</v>
      </c>
      <c r="B53" s="293" t="s">
        <v>871</v>
      </c>
      <c r="C53" s="225">
        <f t="shared" si="42"/>
        <v>7</v>
      </c>
      <c r="D53" s="226">
        <v>1967</v>
      </c>
      <c r="E53" s="300" t="s">
        <v>262</v>
      </c>
      <c r="F53" s="227">
        <v>3929000</v>
      </c>
      <c r="G53" s="227">
        <v>3000000</v>
      </c>
      <c r="H53" s="227">
        <f>F53-G53</f>
        <v>929000</v>
      </c>
      <c r="I53" s="227">
        <f>283140+1216860</f>
        <v>1500000</v>
      </c>
      <c r="J53" s="227">
        <v>1429000</v>
      </c>
      <c r="K53" s="227">
        <f>F53-I53-J53</f>
        <v>1000000</v>
      </c>
      <c r="L53" s="227">
        <f>J53</f>
        <v>1429000</v>
      </c>
      <c r="M53" s="227">
        <v>500000</v>
      </c>
      <c r="N53" s="227">
        <f>L53-M53</f>
        <v>929000</v>
      </c>
      <c r="O53" s="227">
        <f>N53-P53-Q53</f>
        <v>0</v>
      </c>
      <c r="P53" s="227"/>
      <c r="Q53" s="227">
        <f>110000+472000+347000</f>
        <v>929000</v>
      </c>
      <c r="R53" s="227"/>
      <c r="S53" s="227"/>
      <c r="T53" s="227">
        <v>929000</v>
      </c>
      <c r="U53" s="227"/>
      <c r="V53" s="227"/>
      <c r="W53" s="227"/>
      <c r="X53" s="227"/>
      <c r="Y53" s="227"/>
      <c r="Z53" s="227"/>
      <c r="AA53" s="227"/>
      <c r="AB53" s="227"/>
      <c r="AC53" s="227">
        <f t="shared" si="36"/>
        <v>929000</v>
      </c>
      <c r="AD53" s="227"/>
      <c r="AE53" s="227">
        <f t="shared" si="37"/>
        <v>929000</v>
      </c>
      <c r="AF53" s="227">
        <f t="shared" si="38"/>
        <v>0</v>
      </c>
      <c r="AG53" s="227">
        <f t="shared" si="39"/>
        <v>0</v>
      </c>
      <c r="AH53" s="227"/>
      <c r="AI53" s="227">
        <v>929000</v>
      </c>
      <c r="AJ53" s="227">
        <f t="shared" si="40"/>
        <v>0</v>
      </c>
      <c r="AK53" s="227"/>
      <c r="AL53" s="227"/>
      <c r="AM53" s="227">
        <f t="shared" si="41"/>
        <v>0</v>
      </c>
      <c r="AN53" s="227"/>
      <c r="AO53" s="227"/>
      <c r="AP53" s="146"/>
    </row>
    <row r="54" spans="1:42" s="157" customFormat="1" ht="31">
      <c r="A54" s="280" t="s">
        <v>881</v>
      </c>
      <c r="B54" s="293" t="s">
        <v>871</v>
      </c>
      <c r="C54" s="226">
        <f t="shared" si="42"/>
        <v>8</v>
      </c>
      <c r="D54" s="226">
        <v>2065</v>
      </c>
      <c r="E54" s="300" t="s">
        <v>895</v>
      </c>
      <c r="F54" s="227">
        <v>700000</v>
      </c>
      <c r="G54" s="227"/>
      <c r="H54" s="227">
        <f t="shared" si="31"/>
        <v>700000</v>
      </c>
      <c r="I54" s="227"/>
      <c r="J54" s="227">
        <v>700000</v>
      </c>
      <c r="K54" s="227">
        <f t="shared" si="32"/>
        <v>0</v>
      </c>
      <c r="L54" s="227">
        <f t="shared" si="33"/>
        <v>700000</v>
      </c>
      <c r="M54" s="227"/>
      <c r="N54" s="227">
        <f t="shared" si="34"/>
        <v>700000</v>
      </c>
      <c r="O54" s="227">
        <f t="shared" si="35"/>
        <v>200000</v>
      </c>
      <c r="P54" s="227">
        <v>500000</v>
      </c>
      <c r="Q54" s="227"/>
      <c r="R54" s="227"/>
      <c r="S54" s="227"/>
      <c r="T54" s="227">
        <v>700000</v>
      </c>
      <c r="U54" s="227"/>
      <c r="V54" s="227"/>
      <c r="W54" s="227"/>
      <c r="X54" s="227"/>
      <c r="Y54" s="227"/>
      <c r="Z54" s="227"/>
      <c r="AA54" s="227"/>
      <c r="AB54" s="227"/>
      <c r="AC54" s="227">
        <f t="shared" si="36"/>
        <v>700000</v>
      </c>
      <c r="AD54" s="227"/>
      <c r="AE54" s="227">
        <f t="shared" si="37"/>
        <v>700000</v>
      </c>
      <c r="AF54" s="227">
        <f t="shared" si="38"/>
        <v>0</v>
      </c>
      <c r="AG54" s="227">
        <f t="shared" si="39"/>
        <v>200000</v>
      </c>
      <c r="AH54" s="227">
        <v>500000</v>
      </c>
      <c r="AI54" s="227"/>
      <c r="AJ54" s="227">
        <f t="shared" si="40"/>
        <v>0</v>
      </c>
      <c r="AK54" s="227"/>
      <c r="AL54" s="227"/>
      <c r="AM54" s="227">
        <f t="shared" si="41"/>
        <v>0</v>
      </c>
      <c r="AN54" s="227"/>
      <c r="AO54" s="227"/>
      <c r="AP54" s="146"/>
    </row>
    <row r="55" spans="1:42" s="157" customFormat="1" ht="31">
      <c r="A55" s="280" t="s">
        <v>881</v>
      </c>
      <c r="B55" s="293" t="s">
        <v>871</v>
      </c>
      <c r="C55" s="226">
        <f t="shared" si="42"/>
        <v>9</v>
      </c>
      <c r="D55" s="226">
        <v>2068</v>
      </c>
      <c r="E55" s="300" t="s">
        <v>896</v>
      </c>
      <c r="F55" s="227">
        <v>280000</v>
      </c>
      <c r="G55" s="227"/>
      <c r="H55" s="227">
        <f t="shared" si="31"/>
        <v>280000</v>
      </c>
      <c r="I55" s="227"/>
      <c r="J55" s="227">
        <v>280000</v>
      </c>
      <c r="K55" s="227">
        <f t="shared" si="32"/>
        <v>0</v>
      </c>
      <c r="L55" s="227">
        <f t="shared" si="33"/>
        <v>280000</v>
      </c>
      <c r="M55" s="227"/>
      <c r="N55" s="227">
        <f t="shared" si="34"/>
        <v>280000</v>
      </c>
      <c r="O55" s="227">
        <f t="shared" si="35"/>
        <v>280000</v>
      </c>
      <c r="P55" s="227"/>
      <c r="Q55" s="227"/>
      <c r="R55" s="227"/>
      <c r="S55" s="227"/>
      <c r="T55" s="227">
        <v>280000</v>
      </c>
      <c r="U55" s="227"/>
      <c r="V55" s="227"/>
      <c r="W55" s="227"/>
      <c r="X55" s="227"/>
      <c r="Y55" s="227"/>
      <c r="Z55" s="227"/>
      <c r="AA55" s="227"/>
      <c r="AB55" s="227"/>
      <c r="AC55" s="227">
        <f t="shared" si="36"/>
        <v>280000</v>
      </c>
      <c r="AD55" s="227"/>
      <c r="AE55" s="227">
        <f t="shared" si="37"/>
        <v>280000</v>
      </c>
      <c r="AF55" s="227">
        <f t="shared" si="38"/>
        <v>0</v>
      </c>
      <c r="AG55" s="227">
        <f t="shared" si="39"/>
        <v>280000</v>
      </c>
      <c r="AH55" s="227"/>
      <c r="AI55" s="227"/>
      <c r="AJ55" s="227">
        <f t="shared" si="40"/>
        <v>0</v>
      </c>
      <c r="AK55" s="227"/>
      <c r="AL55" s="227"/>
      <c r="AM55" s="227">
        <f t="shared" si="41"/>
        <v>0</v>
      </c>
      <c r="AN55" s="227"/>
      <c r="AO55" s="227"/>
      <c r="AP55" s="146"/>
    </row>
    <row r="56" spans="1:42" s="157" customFormat="1">
      <c r="A56" s="280" t="s">
        <v>883</v>
      </c>
      <c r="B56" s="293" t="s">
        <v>884</v>
      </c>
      <c r="C56" s="225">
        <f t="shared" si="42"/>
        <v>10</v>
      </c>
      <c r="D56" s="226">
        <v>2028</v>
      </c>
      <c r="E56" s="300" t="s">
        <v>897</v>
      </c>
      <c r="F56" s="227">
        <v>1800000</v>
      </c>
      <c r="G56" s="227">
        <v>1500000</v>
      </c>
      <c r="H56" s="227">
        <f t="shared" si="31"/>
        <v>300000</v>
      </c>
      <c r="I56" s="227"/>
      <c r="J56" s="227">
        <v>1800000</v>
      </c>
      <c r="K56" s="227">
        <f t="shared" si="32"/>
        <v>0</v>
      </c>
      <c r="L56" s="227">
        <f t="shared" si="33"/>
        <v>1800000</v>
      </c>
      <c r="M56" s="227">
        <v>1500000</v>
      </c>
      <c r="N56" s="227">
        <f t="shared" si="34"/>
        <v>300000</v>
      </c>
      <c r="O56" s="227">
        <f t="shared" si="35"/>
        <v>300000</v>
      </c>
      <c r="P56" s="227"/>
      <c r="Q56" s="227"/>
      <c r="R56" s="227"/>
      <c r="S56" s="227"/>
      <c r="T56" s="227"/>
      <c r="U56" s="227"/>
      <c r="V56" s="227">
        <v>300000</v>
      </c>
      <c r="W56" s="227"/>
      <c r="X56" s="227"/>
      <c r="Y56" s="227"/>
      <c r="Z56" s="227"/>
      <c r="AA56" s="227"/>
      <c r="AB56" s="227"/>
      <c r="AC56" s="227">
        <f t="shared" si="36"/>
        <v>300000</v>
      </c>
      <c r="AD56" s="227"/>
      <c r="AE56" s="227">
        <f t="shared" si="37"/>
        <v>300000</v>
      </c>
      <c r="AF56" s="227">
        <f t="shared" si="38"/>
        <v>0</v>
      </c>
      <c r="AG56" s="227">
        <f t="shared" si="39"/>
        <v>300000</v>
      </c>
      <c r="AH56" s="227"/>
      <c r="AI56" s="225"/>
      <c r="AJ56" s="227">
        <f t="shared" si="40"/>
        <v>0</v>
      </c>
      <c r="AK56" s="227"/>
      <c r="AL56" s="227"/>
      <c r="AM56" s="227">
        <f t="shared" si="41"/>
        <v>0</v>
      </c>
      <c r="AN56" s="227"/>
      <c r="AO56" s="227"/>
      <c r="AP56" s="146"/>
    </row>
    <row r="57" spans="1:42" s="157" customFormat="1">
      <c r="A57" s="280" t="s">
        <v>883</v>
      </c>
      <c r="B57" s="293" t="s">
        <v>884</v>
      </c>
      <c r="C57" s="225">
        <f t="shared" si="42"/>
        <v>11</v>
      </c>
      <c r="D57" s="226">
        <v>2074</v>
      </c>
      <c r="E57" s="300" t="s">
        <v>898</v>
      </c>
      <c r="F57" s="227">
        <v>560000</v>
      </c>
      <c r="G57" s="227"/>
      <c r="H57" s="227">
        <f t="shared" si="31"/>
        <v>560000</v>
      </c>
      <c r="I57" s="227"/>
      <c r="J57" s="227">
        <v>560000</v>
      </c>
      <c r="K57" s="227">
        <f t="shared" si="32"/>
        <v>0</v>
      </c>
      <c r="L57" s="227">
        <f t="shared" si="33"/>
        <v>560000</v>
      </c>
      <c r="M57" s="227"/>
      <c r="N57" s="227">
        <f t="shared" si="34"/>
        <v>560000</v>
      </c>
      <c r="O57" s="227">
        <f t="shared" si="35"/>
        <v>280000</v>
      </c>
      <c r="P57" s="227">
        <f>N57/2</f>
        <v>280000</v>
      </c>
      <c r="Q57" s="227"/>
      <c r="R57" s="227"/>
      <c r="S57" s="227"/>
      <c r="T57" s="227"/>
      <c r="U57" s="227"/>
      <c r="V57" s="227">
        <v>560000</v>
      </c>
      <c r="W57" s="227"/>
      <c r="X57" s="227"/>
      <c r="Y57" s="227"/>
      <c r="Z57" s="227"/>
      <c r="AA57" s="227"/>
      <c r="AB57" s="227"/>
      <c r="AC57" s="227">
        <f t="shared" si="36"/>
        <v>560000</v>
      </c>
      <c r="AD57" s="227"/>
      <c r="AE57" s="227">
        <f t="shared" si="37"/>
        <v>560000</v>
      </c>
      <c r="AF57" s="227">
        <f t="shared" si="38"/>
        <v>0</v>
      </c>
      <c r="AG57" s="227">
        <f t="shared" si="39"/>
        <v>280000</v>
      </c>
      <c r="AH57" s="227">
        <v>280000</v>
      </c>
      <c r="AI57" s="225"/>
      <c r="AJ57" s="227">
        <f t="shared" si="40"/>
        <v>0</v>
      </c>
      <c r="AK57" s="227"/>
      <c r="AL57" s="227"/>
      <c r="AM57" s="227">
        <f t="shared" si="41"/>
        <v>0</v>
      </c>
      <c r="AN57" s="227"/>
      <c r="AO57" s="227"/>
      <c r="AP57" s="146"/>
    </row>
    <row r="58" spans="1:42" s="157" customFormat="1" ht="31">
      <c r="A58" s="280" t="s">
        <v>883</v>
      </c>
      <c r="B58" s="293" t="s">
        <v>884</v>
      </c>
      <c r="C58" s="226">
        <f t="shared" si="42"/>
        <v>12</v>
      </c>
      <c r="D58" s="226">
        <v>1883</v>
      </c>
      <c r="E58" s="300" t="s">
        <v>1026</v>
      </c>
      <c r="F58" s="227">
        <v>25480000</v>
      </c>
      <c r="G58" s="227">
        <v>25480000</v>
      </c>
      <c r="H58" s="227">
        <f t="shared" si="31"/>
        <v>0</v>
      </c>
      <c r="I58" s="227">
        <v>16500000</v>
      </c>
      <c r="J58" s="227">
        <v>8980000</v>
      </c>
      <c r="K58" s="227">
        <f t="shared" si="32"/>
        <v>0</v>
      </c>
      <c r="L58" s="227">
        <f t="shared" si="33"/>
        <v>8980000</v>
      </c>
      <c r="M58" s="227">
        <f>8980000-1000000</f>
        <v>7980000</v>
      </c>
      <c r="N58" s="227">
        <f t="shared" si="34"/>
        <v>1000000</v>
      </c>
      <c r="O58" s="227">
        <f t="shared" si="35"/>
        <v>1000000</v>
      </c>
      <c r="P58" s="227"/>
      <c r="Q58" s="227">
        <f>-1000000+1000000</f>
        <v>0</v>
      </c>
      <c r="R58" s="227"/>
      <c r="S58" s="227"/>
      <c r="T58" s="227"/>
      <c r="U58" s="227"/>
      <c r="V58" s="227"/>
      <c r="W58" s="227"/>
      <c r="X58" s="227">
        <v>1000000</v>
      </c>
      <c r="Y58" s="227"/>
      <c r="Z58" s="227"/>
      <c r="AA58" s="227"/>
      <c r="AB58" s="227"/>
      <c r="AC58" s="227">
        <f t="shared" si="36"/>
        <v>1000000</v>
      </c>
      <c r="AD58" s="227"/>
      <c r="AE58" s="227">
        <f t="shared" si="37"/>
        <v>1000000</v>
      </c>
      <c r="AF58" s="227">
        <f t="shared" si="38"/>
        <v>0</v>
      </c>
      <c r="AG58" s="227">
        <f t="shared" si="39"/>
        <v>1000000</v>
      </c>
      <c r="AH58" s="227"/>
      <c r="AI58" s="225"/>
      <c r="AJ58" s="227">
        <f t="shared" si="40"/>
        <v>0</v>
      </c>
      <c r="AK58" s="227"/>
      <c r="AL58" s="227"/>
      <c r="AM58" s="227">
        <f t="shared" si="41"/>
        <v>0</v>
      </c>
      <c r="AN58" s="227"/>
      <c r="AO58" s="227"/>
      <c r="AP58" s="146"/>
    </row>
    <row r="59" spans="1:42" s="157" customFormat="1">
      <c r="A59" s="280" t="s">
        <v>883</v>
      </c>
      <c r="B59" s="293" t="s">
        <v>884</v>
      </c>
      <c r="C59" s="225">
        <f t="shared" si="42"/>
        <v>13</v>
      </c>
      <c r="D59" s="226">
        <v>2063</v>
      </c>
      <c r="E59" s="300" t="s">
        <v>1025</v>
      </c>
      <c r="F59" s="227">
        <v>1490000</v>
      </c>
      <c r="G59" s="227">
        <v>1240000</v>
      </c>
      <c r="H59" s="227">
        <f t="shared" si="31"/>
        <v>250000</v>
      </c>
      <c r="I59" s="227"/>
      <c r="J59" s="227">
        <v>1490000</v>
      </c>
      <c r="K59" s="227">
        <f t="shared" si="32"/>
        <v>0</v>
      </c>
      <c r="L59" s="227">
        <f t="shared" si="33"/>
        <v>1490000</v>
      </c>
      <c r="M59" s="227">
        <v>1240000</v>
      </c>
      <c r="N59" s="227">
        <f t="shared" si="34"/>
        <v>250000</v>
      </c>
      <c r="O59" s="227">
        <f t="shared" si="35"/>
        <v>250000</v>
      </c>
      <c r="P59" s="227"/>
      <c r="Q59" s="227"/>
      <c r="R59" s="227"/>
      <c r="S59" s="227"/>
      <c r="T59" s="227"/>
      <c r="U59" s="227"/>
      <c r="V59" s="227">
        <v>250000</v>
      </c>
      <c r="W59" s="227"/>
      <c r="X59" s="227"/>
      <c r="Y59" s="227"/>
      <c r="Z59" s="227"/>
      <c r="AA59" s="227"/>
      <c r="AB59" s="227"/>
      <c r="AC59" s="227">
        <f t="shared" si="36"/>
        <v>250000</v>
      </c>
      <c r="AD59" s="227"/>
      <c r="AE59" s="227">
        <f t="shared" si="37"/>
        <v>250000</v>
      </c>
      <c r="AF59" s="227">
        <f t="shared" si="38"/>
        <v>0</v>
      </c>
      <c r="AG59" s="227">
        <f t="shared" si="39"/>
        <v>250000</v>
      </c>
      <c r="AH59" s="227"/>
      <c r="AI59" s="225"/>
      <c r="AJ59" s="227">
        <f t="shared" si="40"/>
        <v>0</v>
      </c>
      <c r="AK59" s="227"/>
      <c r="AL59" s="227"/>
      <c r="AM59" s="227">
        <f t="shared" si="41"/>
        <v>0</v>
      </c>
      <c r="AN59" s="227"/>
      <c r="AO59" s="227"/>
      <c r="AP59" s="146"/>
    </row>
    <row r="60" spans="1:42" s="157" customFormat="1">
      <c r="A60" s="280" t="s">
        <v>883</v>
      </c>
      <c r="B60" s="293" t="s">
        <v>884</v>
      </c>
      <c r="C60" s="225">
        <f t="shared" si="42"/>
        <v>14</v>
      </c>
      <c r="D60" s="226">
        <v>1970</v>
      </c>
      <c r="E60" s="300" t="s">
        <v>1027</v>
      </c>
      <c r="F60" s="227">
        <v>7200000</v>
      </c>
      <c r="G60" s="227">
        <v>5700000</v>
      </c>
      <c r="H60" s="227">
        <f t="shared" si="31"/>
        <v>1500000</v>
      </c>
      <c r="I60" s="227">
        <f>1759582+940418</f>
        <v>2700000</v>
      </c>
      <c r="J60" s="227">
        <v>4500000</v>
      </c>
      <c r="K60" s="227">
        <f t="shared" si="32"/>
        <v>0</v>
      </c>
      <c r="L60" s="227">
        <f t="shared" si="33"/>
        <v>4500000</v>
      </c>
      <c r="M60" s="227">
        <v>3000000</v>
      </c>
      <c r="N60" s="227">
        <f t="shared" si="34"/>
        <v>1500000</v>
      </c>
      <c r="O60" s="227">
        <f t="shared" si="35"/>
        <v>1500000</v>
      </c>
      <c r="P60" s="227"/>
      <c r="Q60" s="227"/>
      <c r="R60" s="227"/>
      <c r="S60" s="227"/>
      <c r="T60" s="227"/>
      <c r="U60" s="227"/>
      <c r="V60" s="227">
        <v>1500000</v>
      </c>
      <c r="W60" s="227"/>
      <c r="X60" s="227"/>
      <c r="Y60" s="227"/>
      <c r="Z60" s="227"/>
      <c r="AA60" s="227"/>
      <c r="AB60" s="227"/>
      <c r="AC60" s="227">
        <f t="shared" si="36"/>
        <v>1500000</v>
      </c>
      <c r="AD60" s="227"/>
      <c r="AE60" s="227">
        <f t="shared" si="37"/>
        <v>1500000</v>
      </c>
      <c r="AF60" s="227">
        <f t="shared" si="38"/>
        <v>0</v>
      </c>
      <c r="AG60" s="227">
        <f t="shared" si="39"/>
        <v>1500000</v>
      </c>
      <c r="AH60" s="227"/>
      <c r="AI60" s="225"/>
      <c r="AJ60" s="227">
        <f t="shared" si="40"/>
        <v>0</v>
      </c>
      <c r="AK60" s="227"/>
      <c r="AL60" s="227"/>
      <c r="AM60" s="227">
        <f t="shared" si="41"/>
        <v>0</v>
      </c>
      <c r="AN60" s="227"/>
      <c r="AO60" s="227"/>
      <c r="AP60" s="146"/>
    </row>
    <row r="61" spans="1:42" s="157" customFormat="1">
      <c r="A61" s="280" t="s">
        <v>883</v>
      </c>
      <c r="B61" s="293" t="s">
        <v>884</v>
      </c>
      <c r="C61" s="225">
        <f t="shared" si="42"/>
        <v>15</v>
      </c>
      <c r="D61" s="226">
        <v>1946</v>
      </c>
      <c r="E61" s="300" t="s">
        <v>899</v>
      </c>
      <c r="F61" s="227">
        <v>890000</v>
      </c>
      <c r="G61" s="227">
        <v>590000</v>
      </c>
      <c r="H61" s="227">
        <f t="shared" si="31"/>
        <v>300000</v>
      </c>
      <c r="I61" s="227">
        <v>590000</v>
      </c>
      <c r="J61" s="227">
        <v>300000</v>
      </c>
      <c r="K61" s="227">
        <f t="shared" si="32"/>
        <v>0</v>
      </c>
      <c r="L61" s="227">
        <f t="shared" si="33"/>
        <v>300000</v>
      </c>
      <c r="M61" s="227"/>
      <c r="N61" s="227">
        <f t="shared" si="34"/>
        <v>300000</v>
      </c>
      <c r="O61" s="227">
        <f t="shared" si="35"/>
        <v>0</v>
      </c>
      <c r="P61" s="227">
        <v>300000</v>
      </c>
      <c r="Q61" s="227"/>
      <c r="R61" s="227"/>
      <c r="S61" s="227"/>
      <c r="T61" s="227"/>
      <c r="U61" s="227"/>
      <c r="V61" s="227">
        <v>300000</v>
      </c>
      <c r="W61" s="227"/>
      <c r="X61" s="227"/>
      <c r="Y61" s="227"/>
      <c r="Z61" s="227"/>
      <c r="AA61" s="227"/>
      <c r="AB61" s="227"/>
      <c r="AC61" s="227">
        <f t="shared" si="36"/>
        <v>300000</v>
      </c>
      <c r="AD61" s="227"/>
      <c r="AE61" s="227">
        <f t="shared" si="37"/>
        <v>300000</v>
      </c>
      <c r="AF61" s="227">
        <f t="shared" si="38"/>
        <v>0</v>
      </c>
      <c r="AG61" s="227">
        <f t="shared" si="39"/>
        <v>0</v>
      </c>
      <c r="AH61" s="227">
        <v>300000</v>
      </c>
      <c r="AI61" s="225"/>
      <c r="AJ61" s="227">
        <f t="shared" si="40"/>
        <v>0</v>
      </c>
      <c r="AK61" s="227"/>
      <c r="AL61" s="227"/>
      <c r="AM61" s="227">
        <f t="shared" si="41"/>
        <v>0</v>
      </c>
      <c r="AN61" s="227"/>
      <c r="AO61" s="227"/>
      <c r="AP61" s="146"/>
    </row>
    <row r="62" spans="1:42" s="157" customFormat="1">
      <c r="A62" s="280" t="s">
        <v>883</v>
      </c>
      <c r="B62" s="293" t="s">
        <v>884</v>
      </c>
      <c r="C62" s="225">
        <f t="shared" si="42"/>
        <v>16</v>
      </c>
      <c r="D62" s="226">
        <v>2030</v>
      </c>
      <c r="E62" s="300" t="s">
        <v>580</v>
      </c>
      <c r="F62" s="227">
        <v>28000000</v>
      </c>
      <c r="G62" s="227">
        <v>28000000</v>
      </c>
      <c r="H62" s="227">
        <f t="shared" si="31"/>
        <v>0</v>
      </c>
      <c r="I62" s="227"/>
      <c r="J62" s="227">
        <v>3000000</v>
      </c>
      <c r="K62" s="227">
        <f t="shared" si="32"/>
        <v>25000000</v>
      </c>
      <c r="L62" s="227">
        <f t="shared" si="33"/>
        <v>3000000</v>
      </c>
      <c r="M62" s="227">
        <v>1000000</v>
      </c>
      <c r="N62" s="227">
        <f t="shared" si="34"/>
        <v>2000000</v>
      </c>
      <c r="O62" s="227">
        <f t="shared" si="35"/>
        <v>2000000</v>
      </c>
      <c r="P62" s="227"/>
      <c r="Q62" s="227"/>
      <c r="R62" s="227"/>
      <c r="S62" s="227"/>
      <c r="T62" s="227"/>
      <c r="U62" s="227"/>
      <c r="V62" s="227">
        <v>2000000</v>
      </c>
      <c r="W62" s="227"/>
      <c r="X62" s="227"/>
      <c r="Y62" s="227"/>
      <c r="Z62" s="227"/>
      <c r="AA62" s="227"/>
      <c r="AB62" s="227"/>
      <c r="AC62" s="227">
        <f t="shared" si="36"/>
        <v>2000000</v>
      </c>
      <c r="AD62" s="227"/>
      <c r="AE62" s="227">
        <f t="shared" si="37"/>
        <v>2000000</v>
      </c>
      <c r="AF62" s="227">
        <f t="shared" si="38"/>
        <v>0</v>
      </c>
      <c r="AG62" s="227">
        <f t="shared" si="39"/>
        <v>2000000</v>
      </c>
      <c r="AH62" s="227"/>
      <c r="AI62" s="225"/>
      <c r="AJ62" s="227">
        <f t="shared" si="40"/>
        <v>0</v>
      </c>
      <c r="AK62" s="227"/>
      <c r="AL62" s="227"/>
      <c r="AM62" s="227">
        <f t="shared" si="41"/>
        <v>0</v>
      </c>
      <c r="AN62" s="227"/>
      <c r="AO62" s="227"/>
      <c r="AP62" s="146"/>
    </row>
    <row r="63" spans="1:42" s="157" customFormat="1">
      <c r="A63" s="280" t="s">
        <v>887</v>
      </c>
      <c r="B63" s="293" t="s">
        <v>888</v>
      </c>
      <c r="C63" s="225">
        <f t="shared" si="42"/>
        <v>17</v>
      </c>
      <c r="D63" s="402">
        <v>2027</v>
      </c>
      <c r="E63" s="280" t="s">
        <v>900</v>
      </c>
      <c r="F63" s="227">
        <v>1930000</v>
      </c>
      <c r="G63" s="227">
        <v>1930000</v>
      </c>
      <c r="H63" s="227">
        <f t="shared" si="31"/>
        <v>0</v>
      </c>
      <c r="I63" s="227"/>
      <c r="J63" s="227">
        <v>1930000</v>
      </c>
      <c r="K63" s="227">
        <f t="shared" si="32"/>
        <v>0</v>
      </c>
      <c r="L63" s="227">
        <f t="shared" si="33"/>
        <v>1930000</v>
      </c>
      <c r="M63" s="227">
        <v>1000000</v>
      </c>
      <c r="N63" s="227">
        <f t="shared" si="34"/>
        <v>930000</v>
      </c>
      <c r="O63" s="227">
        <f t="shared" si="35"/>
        <v>430000</v>
      </c>
      <c r="P63" s="227">
        <v>500000</v>
      </c>
      <c r="Q63" s="227"/>
      <c r="R63" s="227"/>
      <c r="S63" s="227"/>
      <c r="T63" s="227"/>
      <c r="U63" s="227"/>
      <c r="V63" s="227"/>
      <c r="W63" s="227"/>
      <c r="X63" s="227">
        <v>930000</v>
      </c>
      <c r="Y63" s="227"/>
      <c r="Z63" s="227"/>
      <c r="AA63" s="227"/>
      <c r="AB63" s="227"/>
      <c r="AC63" s="227">
        <f t="shared" si="36"/>
        <v>930000</v>
      </c>
      <c r="AD63" s="227"/>
      <c r="AE63" s="227">
        <f t="shared" si="37"/>
        <v>930000</v>
      </c>
      <c r="AF63" s="227">
        <f t="shared" si="38"/>
        <v>0</v>
      </c>
      <c r="AG63" s="227">
        <f t="shared" si="39"/>
        <v>430000</v>
      </c>
      <c r="AH63" s="227">
        <v>500000</v>
      </c>
      <c r="AI63" s="225"/>
      <c r="AJ63" s="227">
        <f t="shared" si="40"/>
        <v>0</v>
      </c>
      <c r="AK63" s="227"/>
      <c r="AL63" s="227"/>
      <c r="AM63" s="227">
        <f t="shared" si="41"/>
        <v>0</v>
      </c>
      <c r="AN63" s="227"/>
      <c r="AO63" s="227"/>
      <c r="AP63" s="146"/>
    </row>
    <row r="64" spans="1:42" s="157" customFormat="1">
      <c r="A64" s="280" t="s">
        <v>887</v>
      </c>
      <c r="B64" s="293" t="s">
        <v>888</v>
      </c>
      <c r="C64" s="225">
        <f t="shared" si="42"/>
        <v>18</v>
      </c>
      <c r="D64" s="402">
        <v>1947</v>
      </c>
      <c r="E64" s="280" t="s">
        <v>1028</v>
      </c>
      <c r="F64" s="227">
        <v>2500000</v>
      </c>
      <c r="G64" s="227">
        <v>1400000</v>
      </c>
      <c r="H64" s="227">
        <f t="shared" si="31"/>
        <v>1100000</v>
      </c>
      <c r="I64" s="227">
        <v>1400000</v>
      </c>
      <c r="J64" s="227"/>
      <c r="K64" s="227">
        <f t="shared" si="32"/>
        <v>1100000</v>
      </c>
      <c r="L64" s="227">
        <f t="shared" si="33"/>
        <v>0</v>
      </c>
      <c r="M64" s="227"/>
      <c r="N64" s="227">
        <f t="shared" si="34"/>
        <v>0</v>
      </c>
      <c r="O64" s="227">
        <f t="shared" si="35"/>
        <v>0</v>
      </c>
      <c r="P64" s="227"/>
      <c r="Q64" s="227"/>
      <c r="R64" s="227"/>
      <c r="S64" s="227"/>
      <c r="T64" s="227"/>
      <c r="U64" s="227"/>
      <c r="V64" s="227"/>
      <c r="W64" s="227"/>
      <c r="X64" s="227"/>
      <c r="Y64" s="227"/>
      <c r="Z64" s="227"/>
      <c r="AA64" s="227"/>
      <c r="AB64" s="227"/>
      <c r="AC64" s="227">
        <f t="shared" si="36"/>
        <v>0</v>
      </c>
      <c r="AD64" s="227"/>
      <c r="AE64" s="227">
        <f t="shared" si="37"/>
        <v>0</v>
      </c>
      <c r="AF64" s="227">
        <f t="shared" si="38"/>
        <v>0</v>
      </c>
      <c r="AG64" s="227">
        <f t="shared" si="39"/>
        <v>0</v>
      </c>
      <c r="AH64" s="227"/>
      <c r="AI64" s="225"/>
      <c r="AJ64" s="227">
        <f t="shared" si="40"/>
        <v>0</v>
      </c>
      <c r="AK64" s="227"/>
      <c r="AL64" s="227"/>
      <c r="AM64" s="227">
        <f t="shared" si="41"/>
        <v>0</v>
      </c>
      <c r="AN64" s="227"/>
      <c r="AO64" s="227"/>
      <c r="AP64" s="146"/>
    </row>
    <row r="65" spans="1:42" s="157" customFormat="1" ht="31">
      <c r="A65" s="280" t="s">
        <v>890</v>
      </c>
      <c r="B65" s="293" t="s">
        <v>888</v>
      </c>
      <c r="C65" s="226">
        <f t="shared" si="42"/>
        <v>19</v>
      </c>
      <c r="D65" s="402">
        <v>1472</v>
      </c>
      <c r="E65" s="280" t="s">
        <v>1029</v>
      </c>
      <c r="F65" s="227">
        <v>11350000</v>
      </c>
      <c r="G65" s="227">
        <v>11350000</v>
      </c>
      <c r="H65" s="227">
        <f t="shared" si="31"/>
        <v>0</v>
      </c>
      <c r="I65" s="227">
        <f>31964+10818036</f>
        <v>10850000</v>
      </c>
      <c r="J65" s="227">
        <f>300000-73904+30000</f>
        <v>256096</v>
      </c>
      <c r="K65" s="227">
        <f t="shared" si="32"/>
        <v>243904</v>
      </c>
      <c r="L65" s="227">
        <f t="shared" si="33"/>
        <v>256096</v>
      </c>
      <c r="M65" s="227">
        <v>300000</v>
      </c>
      <c r="N65" s="227">
        <f t="shared" si="34"/>
        <v>-43904</v>
      </c>
      <c r="O65" s="227">
        <f t="shared" si="35"/>
        <v>0</v>
      </c>
      <c r="P65" s="227">
        <v>30000</v>
      </c>
      <c r="Q65" s="227">
        <v>-73904</v>
      </c>
      <c r="R65" s="227"/>
      <c r="S65" s="227"/>
      <c r="T65" s="227"/>
      <c r="U65" s="227"/>
      <c r="V65" s="227"/>
      <c r="W65" s="227"/>
      <c r="X65" s="227">
        <v>-43904</v>
      </c>
      <c r="Y65" s="227"/>
      <c r="Z65" s="227"/>
      <c r="AA65" s="227"/>
      <c r="AB65" s="227"/>
      <c r="AC65" s="227">
        <f t="shared" si="36"/>
        <v>-43904</v>
      </c>
      <c r="AD65" s="227"/>
      <c r="AE65" s="227">
        <f t="shared" si="37"/>
        <v>-43904</v>
      </c>
      <c r="AF65" s="227">
        <f t="shared" si="38"/>
        <v>0</v>
      </c>
      <c r="AG65" s="227">
        <f t="shared" si="39"/>
        <v>0</v>
      </c>
      <c r="AH65" s="227">
        <v>30000</v>
      </c>
      <c r="AI65" s="227">
        <v>-73904</v>
      </c>
      <c r="AJ65" s="227">
        <f t="shared" si="40"/>
        <v>0</v>
      </c>
      <c r="AK65" s="227"/>
      <c r="AL65" s="227"/>
      <c r="AM65" s="227">
        <f t="shared" si="41"/>
        <v>0</v>
      </c>
      <c r="AN65" s="227"/>
      <c r="AO65" s="227"/>
      <c r="AP65" s="146"/>
    </row>
    <row r="66" spans="1:42" s="157" customFormat="1">
      <c r="A66" s="280" t="s">
        <v>890</v>
      </c>
      <c r="B66" s="293" t="s">
        <v>888</v>
      </c>
      <c r="C66" s="226">
        <f t="shared" si="42"/>
        <v>20</v>
      </c>
      <c r="D66" s="402">
        <v>1711</v>
      </c>
      <c r="E66" s="280" t="s">
        <v>1030</v>
      </c>
      <c r="F66" s="227">
        <v>445000</v>
      </c>
      <c r="G66" s="227">
        <v>525000</v>
      </c>
      <c r="H66" s="227">
        <f t="shared" si="31"/>
        <v>-80000</v>
      </c>
      <c r="I66" s="227">
        <f>339038+85962</f>
        <v>425000</v>
      </c>
      <c r="J66" s="227">
        <v>20000</v>
      </c>
      <c r="K66" s="227">
        <f t="shared" si="32"/>
        <v>0</v>
      </c>
      <c r="L66" s="227">
        <f t="shared" si="33"/>
        <v>20000</v>
      </c>
      <c r="M66" s="227">
        <v>100000</v>
      </c>
      <c r="N66" s="227">
        <f t="shared" si="34"/>
        <v>-80000</v>
      </c>
      <c r="O66" s="227">
        <f t="shared" si="35"/>
        <v>-50000</v>
      </c>
      <c r="P66" s="227">
        <v>-30000</v>
      </c>
      <c r="Q66" s="227"/>
      <c r="R66" s="227"/>
      <c r="S66" s="227"/>
      <c r="T66" s="227"/>
      <c r="U66" s="227"/>
      <c r="V66" s="227"/>
      <c r="W66" s="227"/>
      <c r="X66" s="304"/>
      <c r="Y66" s="227"/>
      <c r="Z66" s="227"/>
      <c r="AA66" s="227"/>
      <c r="AB66" s="227"/>
      <c r="AC66" s="227">
        <f t="shared" si="36"/>
        <v>0</v>
      </c>
      <c r="AD66" s="227"/>
      <c r="AE66" s="227">
        <f t="shared" si="37"/>
        <v>0</v>
      </c>
      <c r="AF66" s="227">
        <f t="shared" si="38"/>
        <v>-80000</v>
      </c>
      <c r="AG66" s="227">
        <f t="shared" si="39"/>
        <v>0</v>
      </c>
      <c r="AH66" s="227"/>
      <c r="AI66" s="225"/>
      <c r="AJ66" s="227">
        <f t="shared" si="40"/>
        <v>0</v>
      </c>
      <c r="AK66" s="227"/>
      <c r="AL66" s="227"/>
      <c r="AM66" s="227">
        <f t="shared" si="41"/>
        <v>-50000</v>
      </c>
      <c r="AN66" s="227">
        <v>-30000</v>
      </c>
      <c r="AO66" s="227"/>
      <c r="AP66" s="146"/>
    </row>
    <row r="67" spans="1:42" s="157" customFormat="1">
      <c r="A67" s="280" t="s">
        <v>890</v>
      </c>
      <c r="B67" s="293" t="s">
        <v>888</v>
      </c>
      <c r="C67" s="225">
        <f t="shared" si="42"/>
        <v>21</v>
      </c>
      <c r="D67" s="402">
        <v>1677</v>
      </c>
      <c r="E67" s="280" t="s">
        <v>1031</v>
      </c>
      <c r="F67" s="227">
        <f>19000000-500000</f>
        <v>18500000</v>
      </c>
      <c r="G67" s="227">
        <v>19000000</v>
      </c>
      <c r="H67" s="227">
        <f t="shared" si="31"/>
        <v>-500000</v>
      </c>
      <c r="I67" s="227">
        <f>18879332+120668</f>
        <v>19000000</v>
      </c>
      <c r="J67" s="227">
        <v>-500000</v>
      </c>
      <c r="K67" s="227">
        <f t="shared" si="32"/>
        <v>0</v>
      </c>
      <c r="L67" s="227">
        <f t="shared" si="33"/>
        <v>-500000</v>
      </c>
      <c r="M67" s="227"/>
      <c r="N67" s="227">
        <f t="shared" si="34"/>
        <v>-500000</v>
      </c>
      <c r="O67" s="227">
        <f t="shared" si="35"/>
        <v>0</v>
      </c>
      <c r="P67" s="227">
        <v>-500000</v>
      </c>
      <c r="Q67" s="227"/>
      <c r="R67" s="227"/>
      <c r="S67" s="227"/>
      <c r="T67" s="227"/>
      <c r="U67" s="227"/>
      <c r="V67" s="227"/>
      <c r="W67" s="227"/>
      <c r="X67" s="227">
        <v>-500000</v>
      </c>
      <c r="Y67" s="227"/>
      <c r="Z67" s="227"/>
      <c r="AA67" s="227"/>
      <c r="AB67" s="227"/>
      <c r="AC67" s="227">
        <f t="shared" si="36"/>
        <v>-500000</v>
      </c>
      <c r="AD67" s="227"/>
      <c r="AE67" s="227">
        <f t="shared" si="37"/>
        <v>-500000</v>
      </c>
      <c r="AF67" s="227">
        <f t="shared" si="38"/>
        <v>0</v>
      </c>
      <c r="AG67" s="227">
        <f t="shared" si="39"/>
        <v>0</v>
      </c>
      <c r="AH67" s="227">
        <v>-500000</v>
      </c>
      <c r="AI67" s="225"/>
      <c r="AJ67" s="227">
        <f t="shared" si="40"/>
        <v>0</v>
      </c>
      <c r="AK67" s="227"/>
      <c r="AL67" s="227"/>
      <c r="AM67" s="227">
        <f t="shared" si="41"/>
        <v>0</v>
      </c>
      <c r="AN67" s="227"/>
      <c r="AO67" s="227"/>
      <c r="AP67" s="146"/>
    </row>
    <row r="68" spans="1:42" s="157" customFormat="1">
      <c r="A68" s="280" t="s">
        <v>890</v>
      </c>
      <c r="B68" s="293" t="s">
        <v>888</v>
      </c>
      <c r="C68" s="225">
        <f t="shared" si="42"/>
        <v>22</v>
      </c>
      <c r="D68" s="402">
        <v>1883</v>
      </c>
      <c r="E68" s="280" t="s">
        <v>1032</v>
      </c>
      <c r="F68" s="227">
        <v>26115000</v>
      </c>
      <c r="G68" s="227">
        <v>25480000</v>
      </c>
      <c r="H68" s="227">
        <f t="shared" si="31"/>
        <v>635000</v>
      </c>
      <c r="I68" s="227">
        <v>16500000</v>
      </c>
      <c r="J68" s="227">
        <f>9615000</f>
        <v>9615000</v>
      </c>
      <c r="K68" s="227">
        <f t="shared" si="32"/>
        <v>0</v>
      </c>
      <c r="L68" s="227">
        <f t="shared" si="33"/>
        <v>9615000</v>
      </c>
      <c r="M68" s="227">
        <f>L58</f>
        <v>8980000</v>
      </c>
      <c r="N68" s="227">
        <f t="shared" si="34"/>
        <v>635000</v>
      </c>
      <c r="O68" s="227">
        <f t="shared" si="35"/>
        <v>635000</v>
      </c>
      <c r="P68" s="227"/>
      <c r="Q68" s="227"/>
      <c r="R68" s="227"/>
      <c r="S68" s="227"/>
      <c r="T68" s="227"/>
      <c r="U68" s="227"/>
      <c r="V68" s="227"/>
      <c r="W68" s="227"/>
      <c r="X68" s="227">
        <v>635000</v>
      </c>
      <c r="Y68" s="227"/>
      <c r="Z68" s="227"/>
      <c r="AA68" s="227"/>
      <c r="AB68" s="227"/>
      <c r="AC68" s="227">
        <f t="shared" si="36"/>
        <v>635000</v>
      </c>
      <c r="AD68" s="227"/>
      <c r="AE68" s="227">
        <f t="shared" si="37"/>
        <v>635000</v>
      </c>
      <c r="AF68" s="227">
        <f t="shared" si="38"/>
        <v>0</v>
      </c>
      <c r="AG68" s="227">
        <f t="shared" si="39"/>
        <v>635000</v>
      </c>
      <c r="AH68" s="227"/>
      <c r="AI68" s="225"/>
      <c r="AJ68" s="227">
        <f t="shared" si="40"/>
        <v>0</v>
      </c>
      <c r="AK68" s="227"/>
      <c r="AL68" s="227"/>
      <c r="AM68" s="227">
        <f t="shared" si="41"/>
        <v>0</v>
      </c>
      <c r="AN68" s="227"/>
      <c r="AO68" s="227"/>
      <c r="AP68" s="146"/>
    </row>
    <row r="69" spans="1:42" s="157" customFormat="1">
      <c r="A69" s="280" t="s">
        <v>890</v>
      </c>
      <c r="B69" s="293" t="s">
        <v>888</v>
      </c>
      <c r="C69" s="225">
        <f t="shared" si="42"/>
        <v>23</v>
      </c>
      <c r="D69" s="402">
        <v>1794</v>
      </c>
      <c r="E69" s="280" t="s">
        <v>901</v>
      </c>
      <c r="F69" s="227">
        <v>975000</v>
      </c>
      <c r="G69" s="227">
        <v>850000</v>
      </c>
      <c r="H69" s="227">
        <f t="shared" si="31"/>
        <v>125000</v>
      </c>
      <c r="I69" s="227">
        <v>850000</v>
      </c>
      <c r="J69" s="227">
        <v>125000</v>
      </c>
      <c r="K69" s="227">
        <f t="shared" si="32"/>
        <v>0</v>
      </c>
      <c r="L69" s="227">
        <f t="shared" si="33"/>
        <v>125000</v>
      </c>
      <c r="M69" s="227"/>
      <c r="N69" s="227">
        <f t="shared" si="34"/>
        <v>125000</v>
      </c>
      <c r="O69" s="227">
        <f t="shared" si="35"/>
        <v>125000</v>
      </c>
      <c r="P69" s="227"/>
      <c r="Q69" s="227"/>
      <c r="R69" s="227"/>
      <c r="S69" s="227"/>
      <c r="T69" s="227"/>
      <c r="U69" s="227"/>
      <c r="V69" s="227"/>
      <c r="W69" s="227"/>
      <c r="X69" s="227">
        <v>125000</v>
      </c>
      <c r="Y69" s="227"/>
      <c r="Z69" s="227"/>
      <c r="AA69" s="227"/>
      <c r="AB69" s="227"/>
      <c r="AC69" s="227">
        <f t="shared" si="36"/>
        <v>125000</v>
      </c>
      <c r="AD69" s="227"/>
      <c r="AE69" s="227">
        <f t="shared" si="37"/>
        <v>125000</v>
      </c>
      <c r="AF69" s="227">
        <f t="shared" si="38"/>
        <v>0</v>
      </c>
      <c r="AG69" s="227">
        <f t="shared" si="39"/>
        <v>125000</v>
      </c>
      <c r="AH69" s="227"/>
      <c r="AI69" s="225"/>
      <c r="AJ69" s="227">
        <f t="shared" si="40"/>
        <v>0</v>
      </c>
      <c r="AK69" s="227"/>
      <c r="AL69" s="227"/>
      <c r="AM69" s="227">
        <f t="shared" si="41"/>
        <v>0</v>
      </c>
      <c r="AN69" s="227"/>
      <c r="AO69" s="227"/>
      <c r="AP69" s="146"/>
    </row>
    <row r="70" spans="1:42" s="157" customFormat="1">
      <c r="A70" s="280" t="s">
        <v>890</v>
      </c>
      <c r="B70" s="293" t="s">
        <v>888</v>
      </c>
      <c r="C70" s="225">
        <f t="shared" si="42"/>
        <v>24</v>
      </c>
      <c r="D70" s="402">
        <v>1917</v>
      </c>
      <c r="E70" s="280" t="s">
        <v>902</v>
      </c>
      <c r="F70" s="227">
        <v>76800000</v>
      </c>
      <c r="G70" s="227">
        <v>76800000</v>
      </c>
      <c r="H70" s="227">
        <f t="shared" si="31"/>
        <v>0</v>
      </c>
      <c r="I70" s="227">
        <f>702386+6797614</f>
        <v>7500000</v>
      </c>
      <c r="J70" s="227">
        <v>18001000</v>
      </c>
      <c r="K70" s="227">
        <f t="shared" si="32"/>
        <v>51299000</v>
      </c>
      <c r="L70" s="227">
        <f t="shared" si="33"/>
        <v>18001000</v>
      </c>
      <c r="M70" s="227">
        <v>17000000</v>
      </c>
      <c r="N70" s="227">
        <f t="shared" si="34"/>
        <v>1001000</v>
      </c>
      <c r="O70" s="227">
        <f t="shared" si="35"/>
        <v>0</v>
      </c>
      <c r="P70" s="227"/>
      <c r="Q70" s="227">
        <f>2741000-1740000</f>
        <v>1001000</v>
      </c>
      <c r="R70" s="227"/>
      <c r="S70" s="227"/>
      <c r="T70" s="227"/>
      <c r="U70" s="227"/>
      <c r="V70" s="227"/>
      <c r="W70" s="227"/>
      <c r="X70" s="227">
        <v>1001000</v>
      </c>
      <c r="Y70" s="227"/>
      <c r="Z70" s="227"/>
      <c r="AA70" s="227"/>
      <c r="AB70" s="227"/>
      <c r="AC70" s="227">
        <f t="shared" si="36"/>
        <v>1001000</v>
      </c>
      <c r="AD70" s="227"/>
      <c r="AE70" s="227">
        <f t="shared" si="37"/>
        <v>1001000</v>
      </c>
      <c r="AF70" s="227">
        <f t="shared" si="38"/>
        <v>0</v>
      </c>
      <c r="AG70" s="227">
        <f t="shared" si="39"/>
        <v>0</v>
      </c>
      <c r="AH70" s="227"/>
      <c r="AI70" s="227">
        <v>1001000</v>
      </c>
      <c r="AJ70" s="227">
        <f t="shared" si="40"/>
        <v>0</v>
      </c>
      <c r="AK70" s="227"/>
      <c r="AL70" s="227"/>
      <c r="AM70" s="227">
        <f t="shared" si="41"/>
        <v>0</v>
      </c>
      <c r="AN70" s="227"/>
      <c r="AO70" s="227"/>
      <c r="AP70" s="146"/>
    </row>
    <row r="71" spans="1:42" s="157" customFormat="1" ht="31">
      <c r="A71" s="280" t="s">
        <v>890</v>
      </c>
      <c r="B71" s="293" t="s">
        <v>888</v>
      </c>
      <c r="C71" s="226">
        <f t="shared" si="42"/>
        <v>25</v>
      </c>
      <c r="D71" s="402">
        <v>1966</v>
      </c>
      <c r="E71" s="280" t="s">
        <v>1033</v>
      </c>
      <c r="F71" s="227">
        <v>1700000</v>
      </c>
      <c r="G71" s="227">
        <v>1700000</v>
      </c>
      <c r="H71" s="227">
        <f t="shared" si="31"/>
        <v>0</v>
      </c>
      <c r="I71" s="227"/>
      <c r="J71" s="227">
        <v>1700000</v>
      </c>
      <c r="K71" s="227">
        <f t="shared" si="32"/>
        <v>0</v>
      </c>
      <c r="L71" s="227">
        <f t="shared" si="33"/>
        <v>1700000</v>
      </c>
      <c r="M71" s="227">
        <v>1700000</v>
      </c>
      <c r="N71" s="227">
        <f t="shared" si="34"/>
        <v>0</v>
      </c>
      <c r="O71" s="227">
        <f t="shared" si="35"/>
        <v>0</v>
      </c>
      <c r="P71" s="227">
        <v>-6000</v>
      </c>
      <c r="Q71" s="227">
        <f>142000-136000</f>
        <v>6000</v>
      </c>
      <c r="R71" s="227"/>
      <c r="S71" s="227"/>
      <c r="T71" s="227"/>
      <c r="U71" s="227"/>
      <c r="V71" s="227"/>
      <c r="W71" s="227"/>
      <c r="X71" s="227"/>
      <c r="Y71" s="227"/>
      <c r="Z71" s="227"/>
      <c r="AA71" s="227"/>
      <c r="AB71" s="304"/>
      <c r="AC71" s="227">
        <f t="shared" si="36"/>
        <v>0</v>
      </c>
      <c r="AD71" s="227"/>
      <c r="AE71" s="227">
        <f t="shared" si="37"/>
        <v>0</v>
      </c>
      <c r="AF71" s="227">
        <f t="shared" si="38"/>
        <v>0</v>
      </c>
      <c r="AG71" s="227">
        <f t="shared" si="39"/>
        <v>0</v>
      </c>
      <c r="AH71" s="227">
        <v>-6000</v>
      </c>
      <c r="AI71" s="227">
        <v>6000</v>
      </c>
      <c r="AJ71" s="227">
        <f t="shared" si="40"/>
        <v>0</v>
      </c>
      <c r="AK71" s="227"/>
      <c r="AL71" s="227"/>
      <c r="AM71" s="227">
        <f t="shared" si="41"/>
        <v>0</v>
      </c>
      <c r="AN71" s="227"/>
      <c r="AO71" s="227"/>
      <c r="AP71" s="146"/>
    </row>
    <row r="72" spans="1:42" s="157" customFormat="1">
      <c r="A72" s="280" t="s">
        <v>890</v>
      </c>
      <c r="B72" s="293" t="s">
        <v>888</v>
      </c>
      <c r="C72" s="225">
        <f t="shared" si="42"/>
        <v>26</v>
      </c>
      <c r="D72" s="402">
        <v>1970</v>
      </c>
      <c r="E72" s="300" t="s">
        <v>1034</v>
      </c>
      <c r="F72" s="227">
        <v>7200000</v>
      </c>
      <c r="G72" s="227">
        <v>7200000</v>
      </c>
      <c r="H72" s="227">
        <f t="shared" si="31"/>
        <v>0</v>
      </c>
      <c r="I72" s="227">
        <f>1759582+940418</f>
        <v>2700000</v>
      </c>
      <c r="J72" s="227">
        <v>4500000</v>
      </c>
      <c r="K72" s="227">
        <f t="shared" si="32"/>
        <v>0</v>
      </c>
      <c r="L72" s="227">
        <f t="shared" si="33"/>
        <v>4500000</v>
      </c>
      <c r="M72" s="227">
        <v>4500000</v>
      </c>
      <c r="N72" s="227">
        <f t="shared" si="34"/>
        <v>0</v>
      </c>
      <c r="O72" s="227">
        <f t="shared" si="35"/>
        <v>0</v>
      </c>
      <c r="P72" s="227">
        <v>-405858</v>
      </c>
      <c r="Q72" s="227">
        <v>405858</v>
      </c>
      <c r="R72" s="227"/>
      <c r="S72" s="227"/>
      <c r="T72" s="227"/>
      <c r="U72" s="227"/>
      <c r="V72" s="227"/>
      <c r="W72" s="227"/>
      <c r="X72" s="304"/>
      <c r="Y72" s="227"/>
      <c r="Z72" s="227"/>
      <c r="AA72" s="227"/>
      <c r="AB72" s="227"/>
      <c r="AC72" s="227">
        <f t="shared" si="36"/>
        <v>0</v>
      </c>
      <c r="AD72" s="227"/>
      <c r="AE72" s="227">
        <f t="shared" si="37"/>
        <v>0</v>
      </c>
      <c r="AF72" s="227">
        <f t="shared" si="38"/>
        <v>0</v>
      </c>
      <c r="AG72" s="227">
        <f t="shared" si="39"/>
        <v>0</v>
      </c>
      <c r="AH72" s="227">
        <v>-405858</v>
      </c>
      <c r="AI72" s="227">
        <v>405858</v>
      </c>
      <c r="AJ72" s="227">
        <f t="shared" si="40"/>
        <v>0</v>
      </c>
      <c r="AK72" s="227"/>
      <c r="AL72" s="227"/>
      <c r="AM72" s="227">
        <f t="shared" si="41"/>
        <v>0</v>
      </c>
      <c r="AN72" s="227"/>
      <c r="AO72" s="227"/>
      <c r="AP72" s="146"/>
    </row>
    <row r="73" spans="1:42" s="157" customFormat="1">
      <c r="A73" s="280" t="s">
        <v>890</v>
      </c>
      <c r="B73" s="293" t="s">
        <v>888</v>
      </c>
      <c r="C73" s="225">
        <f t="shared" si="42"/>
        <v>27</v>
      </c>
      <c r="D73" s="402">
        <v>1770</v>
      </c>
      <c r="E73" s="300" t="s">
        <v>1035</v>
      </c>
      <c r="F73" s="227"/>
      <c r="G73" s="227"/>
      <c r="H73" s="227">
        <f>F73-G73</f>
        <v>0</v>
      </c>
      <c r="I73" s="227"/>
      <c r="J73" s="227"/>
      <c r="K73" s="227">
        <f>F73-I73-J73</f>
        <v>0</v>
      </c>
      <c r="L73" s="227">
        <f>J73</f>
        <v>0</v>
      </c>
      <c r="M73" s="227"/>
      <c r="N73" s="227">
        <f>L73-M73</f>
        <v>0</v>
      </c>
      <c r="O73" s="227">
        <f>N73-P73-Q73</f>
        <v>0</v>
      </c>
      <c r="P73" s="227"/>
      <c r="Q73" s="227"/>
      <c r="R73" s="227"/>
      <c r="S73" s="227"/>
      <c r="T73" s="227"/>
      <c r="U73" s="227"/>
      <c r="V73" s="227"/>
      <c r="W73" s="227"/>
      <c r="X73" s="227"/>
      <c r="Y73" s="227"/>
      <c r="Z73" s="227"/>
      <c r="AA73" s="227"/>
      <c r="AB73" s="227"/>
      <c r="AC73" s="227">
        <f t="shared" si="36"/>
        <v>0</v>
      </c>
      <c r="AD73" s="227"/>
      <c r="AE73" s="227">
        <f t="shared" si="37"/>
        <v>0</v>
      </c>
      <c r="AF73" s="227">
        <f t="shared" si="38"/>
        <v>0</v>
      </c>
      <c r="AG73" s="227">
        <f t="shared" si="39"/>
        <v>0</v>
      </c>
      <c r="AH73" s="227"/>
      <c r="AI73" s="225"/>
      <c r="AJ73" s="227">
        <f t="shared" si="40"/>
        <v>0</v>
      </c>
      <c r="AK73" s="227"/>
      <c r="AL73" s="227"/>
      <c r="AM73" s="227">
        <f t="shared" si="41"/>
        <v>0</v>
      </c>
      <c r="AN73" s="227"/>
      <c r="AO73" s="227"/>
      <c r="AP73" s="146"/>
    </row>
    <row r="74" spans="1:42" s="157" customFormat="1" ht="31">
      <c r="A74" s="280" t="s">
        <v>872</v>
      </c>
      <c r="B74" s="293" t="s">
        <v>873</v>
      </c>
      <c r="C74" s="226">
        <f t="shared" si="42"/>
        <v>28</v>
      </c>
      <c r="D74" s="402">
        <v>1918</v>
      </c>
      <c r="E74" s="300" t="s">
        <v>1036</v>
      </c>
      <c r="F74" s="227">
        <v>1988437</v>
      </c>
      <c r="G74" s="227">
        <v>2017000</v>
      </c>
      <c r="H74" s="227">
        <f>F74-G74</f>
        <v>-28563</v>
      </c>
      <c r="I74" s="227">
        <v>2017000</v>
      </c>
      <c r="J74" s="227">
        <v>-28563</v>
      </c>
      <c r="K74" s="227">
        <f>F74-I74-J74</f>
        <v>0</v>
      </c>
      <c r="L74" s="227">
        <f>J74</f>
        <v>-28563</v>
      </c>
      <c r="M74" s="227"/>
      <c r="N74" s="227">
        <f>L74-M74</f>
        <v>-28563</v>
      </c>
      <c r="O74" s="227">
        <f>N74-P74-Q74</f>
        <v>0</v>
      </c>
      <c r="P74" s="227"/>
      <c r="Q74" s="227">
        <v>-28563</v>
      </c>
      <c r="R74" s="227"/>
      <c r="S74" s="227"/>
      <c r="T74" s="227"/>
      <c r="U74" s="227"/>
      <c r="V74" s="227"/>
      <c r="W74" s="227"/>
      <c r="X74" s="227"/>
      <c r="Y74" s="227"/>
      <c r="Z74" s="227">
        <v>-28563</v>
      </c>
      <c r="AA74" s="227"/>
      <c r="AB74" s="227"/>
      <c r="AC74" s="227">
        <f t="shared" si="36"/>
        <v>-28563</v>
      </c>
      <c r="AD74" s="227"/>
      <c r="AE74" s="227">
        <f t="shared" si="37"/>
        <v>-28563</v>
      </c>
      <c r="AF74" s="227">
        <f t="shared" si="38"/>
        <v>0</v>
      </c>
      <c r="AG74" s="227">
        <f t="shared" si="39"/>
        <v>0</v>
      </c>
      <c r="AH74" s="227"/>
      <c r="AI74" s="227">
        <v>-28563</v>
      </c>
      <c r="AJ74" s="227">
        <f t="shared" si="40"/>
        <v>0</v>
      </c>
      <c r="AK74" s="227"/>
      <c r="AL74" s="227"/>
      <c r="AM74" s="227">
        <f t="shared" si="41"/>
        <v>0</v>
      </c>
      <c r="AN74" s="227"/>
      <c r="AO74" s="227"/>
      <c r="AP74" s="146"/>
    </row>
    <row r="75" spans="1:42" s="157" customFormat="1">
      <c r="A75" s="280" t="s">
        <v>872</v>
      </c>
      <c r="B75" s="293" t="s">
        <v>873</v>
      </c>
      <c r="C75" s="225">
        <f t="shared" si="42"/>
        <v>29</v>
      </c>
      <c r="D75" s="402">
        <v>1968</v>
      </c>
      <c r="E75" s="300" t="s">
        <v>263</v>
      </c>
      <c r="F75" s="227">
        <v>1800000</v>
      </c>
      <c r="G75" s="227">
        <v>1800000</v>
      </c>
      <c r="H75" s="227">
        <f>F75-G75</f>
        <v>0</v>
      </c>
      <c r="I75" s="227">
        <f>599626+374</f>
        <v>600000</v>
      </c>
      <c r="J75" s="227">
        <v>800000</v>
      </c>
      <c r="K75" s="227">
        <f>F75-I75-J75</f>
        <v>400000</v>
      </c>
      <c r="L75" s="227">
        <f>J75</f>
        <v>800000</v>
      </c>
      <c r="M75" s="227">
        <v>600000</v>
      </c>
      <c r="N75" s="227">
        <f>L75-M75</f>
        <v>200000</v>
      </c>
      <c r="O75" s="227">
        <f>N75-P75-Q75</f>
        <v>0</v>
      </c>
      <c r="P75" s="227">
        <v>200000</v>
      </c>
      <c r="Q75" s="227"/>
      <c r="R75" s="227"/>
      <c r="S75" s="227"/>
      <c r="T75" s="227"/>
      <c r="U75" s="227"/>
      <c r="V75" s="227"/>
      <c r="W75" s="227"/>
      <c r="X75" s="227"/>
      <c r="Y75" s="227"/>
      <c r="Z75" s="227"/>
      <c r="AA75" s="227">
        <v>200000</v>
      </c>
      <c r="AB75" s="227"/>
      <c r="AC75" s="227">
        <f t="shared" si="36"/>
        <v>200000</v>
      </c>
      <c r="AD75" s="227"/>
      <c r="AE75" s="227">
        <f t="shared" si="37"/>
        <v>200000</v>
      </c>
      <c r="AF75" s="227">
        <f t="shared" si="38"/>
        <v>0</v>
      </c>
      <c r="AG75" s="227">
        <f t="shared" si="39"/>
        <v>0</v>
      </c>
      <c r="AH75" s="227">
        <v>200000</v>
      </c>
      <c r="AI75" s="225"/>
      <c r="AJ75" s="227">
        <f t="shared" si="40"/>
        <v>0</v>
      </c>
      <c r="AK75" s="227"/>
      <c r="AL75" s="227"/>
      <c r="AM75" s="227">
        <f t="shared" si="41"/>
        <v>0</v>
      </c>
      <c r="AN75" s="227"/>
      <c r="AO75" s="227"/>
      <c r="AP75" s="146"/>
    </row>
    <row r="76" spans="1:42" s="157" customFormat="1" ht="31">
      <c r="A76" s="280" t="s">
        <v>872</v>
      </c>
      <c r="B76" s="293" t="s">
        <v>873</v>
      </c>
      <c r="C76" s="226">
        <f t="shared" si="42"/>
        <v>30</v>
      </c>
      <c r="D76" s="402">
        <v>1850</v>
      </c>
      <c r="E76" s="300" t="s">
        <v>1037</v>
      </c>
      <c r="F76" s="227">
        <v>14600000</v>
      </c>
      <c r="G76" s="227">
        <v>14600000</v>
      </c>
      <c r="H76" s="227">
        <f t="shared" si="31"/>
        <v>0</v>
      </c>
      <c r="I76" s="227">
        <f>802122+2477878</f>
        <v>3280000</v>
      </c>
      <c r="J76" s="227">
        <v>1300000</v>
      </c>
      <c r="K76" s="227">
        <f t="shared" si="32"/>
        <v>10020000</v>
      </c>
      <c r="L76" s="227">
        <f t="shared" si="33"/>
        <v>1300000</v>
      </c>
      <c r="M76" s="227">
        <v>1500000</v>
      </c>
      <c r="N76" s="227">
        <f t="shared" si="34"/>
        <v>-200000</v>
      </c>
      <c r="O76" s="227">
        <f t="shared" si="35"/>
        <v>0</v>
      </c>
      <c r="P76" s="227">
        <v>-200000</v>
      </c>
      <c r="Q76" s="227"/>
      <c r="R76" s="227"/>
      <c r="S76" s="227"/>
      <c r="T76" s="227"/>
      <c r="U76" s="227"/>
      <c r="V76" s="227"/>
      <c r="W76" s="227"/>
      <c r="X76" s="227"/>
      <c r="Y76" s="227"/>
      <c r="Z76" s="227"/>
      <c r="AA76" s="227">
        <v>-200000</v>
      </c>
      <c r="AB76" s="227"/>
      <c r="AC76" s="227">
        <f t="shared" si="36"/>
        <v>-200000</v>
      </c>
      <c r="AD76" s="227"/>
      <c r="AE76" s="227">
        <f t="shared" si="37"/>
        <v>-200000</v>
      </c>
      <c r="AF76" s="227">
        <f t="shared" si="38"/>
        <v>0</v>
      </c>
      <c r="AG76" s="227">
        <f t="shared" si="39"/>
        <v>0</v>
      </c>
      <c r="AH76" s="227">
        <v>-200000</v>
      </c>
      <c r="AI76" s="225"/>
      <c r="AJ76" s="227">
        <f t="shared" si="40"/>
        <v>0</v>
      </c>
      <c r="AK76" s="227"/>
      <c r="AL76" s="227"/>
      <c r="AM76" s="227">
        <f t="shared" si="41"/>
        <v>0</v>
      </c>
      <c r="AN76" s="227"/>
      <c r="AO76" s="227"/>
      <c r="AP76" s="146"/>
    </row>
    <row r="77" spans="1:42" s="157" customFormat="1">
      <c r="A77" s="557"/>
      <c r="B77" s="301"/>
      <c r="C77" s="301">
        <f>COUNT(C47:C76)</f>
        <v>30</v>
      </c>
      <c r="D77" s="301"/>
      <c r="E77" s="299" t="s">
        <v>1196</v>
      </c>
      <c r="F77" s="230">
        <f t="shared" ref="F77:AO77" si="43">SUM(F47:F76)</f>
        <v>315042437</v>
      </c>
      <c r="G77" s="230">
        <f t="shared" si="43"/>
        <v>303462000</v>
      </c>
      <c r="H77" s="230">
        <f t="shared" si="43"/>
        <v>11580437</v>
      </c>
      <c r="I77" s="230">
        <f t="shared" si="43"/>
        <v>135812000</v>
      </c>
      <c r="J77" s="230">
        <f t="shared" si="43"/>
        <v>82467533</v>
      </c>
      <c r="K77" s="230">
        <f t="shared" si="43"/>
        <v>96762904</v>
      </c>
      <c r="L77" s="230">
        <f t="shared" si="43"/>
        <v>82467533</v>
      </c>
      <c r="M77" s="230">
        <f t="shared" si="43"/>
        <v>62100000</v>
      </c>
      <c r="N77" s="230">
        <f t="shared" si="43"/>
        <v>20367533</v>
      </c>
      <c r="O77" s="230">
        <f t="shared" si="43"/>
        <v>10831660</v>
      </c>
      <c r="P77" s="230">
        <f t="shared" si="43"/>
        <v>6958142</v>
      </c>
      <c r="Q77" s="230">
        <f t="shared" si="43"/>
        <v>2577731</v>
      </c>
      <c r="R77" s="230">
        <f t="shared" si="43"/>
        <v>290000</v>
      </c>
      <c r="S77" s="230">
        <f t="shared" si="43"/>
        <v>3220000</v>
      </c>
      <c r="T77" s="230">
        <f t="shared" si="43"/>
        <v>3909000</v>
      </c>
      <c r="U77" s="230">
        <f t="shared" si="43"/>
        <v>5000000</v>
      </c>
      <c r="V77" s="230">
        <f t="shared" si="43"/>
        <v>4910000</v>
      </c>
      <c r="W77" s="230">
        <f>SUM(W47:W76)</f>
        <v>0</v>
      </c>
      <c r="X77" s="230">
        <f>SUM(X47:X76)</f>
        <v>3147096</v>
      </c>
      <c r="Y77" s="230">
        <f>SUM(Y47:Y76)</f>
        <v>0</v>
      </c>
      <c r="Z77" s="230">
        <f>SUM(Z47:Z76)</f>
        <v>-28563</v>
      </c>
      <c r="AA77" s="230">
        <f>SUM(AA47:AA76)</f>
        <v>0</v>
      </c>
      <c r="AB77" s="230">
        <f t="shared" si="43"/>
        <v>0</v>
      </c>
      <c r="AC77" s="230">
        <f t="shared" si="43"/>
        <v>20447533</v>
      </c>
      <c r="AD77" s="230">
        <f t="shared" si="43"/>
        <v>0</v>
      </c>
      <c r="AE77" s="230">
        <f t="shared" si="43"/>
        <v>20447533</v>
      </c>
      <c r="AF77" s="230">
        <f t="shared" si="43"/>
        <v>-80000</v>
      </c>
      <c r="AG77" s="230">
        <f t="shared" si="43"/>
        <v>10991660</v>
      </c>
      <c r="AH77" s="230">
        <f t="shared" si="43"/>
        <v>6878142</v>
      </c>
      <c r="AI77" s="230">
        <f t="shared" si="43"/>
        <v>2577731</v>
      </c>
      <c r="AJ77" s="230">
        <f t="shared" si="43"/>
        <v>0</v>
      </c>
      <c r="AK77" s="230">
        <f t="shared" si="43"/>
        <v>0</v>
      </c>
      <c r="AL77" s="230">
        <f t="shared" si="43"/>
        <v>0</v>
      </c>
      <c r="AM77" s="230">
        <f t="shared" si="43"/>
        <v>-50000</v>
      </c>
      <c r="AN77" s="230">
        <f t="shared" si="43"/>
        <v>-30000</v>
      </c>
      <c r="AO77" s="230">
        <f t="shared" si="43"/>
        <v>0</v>
      </c>
      <c r="AP77" s="146"/>
    </row>
    <row r="78" spans="1:42" s="157" customFormat="1">
      <c r="A78" s="557"/>
      <c r="B78" s="301"/>
      <c r="C78" s="301"/>
      <c r="D78" s="301"/>
      <c r="E78" s="299"/>
      <c r="F78" s="230"/>
      <c r="G78" s="230"/>
      <c r="H78" s="230"/>
      <c r="I78" s="230"/>
      <c r="J78" s="230"/>
      <c r="K78" s="230"/>
      <c r="L78" s="230"/>
      <c r="M78" s="230"/>
      <c r="N78" s="230"/>
      <c r="O78" s="230"/>
      <c r="P78" s="230"/>
      <c r="Q78" s="230"/>
      <c r="R78" s="230"/>
      <c r="S78" s="230"/>
      <c r="T78" s="230"/>
      <c r="U78" s="230"/>
      <c r="V78" s="230"/>
      <c r="W78" s="230"/>
      <c r="X78" s="230"/>
      <c r="Y78" s="230"/>
      <c r="Z78" s="230"/>
      <c r="AA78" s="230"/>
      <c r="AB78" s="230"/>
      <c r="AC78" s="230"/>
      <c r="AD78" s="230"/>
      <c r="AE78" s="230"/>
      <c r="AF78" s="230"/>
      <c r="AG78" s="230"/>
      <c r="AH78" s="230"/>
      <c r="AI78" s="230"/>
      <c r="AJ78" s="230"/>
      <c r="AK78" s="230"/>
      <c r="AL78" s="230"/>
      <c r="AM78" s="230"/>
      <c r="AN78" s="230"/>
      <c r="AO78" s="230"/>
      <c r="AP78" s="146"/>
    </row>
    <row r="79" spans="1:42" s="157" customFormat="1">
      <c r="A79" s="557"/>
      <c r="B79" s="301"/>
      <c r="C79" s="301"/>
      <c r="D79" s="301"/>
      <c r="E79" s="299"/>
      <c r="F79" s="230"/>
      <c r="G79" s="230"/>
      <c r="H79" s="230"/>
      <c r="I79" s="230"/>
      <c r="J79" s="230"/>
      <c r="K79" s="230"/>
      <c r="L79" s="230"/>
      <c r="M79" s="230"/>
      <c r="N79" s="230"/>
      <c r="O79" s="230"/>
      <c r="P79" s="230"/>
      <c r="Q79" s="230"/>
      <c r="R79" s="230"/>
      <c r="S79" s="230"/>
      <c r="T79" s="230"/>
      <c r="U79" s="230"/>
      <c r="V79" s="230"/>
      <c r="W79" s="230"/>
      <c r="X79" s="230"/>
      <c r="Y79" s="230"/>
      <c r="Z79" s="230"/>
      <c r="AA79" s="230"/>
      <c r="AB79" s="230"/>
      <c r="AC79" s="230"/>
      <c r="AD79" s="230"/>
      <c r="AE79" s="230"/>
      <c r="AF79" s="230"/>
      <c r="AG79" s="230"/>
      <c r="AH79" s="230"/>
      <c r="AI79" s="230"/>
      <c r="AJ79" s="230"/>
      <c r="AK79" s="230"/>
      <c r="AL79" s="230"/>
      <c r="AM79" s="230"/>
      <c r="AN79" s="230"/>
      <c r="AO79" s="230"/>
      <c r="AP79" s="146"/>
    </row>
    <row r="80" spans="1:42" s="157" customFormat="1">
      <c r="A80" s="281"/>
      <c r="B80" s="225"/>
      <c r="C80" s="225"/>
      <c r="D80" s="225"/>
      <c r="E80" s="299" t="s">
        <v>560</v>
      </c>
      <c r="F80" s="227"/>
      <c r="G80" s="227"/>
      <c r="H80" s="227"/>
      <c r="I80" s="227"/>
      <c r="J80" s="227"/>
      <c r="K80" s="227"/>
      <c r="L80" s="227"/>
      <c r="M80" s="227"/>
      <c r="N80" s="227"/>
      <c r="O80" s="227"/>
      <c r="P80" s="227"/>
      <c r="Q80" s="225"/>
      <c r="R80" s="225"/>
      <c r="S80" s="225"/>
      <c r="T80" s="225"/>
      <c r="U80" s="225"/>
      <c r="V80" s="225"/>
      <c r="W80" s="225"/>
      <c r="X80" s="225"/>
      <c r="Y80" s="225"/>
      <c r="Z80" s="225"/>
      <c r="AA80" s="225"/>
      <c r="AB80" s="225"/>
      <c r="AC80" s="225"/>
      <c r="AD80" s="225"/>
      <c r="AE80" s="225"/>
      <c r="AF80" s="225"/>
      <c r="AG80" s="225"/>
      <c r="AH80" s="225"/>
      <c r="AI80" s="225"/>
      <c r="AJ80" s="225"/>
      <c r="AK80" s="225"/>
      <c r="AL80" s="225"/>
      <c r="AM80" s="225"/>
      <c r="AN80" s="225"/>
      <c r="AO80" s="225"/>
      <c r="AP80" s="146"/>
    </row>
    <row r="81" spans="1:42" s="157" customFormat="1">
      <c r="A81" s="280" t="s">
        <v>870</v>
      </c>
      <c r="B81" s="293" t="s">
        <v>871</v>
      </c>
      <c r="C81" s="225">
        <v>1</v>
      </c>
      <c r="D81" s="225">
        <v>2069</v>
      </c>
      <c r="E81" s="300" t="s">
        <v>903</v>
      </c>
      <c r="F81" s="227">
        <v>190000</v>
      </c>
      <c r="G81" s="227"/>
      <c r="H81" s="227">
        <f t="shared" ref="H81:H88" si="44">F81-G81</f>
        <v>190000</v>
      </c>
      <c r="I81" s="227"/>
      <c r="J81" s="227">
        <v>190000</v>
      </c>
      <c r="K81" s="227">
        <f>F81-I81-J81</f>
        <v>0</v>
      </c>
      <c r="L81" s="227">
        <f t="shared" ref="L81:L88" si="45">J81</f>
        <v>190000</v>
      </c>
      <c r="M81" s="227"/>
      <c r="N81" s="227">
        <f t="shared" ref="N81:N88" si="46">L81-M81</f>
        <v>190000</v>
      </c>
      <c r="O81" s="227">
        <f t="shared" ref="O81:O88" si="47">N81-P81-Q81</f>
        <v>0</v>
      </c>
      <c r="P81" s="227">
        <v>112000</v>
      </c>
      <c r="Q81" s="227">
        <v>78000</v>
      </c>
      <c r="R81" s="227"/>
      <c r="S81" s="227"/>
      <c r="T81" s="227"/>
      <c r="U81" s="227"/>
      <c r="V81" s="227"/>
      <c r="W81" s="227">
        <v>190000</v>
      </c>
      <c r="X81" s="227"/>
      <c r="Y81" s="227"/>
      <c r="Z81" s="227"/>
      <c r="AA81" s="227"/>
      <c r="AB81" s="227"/>
      <c r="AC81" s="227">
        <f>SUM(R81:AB81)</f>
        <v>190000</v>
      </c>
      <c r="AD81" s="227"/>
      <c r="AE81" s="227">
        <f t="shared" ref="AE81:AE88" si="48">AC81+AD81</f>
        <v>190000</v>
      </c>
      <c r="AF81" s="227">
        <f t="shared" ref="AF81:AF88" si="49">N81-AE81</f>
        <v>0</v>
      </c>
      <c r="AG81" s="227">
        <f t="shared" ref="AG81:AG88" si="50">AE81-AH81-AI81</f>
        <v>0</v>
      </c>
      <c r="AH81" s="227">
        <v>112000</v>
      </c>
      <c r="AI81" s="227">
        <v>78000</v>
      </c>
      <c r="AJ81" s="227">
        <f t="shared" ref="AJ81:AJ88" si="51">AD81-AK81-AL81</f>
        <v>0</v>
      </c>
      <c r="AK81" s="227"/>
      <c r="AL81" s="227"/>
      <c r="AM81" s="227">
        <f t="shared" ref="AM81:AM88" si="52">AF81-AN81-AO81</f>
        <v>0</v>
      </c>
      <c r="AN81" s="227"/>
      <c r="AO81" s="227"/>
      <c r="AP81" s="146"/>
    </row>
    <row r="82" spans="1:42" s="157" customFormat="1">
      <c r="A82" s="280" t="s">
        <v>870</v>
      </c>
      <c r="B82" s="293" t="s">
        <v>871</v>
      </c>
      <c r="C82" s="225">
        <f>C81+1</f>
        <v>2</v>
      </c>
      <c r="D82" s="226">
        <v>2070</v>
      </c>
      <c r="E82" s="300" t="s">
        <v>904</v>
      </c>
      <c r="F82" s="227">
        <v>500000</v>
      </c>
      <c r="G82" s="227"/>
      <c r="H82" s="227">
        <f t="shared" si="44"/>
        <v>500000</v>
      </c>
      <c r="I82" s="227"/>
      <c r="J82" s="227">
        <v>320000</v>
      </c>
      <c r="K82" s="227">
        <f>F82-I82-J82</f>
        <v>180000</v>
      </c>
      <c r="L82" s="227">
        <f t="shared" si="45"/>
        <v>320000</v>
      </c>
      <c r="M82" s="227"/>
      <c r="N82" s="227">
        <f t="shared" si="46"/>
        <v>320000</v>
      </c>
      <c r="O82" s="227">
        <f t="shared" si="47"/>
        <v>0</v>
      </c>
      <c r="P82" s="227">
        <v>112000</v>
      </c>
      <c r="Q82" s="227">
        <v>208000</v>
      </c>
      <c r="R82" s="227"/>
      <c r="S82" s="227"/>
      <c r="T82" s="227"/>
      <c r="U82" s="227"/>
      <c r="V82" s="227"/>
      <c r="W82" s="227">
        <v>130000</v>
      </c>
      <c r="X82" s="227"/>
      <c r="Y82" s="227"/>
      <c r="Z82" s="227"/>
      <c r="AA82" s="227"/>
      <c r="AB82" s="227"/>
      <c r="AC82" s="227">
        <f t="shared" ref="AC82:AC88" si="53">SUM(R82:AB82)</f>
        <v>130000</v>
      </c>
      <c r="AD82" s="227"/>
      <c r="AE82" s="227">
        <f t="shared" si="48"/>
        <v>130000</v>
      </c>
      <c r="AF82" s="227">
        <f t="shared" si="49"/>
        <v>190000</v>
      </c>
      <c r="AG82" s="227">
        <f t="shared" si="50"/>
        <v>0</v>
      </c>
      <c r="AH82" s="227">
        <v>78000</v>
      </c>
      <c r="AI82" s="227">
        <v>52000</v>
      </c>
      <c r="AJ82" s="227">
        <f t="shared" si="51"/>
        <v>0</v>
      </c>
      <c r="AK82" s="227"/>
      <c r="AL82" s="227"/>
      <c r="AM82" s="227">
        <f t="shared" si="52"/>
        <v>0</v>
      </c>
      <c r="AN82" s="227">
        <f>112000-78000</f>
        <v>34000</v>
      </c>
      <c r="AO82" s="227">
        <f>208000-52000</f>
        <v>156000</v>
      </c>
      <c r="AP82" s="146"/>
    </row>
    <row r="83" spans="1:42" s="157" customFormat="1">
      <c r="A83" s="280" t="s">
        <v>870</v>
      </c>
      <c r="B83" s="293" t="s">
        <v>871</v>
      </c>
      <c r="C83" s="225">
        <f t="shared" ref="C83:C88" si="54">C82+1</f>
        <v>3</v>
      </c>
      <c r="D83" s="226">
        <v>1930</v>
      </c>
      <c r="E83" s="300" t="s">
        <v>1038</v>
      </c>
      <c r="F83" s="227">
        <v>650000</v>
      </c>
      <c r="G83" s="227">
        <v>950000</v>
      </c>
      <c r="H83" s="227">
        <f t="shared" si="44"/>
        <v>-300000</v>
      </c>
      <c r="I83" s="227">
        <v>400000</v>
      </c>
      <c r="J83" s="227">
        <v>250000</v>
      </c>
      <c r="K83" s="227">
        <f t="shared" ref="K83:K88" si="55">F83-I83-J83</f>
        <v>0</v>
      </c>
      <c r="L83" s="227">
        <f t="shared" si="45"/>
        <v>250000</v>
      </c>
      <c r="M83" s="227">
        <v>550000</v>
      </c>
      <c r="N83" s="227">
        <f t="shared" si="46"/>
        <v>-300000</v>
      </c>
      <c r="O83" s="227">
        <f t="shared" si="47"/>
        <v>0</v>
      </c>
      <c r="P83" s="227">
        <v>-300000</v>
      </c>
      <c r="Q83" s="227"/>
      <c r="R83" s="227"/>
      <c r="S83" s="227"/>
      <c r="T83" s="227"/>
      <c r="U83" s="227"/>
      <c r="V83" s="227"/>
      <c r="W83" s="227"/>
      <c r="X83" s="227"/>
      <c r="Y83" s="227"/>
      <c r="Z83" s="227"/>
      <c r="AA83" s="227"/>
      <c r="AB83" s="227"/>
      <c r="AC83" s="227">
        <f t="shared" si="53"/>
        <v>0</v>
      </c>
      <c r="AD83" s="227"/>
      <c r="AE83" s="227">
        <f t="shared" si="48"/>
        <v>0</v>
      </c>
      <c r="AF83" s="227">
        <f t="shared" si="49"/>
        <v>-300000</v>
      </c>
      <c r="AG83" s="227">
        <f t="shared" si="50"/>
        <v>0</v>
      </c>
      <c r="AH83" s="227"/>
      <c r="AI83" s="225"/>
      <c r="AJ83" s="227">
        <f t="shared" si="51"/>
        <v>0</v>
      </c>
      <c r="AK83" s="227"/>
      <c r="AL83" s="227"/>
      <c r="AM83" s="227">
        <f t="shared" si="52"/>
        <v>0</v>
      </c>
      <c r="AN83" s="227">
        <v>-300000</v>
      </c>
      <c r="AO83" s="227"/>
      <c r="AP83" s="146"/>
    </row>
    <row r="84" spans="1:42" s="157" customFormat="1">
      <c r="A84" s="280" t="s">
        <v>870</v>
      </c>
      <c r="B84" s="293" t="s">
        <v>871</v>
      </c>
      <c r="C84" s="225">
        <f t="shared" si="54"/>
        <v>4</v>
      </c>
      <c r="D84" s="225">
        <v>2071</v>
      </c>
      <c r="E84" s="300" t="s">
        <v>905</v>
      </c>
      <c r="F84" s="227">
        <v>300000</v>
      </c>
      <c r="G84" s="227"/>
      <c r="H84" s="227">
        <f t="shared" si="44"/>
        <v>300000</v>
      </c>
      <c r="I84" s="227"/>
      <c r="J84" s="227">
        <v>300000</v>
      </c>
      <c r="K84" s="227">
        <f t="shared" si="55"/>
        <v>0</v>
      </c>
      <c r="L84" s="227">
        <f t="shared" si="45"/>
        <v>300000</v>
      </c>
      <c r="M84" s="227"/>
      <c r="N84" s="227">
        <f t="shared" si="46"/>
        <v>300000</v>
      </c>
      <c r="O84" s="227">
        <f t="shared" si="47"/>
        <v>0</v>
      </c>
      <c r="P84" s="227"/>
      <c r="Q84" s="227">
        <v>300000</v>
      </c>
      <c r="R84" s="227"/>
      <c r="S84" s="227"/>
      <c r="T84" s="227">
        <v>300000</v>
      </c>
      <c r="U84" s="227"/>
      <c r="V84" s="227"/>
      <c r="W84" s="227"/>
      <c r="X84" s="227"/>
      <c r="Y84" s="227"/>
      <c r="Z84" s="227"/>
      <c r="AA84" s="227"/>
      <c r="AB84" s="227"/>
      <c r="AC84" s="227">
        <f t="shared" si="53"/>
        <v>300000</v>
      </c>
      <c r="AD84" s="227"/>
      <c r="AE84" s="227">
        <f t="shared" si="48"/>
        <v>300000</v>
      </c>
      <c r="AF84" s="227">
        <f t="shared" si="49"/>
        <v>0</v>
      </c>
      <c r="AG84" s="227">
        <f t="shared" si="50"/>
        <v>0</v>
      </c>
      <c r="AH84" s="227"/>
      <c r="AI84" s="227">
        <v>300000</v>
      </c>
      <c r="AJ84" s="227">
        <f t="shared" si="51"/>
        <v>0</v>
      </c>
      <c r="AK84" s="227"/>
      <c r="AL84" s="227"/>
      <c r="AM84" s="227">
        <f t="shared" si="52"/>
        <v>0</v>
      </c>
      <c r="AN84" s="227"/>
      <c r="AO84" s="227"/>
      <c r="AP84" s="146"/>
    </row>
    <row r="85" spans="1:42" s="157" customFormat="1">
      <c r="A85" s="280" t="s">
        <v>870</v>
      </c>
      <c r="B85" s="293" t="s">
        <v>871</v>
      </c>
      <c r="C85" s="225">
        <f t="shared" si="54"/>
        <v>5</v>
      </c>
      <c r="D85" s="225">
        <v>2034</v>
      </c>
      <c r="E85" s="300" t="s">
        <v>1039</v>
      </c>
      <c r="F85" s="227">
        <v>1700000</v>
      </c>
      <c r="G85" s="227">
        <v>1700000</v>
      </c>
      <c r="H85" s="227">
        <f t="shared" si="44"/>
        <v>0</v>
      </c>
      <c r="I85" s="227"/>
      <c r="J85" s="227">
        <v>802900</v>
      </c>
      <c r="K85" s="227">
        <f t="shared" si="55"/>
        <v>897100</v>
      </c>
      <c r="L85" s="227">
        <f t="shared" si="45"/>
        <v>802900</v>
      </c>
      <c r="M85" s="227">
        <v>700000</v>
      </c>
      <c r="N85" s="227">
        <f t="shared" si="46"/>
        <v>102900</v>
      </c>
      <c r="O85" s="227">
        <f t="shared" si="47"/>
        <v>0</v>
      </c>
      <c r="P85" s="227"/>
      <c r="Q85" s="227">
        <v>102900</v>
      </c>
      <c r="R85" s="227"/>
      <c r="S85" s="227"/>
      <c r="T85" s="227"/>
      <c r="U85" s="227"/>
      <c r="V85" s="227"/>
      <c r="W85" s="227">
        <v>102900</v>
      </c>
      <c r="X85" s="227"/>
      <c r="Y85" s="227"/>
      <c r="Z85" s="227"/>
      <c r="AA85" s="227"/>
      <c r="AB85" s="227"/>
      <c r="AC85" s="227">
        <f t="shared" si="53"/>
        <v>102900</v>
      </c>
      <c r="AD85" s="227"/>
      <c r="AE85" s="227">
        <f t="shared" si="48"/>
        <v>102900</v>
      </c>
      <c r="AF85" s="227">
        <f t="shared" si="49"/>
        <v>0</v>
      </c>
      <c r="AG85" s="227">
        <f t="shared" si="50"/>
        <v>0</v>
      </c>
      <c r="AH85" s="227"/>
      <c r="AI85" s="227">
        <v>102900</v>
      </c>
      <c r="AJ85" s="227">
        <f t="shared" si="51"/>
        <v>0</v>
      </c>
      <c r="AK85" s="227"/>
      <c r="AL85" s="227"/>
      <c r="AM85" s="227">
        <f t="shared" si="52"/>
        <v>0</v>
      </c>
      <c r="AN85" s="227"/>
      <c r="AO85" s="227"/>
      <c r="AP85" s="146"/>
    </row>
    <row r="86" spans="1:42" s="157" customFormat="1">
      <c r="A86" s="280" t="s">
        <v>887</v>
      </c>
      <c r="B86" s="293" t="s">
        <v>888</v>
      </c>
      <c r="C86" s="225">
        <f t="shared" si="54"/>
        <v>6</v>
      </c>
      <c r="D86" s="225">
        <v>2033</v>
      </c>
      <c r="E86" s="300" t="s">
        <v>906</v>
      </c>
      <c r="F86" s="227">
        <v>950000</v>
      </c>
      <c r="G86" s="227"/>
      <c r="H86" s="227">
        <f t="shared" si="44"/>
        <v>950000</v>
      </c>
      <c r="I86" s="227"/>
      <c r="J86" s="227">
        <v>500000</v>
      </c>
      <c r="K86" s="227">
        <f t="shared" si="55"/>
        <v>450000</v>
      </c>
      <c r="L86" s="227">
        <f t="shared" si="45"/>
        <v>500000</v>
      </c>
      <c r="M86" s="227">
        <v>950000</v>
      </c>
      <c r="N86" s="227">
        <f t="shared" si="46"/>
        <v>-450000</v>
      </c>
      <c r="O86" s="227">
        <f t="shared" si="47"/>
        <v>0</v>
      </c>
      <c r="P86" s="227">
        <v>-450000</v>
      </c>
      <c r="Q86" s="227"/>
      <c r="R86" s="227"/>
      <c r="S86" s="227"/>
      <c r="T86" s="227"/>
      <c r="U86" s="227"/>
      <c r="V86" s="227"/>
      <c r="W86" s="227"/>
      <c r="X86" s="227"/>
      <c r="Y86" s="227"/>
      <c r="Z86" s="227"/>
      <c r="AA86" s="227"/>
      <c r="AB86" s="227"/>
      <c r="AC86" s="227">
        <f t="shared" si="53"/>
        <v>0</v>
      </c>
      <c r="AD86" s="227"/>
      <c r="AE86" s="227">
        <f t="shared" si="48"/>
        <v>0</v>
      </c>
      <c r="AF86" s="227">
        <f t="shared" si="49"/>
        <v>-450000</v>
      </c>
      <c r="AG86" s="227">
        <f t="shared" si="50"/>
        <v>0</v>
      </c>
      <c r="AH86" s="227"/>
      <c r="AI86" s="225"/>
      <c r="AJ86" s="227">
        <f t="shared" si="51"/>
        <v>0</v>
      </c>
      <c r="AK86" s="227"/>
      <c r="AL86" s="227"/>
      <c r="AM86" s="227">
        <f t="shared" si="52"/>
        <v>0</v>
      </c>
      <c r="AN86" s="227">
        <v>-450000</v>
      </c>
      <c r="AO86" s="227"/>
      <c r="AP86" s="146"/>
    </row>
    <row r="87" spans="1:42" s="157" customFormat="1">
      <c r="A87" s="280" t="s">
        <v>887</v>
      </c>
      <c r="B87" s="293" t="s">
        <v>888</v>
      </c>
      <c r="C87" s="225">
        <f t="shared" si="54"/>
        <v>7</v>
      </c>
      <c r="D87" s="225">
        <v>2034</v>
      </c>
      <c r="E87" s="300" t="s">
        <v>1039</v>
      </c>
      <c r="F87" s="227">
        <v>1700000</v>
      </c>
      <c r="G87" s="227">
        <v>1700000</v>
      </c>
      <c r="H87" s="227">
        <f>F87-G87</f>
        <v>0</v>
      </c>
      <c r="I87" s="227"/>
      <c r="J87" s="227">
        <v>1302900</v>
      </c>
      <c r="K87" s="227">
        <f>F87-I87-J87</f>
        <v>397100</v>
      </c>
      <c r="L87" s="227">
        <f>J87</f>
        <v>1302900</v>
      </c>
      <c r="M87" s="227">
        <v>802900</v>
      </c>
      <c r="N87" s="227">
        <f>L87-M87</f>
        <v>500000</v>
      </c>
      <c r="O87" s="227">
        <f>N87-P87-Q87</f>
        <v>0</v>
      </c>
      <c r="P87" s="227">
        <v>500000</v>
      </c>
      <c r="Q87" s="227"/>
      <c r="R87" s="227"/>
      <c r="S87" s="227"/>
      <c r="T87" s="227"/>
      <c r="U87" s="227"/>
      <c r="V87" s="227"/>
      <c r="W87" s="227"/>
      <c r="X87" s="227">
        <v>500000</v>
      </c>
      <c r="Y87" s="227"/>
      <c r="Z87" s="227"/>
      <c r="AA87" s="227"/>
      <c r="AB87" s="227"/>
      <c r="AC87" s="227">
        <f t="shared" si="53"/>
        <v>500000</v>
      </c>
      <c r="AD87" s="227"/>
      <c r="AE87" s="227">
        <f t="shared" si="48"/>
        <v>500000</v>
      </c>
      <c r="AF87" s="227">
        <f t="shared" si="49"/>
        <v>0</v>
      </c>
      <c r="AG87" s="227">
        <f t="shared" si="50"/>
        <v>0</v>
      </c>
      <c r="AH87" s="227">
        <v>500000</v>
      </c>
      <c r="AI87" s="225"/>
      <c r="AJ87" s="227">
        <f t="shared" si="51"/>
        <v>0</v>
      </c>
      <c r="AK87" s="227"/>
      <c r="AL87" s="227"/>
      <c r="AM87" s="227">
        <f t="shared" si="52"/>
        <v>0</v>
      </c>
      <c r="AN87" s="227"/>
      <c r="AO87" s="227"/>
      <c r="AP87" s="146"/>
    </row>
    <row r="88" spans="1:42" s="553" customFormat="1" ht="31">
      <c r="A88" s="280" t="s">
        <v>872</v>
      </c>
      <c r="B88" s="293" t="s">
        <v>873</v>
      </c>
      <c r="C88" s="226">
        <f t="shared" si="54"/>
        <v>8</v>
      </c>
      <c r="D88" s="226">
        <v>1741</v>
      </c>
      <c r="E88" s="300" t="s">
        <v>1040</v>
      </c>
      <c r="F88" s="227">
        <v>272838</v>
      </c>
      <c r="G88" s="227">
        <v>300000</v>
      </c>
      <c r="H88" s="227">
        <f t="shared" si="44"/>
        <v>-27162</v>
      </c>
      <c r="I88" s="227">
        <v>300000</v>
      </c>
      <c r="J88" s="227">
        <v>-27162</v>
      </c>
      <c r="K88" s="227">
        <f t="shared" si="55"/>
        <v>0</v>
      </c>
      <c r="L88" s="227">
        <f t="shared" si="45"/>
        <v>-27162</v>
      </c>
      <c r="M88" s="227"/>
      <c r="N88" s="227">
        <f t="shared" si="46"/>
        <v>-27162</v>
      </c>
      <c r="O88" s="227">
        <f t="shared" si="47"/>
        <v>0</v>
      </c>
      <c r="P88" s="227"/>
      <c r="Q88" s="227">
        <v>-27162</v>
      </c>
      <c r="R88" s="227"/>
      <c r="S88" s="227"/>
      <c r="T88" s="227"/>
      <c r="U88" s="227"/>
      <c r="V88" s="227"/>
      <c r="W88" s="227"/>
      <c r="X88" s="227"/>
      <c r="Y88" s="227"/>
      <c r="Z88" s="227">
        <v>-27162</v>
      </c>
      <c r="AA88" s="227"/>
      <c r="AB88" s="227"/>
      <c r="AC88" s="227">
        <f t="shared" si="53"/>
        <v>-27162</v>
      </c>
      <c r="AD88" s="227"/>
      <c r="AE88" s="227">
        <f t="shared" si="48"/>
        <v>-27162</v>
      </c>
      <c r="AF88" s="227">
        <f t="shared" si="49"/>
        <v>0</v>
      </c>
      <c r="AG88" s="227">
        <f t="shared" si="50"/>
        <v>0</v>
      </c>
      <c r="AH88" s="227"/>
      <c r="AI88" s="227">
        <v>-27162</v>
      </c>
      <c r="AJ88" s="227">
        <f t="shared" si="51"/>
        <v>0</v>
      </c>
      <c r="AK88" s="227"/>
      <c r="AL88" s="227"/>
      <c r="AM88" s="227">
        <f t="shared" si="52"/>
        <v>0</v>
      </c>
      <c r="AN88" s="227"/>
      <c r="AO88" s="227"/>
      <c r="AP88" s="231"/>
    </row>
    <row r="89" spans="1:42" s="157" customFormat="1">
      <c r="A89" s="557"/>
      <c r="B89" s="301"/>
      <c r="C89" s="301">
        <f>COUNT(C81:C88)</f>
        <v>8</v>
      </c>
      <c r="D89" s="301"/>
      <c r="E89" s="299" t="s">
        <v>907</v>
      </c>
      <c r="F89" s="230">
        <f>SUM(F81:F88)</f>
        <v>6262838</v>
      </c>
      <c r="G89" s="230">
        <f t="shared" ref="G89:AO89" si="56">SUM(G81:G88)</f>
        <v>4650000</v>
      </c>
      <c r="H89" s="230">
        <f t="shared" si="56"/>
        <v>1612838</v>
      </c>
      <c r="I89" s="230">
        <f t="shared" si="56"/>
        <v>700000</v>
      </c>
      <c r="J89" s="230">
        <f t="shared" si="56"/>
        <v>3638638</v>
      </c>
      <c r="K89" s="230">
        <f t="shared" si="56"/>
        <v>1924200</v>
      </c>
      <c r="L89" s="230">
        <f t="shared" si="56"/>
        <v>3638638</v>
      </c>
      <c r="M89" s="230">
        <f t="shared" si="56"/>
        <v>3002900</v>
      </c>
      <c r="N89" s="230">
        <f t="shared" si="56"/>
        <v>635738</v>
      </c>
      <c r="O89" s="230">
        <f t="shared" si="56"/>
        <v>0</v>
      </c>
      <c r="P89" s="230">
        <f t="shared" si="56"/>
        <v>-26000</v>
      </c>
      <c r="Q89" s="230">
        <f t="shared" si="56"/>
        <v>661738</v>
      </c>
      <c r="R89" s="230">
        <f t="shared" si="56"/>
        <v>0</v>
      </c>
      <c r="S89" s="230">
        <f t="shared" si="56"/>
        <v>0</v>
      </c>
      <c r="T89" s="230">
        <f t="shared" si="56"/>
        <v>300000</v>
      </c>
      <c r="U89" s="230">
        <f t="shared" si="56"/>
        <v>0</v>
      </c>
      <c r="V89" s="230">
        <f t="shared" si="56"/>
        <v>0</v>
      </c>
      <c r="W89" s="230">
        <f>SUM(W81:W88)</f>
        <v>422900</v>
      </c>
      <c r="X89" s="230">
        <f>SUM(X81:X88)</f>
        <v>500000</v>
      </c>
      <c r="Y89" s="230">
        <f>SUM(Y81:Y88)</f>
        <v>0</v>
      </c>
      <c r="Z89" s="230">
        <f>SUM(Z81:Z88)</f>
        <v>-27162</v>
      </c>
      <c r="AA89" s="230">
        <f>SUM(AA81:AA88)</f>
        <v>0</v>
      </c>
      <c r="AB89" s="230">
        <f t="shared" si="56"/>
        <v>0</v>
      </c>
      <c r="AC89" s="230">
        <f t="shared" si="56"/>
        <v>1195738</v>
      </c>
      <c r="AD89" s="230">
        <f t="shared" si="56"/>
        <v>0</v>
      </c>
      <c r="AE89" s="230">
        <f t="shared" si="56"/>
        <v>1195738</v>
      </c>
      <c r="AF89" s="230">
        <f t="shared" si="56"/>
        <v>-560000</v>
      </c>
      <c r="AG89" s="230">
        <f t="shared" si="56"/>
        <v>0</v>
      </c>
      <c r="AH89" s="230">
        <f t="shared" si="56"/>
        <v>690000</v>
      </c>
      <c r="AI89" s="230">
        <f t="shared" si="56"/>
        <v>505738</v>
      </c>
      <c r="AJ89" s="230">
        <f t="shared" si="56"/>
        <v>0</v>
      </c>
      <c r="AK89" s="230">
        <f t="shared" si="56"/>
        <v>0</v>
      </c>
      <c r="AL89" s="230">
        <f t="shared" si="56"/>
        <v>0</v>
      </c>
      <c r="AM89" s="230">
        <f t="shared" si="56"/>
        <v>0</v>
      </c>
      <c r="AN89" s="230">
        <f t="shared" si="56"/>
        <v>-716000</v>
      </c>
      <c r="AO89" s="230">
        <f t="shared" si="56"/>
        <v>156000</v>
      </c>
      <c r="AP89" s="146"/>
    </row>
    <row r="90" spans="1:42" s="157" customFormat="1">
      <c r="A90" s="557"/>
      <c r="B90" s="301"/>
      <c r="C90" s="301"/>
      <c r="D90" s="301"/>
      <c r="E90" s="299"/>
      <c r="F90" s="230"/>
      <c r="G90" s="230"/>
      <c r="H90" s="230"/>
      <c r="I90" s="230"/>
      <c r="J90" s="230"/>
      <c r="K90" s="230"/>
      <c r="L90" s="230"/>
      <c r="M90" s="230"/>
      <c r="N90" s="230"/>
      <c r="O90" s="230"/>
      <c r="P90" s="230"/>
      <c r="Q90" s="230"/>
      <c r="R90" s="230"/>
      <c r="S90" s="230"/>
      <c r="T90" s="230"/>
      <c r="U90" s="230"/>
      <c r="V90" s="230"/>
      <c r="W90" s="230"/>
      <c r="X90" s="230"/>
      <c r="Y90" s="230"/>
      <c r="Z90" s="230"/>
      <c r="AA90" s="230"/>
      <c r="AB90" s="230"/>
      <c r="AC90" s="230"/>
      <c r="AD90" s="230"/>
      <c r="AE90" s="230"/>
      <c r="AF90" s="230"/>
      <c r="AG90" s="230"/>
      <c r="AH90" s="230"/>
      <c r="AI90" s="230"/>
      <c r="AJ90" s="230"/>
      <c r="AK90" s="230"/>
      <c r="AL90" s="230"/>
      <c r="AM90" s="230"/>
      <c r="AN90" s="230"/>
      <c r="AO90" s="230"/>
      <c r="AP90" s="146"/>
    </row>
    <row r="91" spans="1:42" s="157" customFormat="1">
      <c r="A91" s="281"/>
      <c r="B91" s="225"/>
      <c r="C91" s="225"/>
      <c r="D91" s="225"/>
      <c r="E91" s="299" t="s">
        <v>1048</v>
      </c>
      <c r="F91" s="227"/>
      <c r="G91" s="227"/>
      <c r="H91" s="227"/>
      <c r="I91" s="227"/>
      <c r="J91" s="227"/>
      <c r="K91" s="227"/>
      <c r="L91" s="227"/>
      <c r="M91" s="227"/>
      <c r="N91" s="227"/>
      <c r="O91" s="227"/>
      <c r="P91" s="227"/>
      <c r="Q91" s="225"/>
      <c r="R91" s="225"/>
      <c r="S91" s="225"/>
      <c r="T91" s="225"/>
      <c r="U91" s="225"/>
      <c r="V91" s="225"/>
      <c r="W91" s="225"/>
      <c r="X91" s="225"/>
      <c r="Y91" s="225"/>
      <c r="Z91" s="225"/>
      <c r="AA91" s="225"/>
      <c r="AB91" s="225"/>
      <c r="AC91" s="225"/>
      <c r="AD91" s="225"/>
      <c r="AE91" s="225"/>
      <c r="AF91" s="225"/>
      <c r="AG91" s="225"/>
      <c r="AH91" s="225"/>
      <c r="AI91" s="225"/>
      <c r="AJ91" s="225"/>
      <c r="AK91" s="225"/>
      <c r="AL91" s="225"/>
      <c r="AM91" s="225"/>
      <c r="AN91" s="225"/>
      <c r="AO91" s="225"/>
      <c r="AP91" s="146"/>
    </row>
    <row r="92" spans="1:42" s="157" customFormat="1">
      <c r="A92" s="280" t="s">
        <v>867</v>
      </c>
      <c r="B92" s="293" t="s">
        <v>868</v>
      </c>
      <c r="C92" s="225">
        <v>1</v>
      </c>
      <c r="D92" s="225">
        <v>2060</v>
      </c>
      <c r="E92" s="300" t="s">
        <v>908</v>
      </c>
      <c r="F92" s="227">
        <v>1465000</v>
      </c>
      <c r="G92" s="227"/>
      <c r="H92" s="227">
        <f>F92-G92</f>
        <v>1465000</v>
      </c>
      <c r="I92" s="227"/>
      <c r="J92" s="227">
        <v>579000</v>
      </c>
      <c r="K92" s="227">
        <f>F92-I92-J92</f>
        <v>886000</v>
      </c>
      <c r="L92" s="227">
        <f>J92</f>
        <v>579000</v>
      </c>
      <c r="M92" s="227"/>
      <c r="N92" s="227">
        <f>L92-M92</f>
        <v>579000</v>
      </c>
      <c r="O92" s="227">
        <f>N92-P92-Q92</f>
        <v>373000</v>
      </c>
      <c r="P92" s="227">
        <v>206000</v>
      </c>
      <c r="Q92" s="227"/>
      <c r="R92" s="227">
        <v>220000</v>
      </c>
      <c r="S92" s="227"/>
      <c r="T92" s="227"/>
      <c r="U92" s="227"/>
      <c r="V92" s="227"/>
      <c r="W92" s="227"/>
      <c r="X92" s="227"/>
      <c r="Y92" s="227">
        <v>300000</v>
      </c>
      <c r="Z92" s="227"/>
      <c r="AA92" s="227"/>
      <c r="AB92" s="227"/>
      <c r="AC92" s="227">
        <f>SUM(R92:AB92)</f>
        <v>520000</v>
      </c>
      <c r="AD92" s="227"/>
      <c r="AE92" s="227">
        <f>AC92+AD92</f>
        <v>520000</v>
      </c>
      <c r="AF92" s="227">
        <f>N92-AE92</f>
        <v>59000</v>
      </c>
      <c r="AG92" s="227">
        <f>AE92-AH92-AI92</f>
        <v>314000</v>
      </c>
      <c r="AH92" s="227">
        <v>206000</v>
      </c>
      <c r="AI92" s="225"/>
      <c r="AJ92" s="227">
        <f>AD92-AK92-AL92</f>
        <v>0</v>
      </c>
      <c r="AK92" s="227"/>
      <c r="AL92" s="227"/>
      <c r="AM92" s="227">
        <f>AF92-AN92-AO92</f>
        <v>59000</v>
      </c>
      <c r="AN92" s="227"/>
      <c r="AO92" s="227"/>
      <c r="AP92" s="146"/>
    </row>
    <row r="93" spans="1:42" s="157" customFormat="1">
      <c r="A93" s="280" t="s">
        <v>872</v>
      </c>
      <c r="B93" s="293" t="s">
        <v>873</v>
      </c>
      <c r="C93" s="225">
        <f>C92+1</f>
        <v>2</v>
      </c>
      <c r="D93" s="225">
        <v>1486</v>
      </c>
      <c r="E93" s="300" t="s">
        <v>80</v>
      </c>
      <c r="F93" s="227">
        <v>5790365</v>
      </c>
      <c r="G93" s="227">
        <v>5700000</v>
      </c>
      <c r="H93" s="227">
        <f>F93-G93</f>
        <v>90365</v>
      </c>
      <c r="I93" s="227">
        <f>3383865+16135</f>
        <v>3400000</v>
      </c>
      <c r="J93" s="227">
        <v>1090365</v>
      </c>
      <c r="K93" s="227">
        <f>F93-I93-J93</f>
        <v>1300000</v>
      </c>
      <c r="L93" s="227">
        <f>J93</f>
        <v>1090365</v>
      </c>
      <c r="M93" s="227">
        <v>1000000</v>
      </c>
      <c r="N93" s="227">
        <f>L93-M93</f>
        <v>90365</v>
      </c>
      <c r="O93" s="227">
        <f>N93-P93-Q93</f>
        <v>0</v>
      </c>
      <c r="P93" s="227"/>
      <c r="Q93" s="227">
        <v>90365</v>
      </c>
      <c r="R93" s="227"/>
      <c r="S93" s="227"/>
      <c r="T93" s="227"/>
      <c r="U93" s="227"/>
      <c r="V93" s="227"/>
      <c r="W93" s="227"/>
      <c r="X93" s="227"/>
      <c r="Y93" s="227"/>
      <c r="Z93" s="227">
        <v>90365</v>
      </c>
      <c r="AA93" s="227"/>
      <c r="AB93" s="227"/>
      <c r="AC93" s="227">
        <f>SUM(R93:AB93)</f>
        <v>90365</v>
      </c>
      <c r="AD93" s="227"/>
      <c r="AE93" s="227">
        <f>AC93+AD93</f>
        <v>90365</v>
      </c>
      <c r="AF93" s="227">
        <f>N93-AE93</f>
        <v>0</v>
      </c>
      <c r="AG93" s="227">
        <f>AE93-AH93-AI93</f>
        <v>0</v>
      </c>
      <c r="AH93" s="227"/>
      <c r="AI93" s="227">
        <v>90365</v>
      </c>
      <c r="AJ93" s="227">
        <f>AD93-AK93-AL93</f>
        <v>0</v>
      </c>
      <c r="AK93" s="227"/>
      <c r="AL93" s="227"/>
      <c r="AM93" s="227">
        <f>AF93-AN93-AO93</f>
        <v>0</v>
      </c>
      <c r="AN93" s="227"/>
      <c r="AO93" s="227"/>
      <c r="AP93" s="146"/>
    </row>
    <row r="94" spans="1:42" s="157" customFormat="1">
      <c r="A94" s="557"/>
      <c r="B94" s="301"/>
      <c r="C94" s="301">
        <f>COUNT(C92:C93)</f>
        <v>2</v>
      </c>
      <c r="D94" s="301"/>
      <c r="E94" s="299" t="s">
        <v>1194</v>
      </c>
      <c r="F94" s="230">
        <f>SUM(F92:F93)</f>
        <v>7255365</v>
      </c>
      <c r="G94" s="230">
        <f t="shared" ref="G94:AO94" si="57">SUM(G92:G93)</f>
        <v>5700000</v>
      </c>
      <c r="H94" s="230">
        <f t="shared" si="57"/>
        <v>1555365</v>
      </c>
      <c r="I94" s="230">
        <f t="shared" si="57"/>
        <v>3400000</v>
      </c>
      <c r="J94" s="230">
        <f t="shared" si="57"/>
        <v>1669365</v>
      </c>
      <c r="K94" s="230">
        <f t="shared" si="57"/>
        <v>2186000</v>
      </c>
      <c r="L94" s="230">
        <f t="shared" si="57"/>
        <v>1669365</v>
      </c>
      <c r="M94" s="230">
        <f t="shared" si="57"/>
        <v>1000000</v>
      </c>
      <c r="N94" s="230">
        <f t="shared" si="57"/>
        <v>669365</v>
      </c>
      <c r="O94" s="230">
        <f t="shared" si="57"/>
        <v>373000</v>
      </c>
      <c r="P94" s="230">
        <f t="shared" si="57"/>
        <v>206000</v>
      </c>
      <c r="Q94" s="230">
        <f t="shared" si="57"/>
        <v>90365</v>
      </c>
      <c r="R94" s="230">
        <f t="shared" si="57"/>
        <v>220000</v>
      </c>
      <c r="S94" s="230">
        <f t="shared" si="57"/>
        <v>0</v>
      </c>
      <c r="T94" s="230">
        <f t="shared" si="57"/>
        <v>0</v>
      </c>
      <c r="U94" s="230">
        <f t="shared" si="57"/>
        <v>0</v>
      </c>
      <c r="V94" s="230">
        <f t="shared" si="57"/>
        <v>0</v>
      </c>
      <c r="W94" s="230">
        <f>SUM(W92:W93)</f>
        <v>0</v>
      </c>
      <c r="X94" s="230">
        <f>SUM(X92:X93)</f>
        <v>0</v>
      </c>
      <c r="Y94" s="230">
        <f>SUM(Y92:Y93)</f>
        <v>300000</v>
      </c>
      <c r="Z94" s="230">
        <f>SUM(Z92:Z93)</f>
        <v>90365</v>
      </c>
      <c r="AA94" s="230">
        <f>SUM(AA92:AA93)</f>
        <v>0</v>
      </c>
      <c r="AB94" s="230">
        <f t="shared" si="57"/>
        <v>0</v>
      </c>
      <c r="AC94" s="230">
        <f t="shared" si="57"/>
        <v>610365</v>
      </c>
      <c r="AD94" s="230">
        <f t="shared" si="57"/>
        <v>0</v>
      </c>
      <c r="AE94" s="230">
        <f t="shared" si="57"/>
        <v>610365</v>
      </c>
      <c r="AF94" s="230">
        <f t="shared" si="57"/>
        <v>59000</v>
      </c>
      <c r="AG94" s="230">
        <f t="shared" si="57"/>
        <v>314000</v>
      </c>
      <c r="AH94" s="230">
        <f t="shared" si="57"/>
        <v>206000</v>
      </c>
      <c r="AI94" s="230">
        <f t="shared" si="57"/>
        <v>90365</v>
      </c>
      <c r="AJ94" s="230">
        <f t="shared" si="57"/>
        <v>0</v>
      </c>
      <c r="AK94" s="230">
        <f t="shared" si="57"/>
        <v>0</v>
      </c>
      <c r="AL94" s="230">
        <f t="shared" si="57"/>
        <v>0</v>
      </c>
      <c r="AM94" s="230">
        <f t="shared" si="57"/>
        <v>59000</v>
      </c>
      <c r="AN94" s="230">
        <f t="shared" si="57"/>
        <v>0</v>
      </c>
      <c r="AO94" s="230">
        <f t="shared" si="57"/>
        <v>0</v>
      </c>
      <c r="AP94" s="146"/>
    </row>
    <row r="95" spans="1:42" s="157" customFormat="1">
      <c r="A95" s="557"/>
      <c r="B95" s="301"/>
      <c r="C95" s="301"/>
      <c r="D95" s="301"/>
      <c r="E95" s="299"/>
      <c r="F95" s="230"/>
      <c r="G95" s="230"/>
      <c r="H95" s="230"/>
      <c r="I95" s="230"/>
      <c r="J95" s="230"/>
      <c r="K95" s="230"/>
      <c r="L95" s="230"/>
      <c r="M95" s="230"/>
      <c r="N95" s="230"/>
      <c r="O95" s="230"/>
      <c r="P95" s="230"/>
      <c r="Q95" s="230"/>
      <c r="R95" s="230"/>
      <c r="S95" s="230"/>
      <c r="T95" s="230"/>
      <c r="U95" s="230"/>
      <c r="V95" s="230"/>
      <c r="W95" s="230"/>
      <c r="X95" s="230"/>
      <c r="Y95" s="230"/>
      <c r="Z95" s="230"/>
      <c r="AA95" s="230"/>
      <c r="AB95" s="230"/>
      <c r="AC95" s="230"/>
      <c r="AD95" s="230"/>
      <c r="AE95" s="230"/>
      <c r="AF95" s="230"/>
      <c r="AG95" s="230"/>
      <c r="AH95" s="230"/>
      <c r="AI95" s="230"/>
      <c r="AJ95" s="230"/>
      <c r="AK95" s="230"/>
      <c r="AL95" s="230"/>
      <c r="AM95" s="230"/>
      <c r="AN95" s="230"/>
      <c r="AO95" s="230"/>
      <c r="AP95" s="146"/>
    </row>
    <row r="96" spans="1:42" s="157" customFormat="1">
      <c r="A96" s="281"/>
      <c r="B96" s="225"/>
      <c r="C96" s="225"/>
      <c r="D96" s="225"/>
      <c r="E96" s="299" t="s">
        <v>362</v>
      </c>
      <c r="F96" s="227"/>
      <c r="G96" s="227"/>
      <c r="H96" s="227"/>
      <c r="I96" s="227"/>
      <c r="J96" s="227"/>
      <c r="K96" s="227"/>
      <c r="L96" s="227"/>
      <c r="M96" s="227"/>
      <c r="N96" s="227"/>
      <c r="O96" s="227"/>
      <c r="P96" s="227"/>
      <c r="Q96" s="225"/>
      <c r="R96" s="225"/>
      <c r="S96" s="225"/>
      <c r="T96" s="225"/>
      <c r="U96" s="225"/>
      <c r="V96" s="225"/>
      <c r="W96" s="225"/>
      <c r="X96" s="225"/>
      <c r="Y96" s="225"/>
      <c r="Z96" s="225"/>
      <c r="AA96" s="225"/>
      <c r="AB96" s="225"/>
      <c r="AC96" s="225"/>
      <c r="AD96" s="225"/>
      <c r="AE96" s="225"/>
      <c r="AF96" s="225"/>
      <c r="AG96" s="225"/>
      <c r="AH96" s="225"/>
      <c r="AI96" s="225"/>
      <c r="AJ96" s="225"/>
      <c r="AK96" s="225"/>
      <c r="AL96" s="225"/>
      <c r="AM96" s="225"/>
      <c r="AN96" s="225"/>
      <c r="AO96" s="225"/>
      <c r="AP96" s="146"/>
    </row>
    <row r="97" spans="1:42" s="157" customFormat="1">
      <c r="A97" s="280" t="s">
        <v>881</v>
      </c>
      <c r="B97" s="293" t="s">
        <v>871</v>
      </c>
      <c r="C97" s="225">
        <v>1</v>
      </c>
      <c r="D97" s="225">
        <v>2066</v>
      </c>
      <c r="E97" s="300" t="s">
        <v>812</v>
      </c>
      <c r="F97" s="227">
        <v>112500</v>
      </c>
      <c r="G97" s="227"/>
      <c r="H97" s="227">
        <f>F97-G97</f>
        <v>112500</v>
      </c>
      <c r="I97" s="227"/>
      <c r="J97" s="227">
        <v>112500</v>
      </c>
      <c r="K97" s="227">
        <f>F97-I97-J97</f>
        <v>0</v>
      </c>
      <c r="L97" s="227">
        <f>J97</f>
        <v>112500</v>
      </c>
      <c r="M97" s="227"/>
      <c r="N97" s="227">
        <f>L97-M97</f>
        <v>112500</v>
      </c>
      <c r="O97" s="227">
        <f>N97-P97-Q97</f>
        <v>0</v>
      </c>
      <c r="P97" s="227">
        <v>56250</v>
      </c>
      <c r="Q97" s="227">
        <v>56250</v>
      </c>
      <c r="R97" s="227"/>
      <c r="S97" s="227"/>
      <c r="T97" s="227">
        <v>112500</v>
      </c>
      <c r="U97" s="227"/>
      <c r="V97" s="227"/>
      <c r="W97" s="227"/>
      <c r="X97" s="227"/>
      <c r="Y97" s="227"/>
      <c r="Z97" s="227"/>
      <c r="AA97" s="227"/>
      <c r="AB97" s="227"/>
      <c r="AC97" s="227">
        <f>SUM(R97:AB97)</f>
        <v>112500</v>
      </c>
      <c r="AD97" s="227"/>
      <c r="AE97" s="227">
        <f>AC97+AD97</f>
        <v>112500</v>
      </c>
      <c r="AF97" s="227">
        <f>N97-AE97</f>
        <v>0</v>
      </c>
      <c r="AG97" s="227">
        <f>AE97-AH97-AI97</f>
        <v>0</v>
      </c>
      <c r="AH97" s="227">
        <v>56250</v>
      </c>
      <c r="AI97" s="227">
        <v>56250</v>
      </c>
      <c r="AJ97" s="227">
        <f>AD97-AK97-AL97</f>
        <v>0</v>
      </c>
      <c r="AK97" s="227"/>
      <c r="AL97" s="227"/>
      <c r="AM97" s="227">
        <f>AF97-AN97-AO97</f>
        <v>0</v>
      </c>
      <c r="AN97" s="227"/>
      <c r="AO97" s="227"/>
      <c r="AP97" s="146"/>
    </row>
    <row r="98" spans="1:42" s="553" customFormat="1">
      <c r="A98" s="280" t="s">
        <v>887</v>
      </c>
      <c r="B98" s="293" t="s">
        <v>888</v>
      </c>
      <c r="C98" s="226">
        <f>C97+1</f>
        <v>2</v>
      </c>
      <c r="D98" s="226">
        <v>2075</v>
      </c>
      <c r="E98" s="300" t="s">
        <v>909</v>
      </c>
      <c r="F98" s="227">
        <v>800000</v>
      </c>
      <c r="G98" s="227"/>
      <c r="H98" s="227">
        <f>F98-G98</f>
        <v>800000</v>
      </c>
      <c r="I98" s="227"/>
      <c r="J98" s="227">
        <v>800000</v>
      </c>
      <c r="K98" s="227">
        <f>F98-I98-J98</f>
        <v>0</v>
      </c>
      <c r="L98" s="227">
        <f>J98</f>
        <v>800000</v>
      </c>
      <c r="M98" s="227"/>
      <c r="N98" s="227">
        <f>L98-M98</f>
        <v>800000</v>
      </c>
      <c r="O98" s="227">
        <f>N98-P98-Q98</f>
        <v>400000</v>
      </c>
      <c r="P98" s="227"/>
      <c r="Q98" s="227">
        <v>400000</v>
      </c>
      <c r="R98" s="227"/>
      <c r="S98" s="227"/>
      <c r="T98" s="227"/>
      <c r="U98" s="227"/>
      <c r="V98" s="227"/>
      <c r="W98" s="227"/>
      <c r="X98" s="227"/>
      <c r="Y98" s="227"/>
      <c r="Z98" s="227">
        <f>132000*1.17/0.4*2</f>
        <v>772200</v>
      </c>
      <c r="AA98" s="227"/>
      <c r="AB98" s="227"/>
      <c r="AC98" s="227">
        <f>SUM(R98:AB98)</f>
        <v>772200</v>
      </c>
      <c r="AD98" s="227"/>
      <c r="AE98" s="227">
        <f>AC98+AD98</f>
        <v>772200</v>
      </c>
      <c r="AF98" s="227">
        <f>N98-AE98</f>
        <v>27800</v>
      </c>
      <c r="AG98" s="227">
        <f>AE98-AH98-AI98</f>
        <v>386100</v>
      </c>
      <c r="AH98" s="227"/>
      <c r="AI98" s="227">
        <v>386100</v>
      </c>
      <c r="AJ98" s="227">
        <f>AD98-AK98-AL98</f>
        <v>0</v>
      </c>
      <c r="AK98" s="227"/>
      <c r="AL98" s="227"/>
      <c r="AM98" s="227">
        <f>AF98-AN98-AO98</f>
        <v>13900</v>
      </c>
      <c r="AN98" s="227"/>
      <c r="AO98" s="227">
        <v>13900</v>
      </c>
      <c r="AP98" s="146"/>
    </row>
    <row r="99" spans="1:42" s="157" customFormat="1">
      <c r="A99" s="557"/>
      <c r="B99" s="301"/>
      <c r="C99" s="301">
        <f>COUNT(C97:C98)</f>
        <v>2</v>
      </c>
      <c r="D99" s="301"/>
      <c r="E99" s="299" t="s">
        <v>1193</v>
      </c>
      <c r="F99" s="230">
        <f t="shared" ref="F99:AO99" si="58">SUM(F97:F98)</f>
        <v>912500</v>
      </c>
      <c r="G99" s="230">
        <f t="shared" si="58"/>
        <v>0</v>
      </c>
      <c r="H99" s="230">
        <f t="shared" si="58"/>
        <v>912500</v>
      </c>
      <c r="I99" s="230">
        <f t="shared" si="58"/>
        <v>0</v>
      </c>
      <c r="J99" s="230">
        <f t="shared" si="58"/>
        <v>912500</v>
      </c>
      <c r="K99" s="230">
        <f t="shared" si="58"/>
        <v>0</v>
      </c>
      <c r="L99" s="230">
        <f t="shared" si="58"/>
        <v>912500</v>
      </c>
      <c r="M99" s="230">
        <f t="shared" si="58"/>
        <v>0</v>
      </c>
      <c r="N99" s="230">
        <f t="shared" si="58"/>
        <v>912500</v>
      </c>
      <c r="O99" s="230">
        <f t="shared" si="58"/>
        <v>400000</v>
      </c>
      <c r="P99" s="230">
        <f t="shared" si="58"/>
        <v>56250</v>
      </c>
      <c r="Q99" s="230">
        <f t="shared" si="58"/>
        <v>456250</v>
      </c>
      <c r="R99" s="230">
        <f t="shared" si="58"/>
        <v>0</v>
      </c>
      <c r="S99" s="230">
        <f t="shared" si="58"/>
        <v>0</v>
      </c>
      <c r="T99" s="230">
        <f t="shared" si="58"/>
        <v>112500</v>
      </c>
      <c r="U99" s="230">
        <f t="shared" si="58"/>
        <v>0</v>
      </c>
      <c r="V99" s="230">
        <f t="shared" si="58"/>
        <v>0</v>
      </c>
      <c r="W99" s="230">
        <f>SUM(W97:W98)</f>
        <v>0</v>
      </c>
      <c r="X99" s="230">
        <f>SUM(X97:X98)</f>
        <v>0</v>
      </c>
      <c r="Y99" s="230">
        <f>SUM(Y97:Y98)</f>
        <v>0</v>
      </c>
      <c r="Z99" s="230">
        <f>SUM(Z97:Z98)</f>
        <v>772200</v>
      </c>
      <c r="AA99" s="230">
        <f>SUM(AA97:AA98)</f>
        <v>0</v>
      </c>
      <c r="AB99" s="230">
        <f t="shared" si="58"/>
        <v>0</v>
      </c>
      <c r="AC99" s="230">
        <f t="shared" si="58"/>
        <v>884700</v>
      </c>
      <c r="AD99" s="230">
        <f t="shared" si="58"/>
        <v>0</v>
      </c>
      <c r="AE99" s="230">
        <f t="shared" si="58"/>
        <v>884700</v>
      </c>
      <c r="AF99" s="230">
        <f t="shared" si="58"/>
        <v>27800</v>
      </c>
      <c r="AG99" s="230">
        <f t="shared" si="58"/>
        <v>386100</v>
      </c>
      <c r="AH99" s="230">
        <f t="shared" si="58"/>
        <v>56250</v>
      </c>
      <c r="AI99" s="230">
        <f t="shared" si="58"/>
        <v>442350</v>
      </c>
      <c r="AJ99" s="230">
        <f t="shared" si="58"/>
        <v>0</v>
      </c>
      <c r="AK99" s="230">
        <f t="shared" si="58"/>
        <v>0</v>
      </c>
      <c r="AL99" s="230">
        <f t="shared" si="58"/>
        <v>0</v>
      </c>
      <c r="AM99" s="230">
        <f t="shared" si="58"/>
        <v>13900</v>
      </c>
      <c r="AN99" s="230">
        <f t="shared" si="58"/>
        <v>0</v>
      </c>
      <c r="AO99" s="230">
        <f t="shared" si="58"/>
        <v>13900</v>
      </c>
      <c r="AP99" s="146"/>
    </row>
    <row r="100" spans="1:42" s="157" customFormat="1">
      <c r="A100" s="557"/>
      <c r="B100" s="301"/>
      <c r="C100" s="301"/>
      <c r="D100" s="301"/>
      <c r="E100" s="299"/>
      <c r="F100" s="230"/>
      <c r="G100" s="230"/>
      <c r="H100" s="230"/>
      <c r="I100" s="230"/>
      <c r="J100" s="230"/>
      <c r="K100" s="230"/>
      <c r="L100" s="230"/>
      <c r="M100" s="230"/>
      <c r="N100" s="230"/>
      <c r="O100" s="230"/>
      <c r="P100" s="230"/>
      <c r="Q100" s="230"/>
      <c r="R100" s="230"/>
      <c r="S100" s="230"/>
      <c r="T100" s="230"/>
      <c r="U100" s="230"/>
      <c r="V100" s="230"/>
      <c r="W100" s="230"/>
      <c r="X100" s="230"/>
      <c r="Y100" s="230"/>
      <c r="Z100" s="230"/>
      <c r="AA100" s="230"/>
      <c r="AB100" s="230"/>
      <c r="AC100" s="230"/>
      <c r="AD100" s="230"/>
      <c r="AE100" s="230"/>
      <c r="AF100" s="230"/>
      <c r="AG100" s="230"/>
      <c r="AH100" s="230"/>
      <c r="AI100" s="230"/>
      <c r="AJ100" s="230"/>
      <c r="AK100" s="230"/>
      <c r="AL100" s="230"/>
      <c r="AM100" s="230"/>
      <c r="AN100" s="230"/>
      <c r="AO100" s="230"/>
      <c r="AP100" s="146"/>
    </row>
    <row r="101" spans="1:42" s="157" customFormat="1">
      <c r="A101" s="281"/>
      <c r="B101" s="225"/>
      <c r="C101" s="225"/>
      <c r="D101" s="225"/>
      <c r="E101" s="299" t="s">
        <v>371</v>
      </c>
      <c r="F101" s="227"/>
      <c r="G101" s="227"/>
      <c r="H101" s="227"/>
      <c r="I101" s="227"/>
      <c r="J101" s="227"/>
      <c r="K101" s="227"/>
      <c r="L101" s="227"/>
      <c r="M101" s="227"/>
      <c r="N101" s="227"/>
      <c r="O101" s="227"/>
      <c r="P101" s="227"/>
      <c r="Q101" s="225"/>
      <c r="R101" s="225"/>
      <c r="S101" s="225"/>
      <c r="T101" s="225"/>
      <c r="U101" s="225"/>
      <c r="V101" s="225"/>
      <c r="W101" s="225"/>
      <c r="X101" s="225"/>
      <c r="Y101" s="225"/>
      <c r="Z101" s="225"/>
      <c r="AA101" s="225"/>
      <c r="AB101" s="225"/>
      <c r="AC101" s="225"/>
      <c r="AD101" s="225"/>
      <c r="AE101" s="225"/>
      <c r="AF101" s="225"/>
      <c r="AG101" s="225"/>
      <c r="AH101" s="225"/>
      <c r="AI101" s="225"/>
      <c r="AJ101" s="225"/>
      <c r="AK101" s="225"/>
      <c r="AL101" s="225"/>
      <c r="AM101" s="225"/>
      <c r="AN101" s="225"/>
      <c r="AO101" s="225"/>
      <c r="AP101" s="146"/>
    </row>
    <row r="102" spans="1:42" s="553" customFormat="1" ht="31">
      <c r="A102" s="711" t="s">
        <v>870</v>
      </c>
      <c r="B102" s="293" t="s">
        <v>871</v>
      </c>
      <c r="C102" s="226">
        <v>1</v>
      </c>
      <c r="D102" s="226">
        <v>1782</v>
      </c>
      <c r="E102" s="300" t="s">
        <v>1041</v>
      </c>
      <c r="F102" s="227">
        <v>75700</v>
      </c>
      <c r="G102" s="227">
        <v>85000</v>
      </c>
      <c r="H102" s="227">
        <f>F102-G102</f>
        <v>-9300</v>
      </c>
      <c r="I102" s="227">
        <v>85000</v>
      </c>
      <c r="J102" s="227">
        <v>-9300</v>
      </c>
      <c r="K102" s="227">
        <f>F102-I102-J102</f>
        <v>0</v>
      </c>
      <c r="L102" s="227">
        <f>J102</f>
        <v>-9300</v>
      </c>
      <c r="M102" s="227"/>
      <c r="N102" s="227">
        <f>L102-M102</f>
        <v>-9300</v>
      </c>
      <c r="O102" s="227">
        <f>N102-P102-Q102</f>
        <v>0</v>
      </c>
      <c r="P102" s="227">
        <v>2012</v>
      </c>
      <c r="Q102" s="227">
        <v>-11312</v>
      </c>
      <c r="R102" s="227"/>
      <c r="S102" s="227"/>
      <c r="T102" s="226">
        <v>-9300</v>
      </c>
      <c r="U102" s="226"/>
      <c r="V102" s="226"/>
      <c r="W102" s="226"/>
      <c r="X102" s="226"/>
      <c r="Y102" s="226"/>
      <c r="Z102" s="226"/>
      <c r="AA102" s="226"/>
      <c r="AB102" s="226"/>
      <c r="AC102" s="227">
        <f>SUM(R102:AB102)</f>
        <v>-9300</v>
      </c>
      <c r="AD102" s="227"/>
      <c r="AE102" s="227">
        <f>AC102+AD102</f>
        <v>-9300</v>
      </c>
      <c r="AF102" s="227">
        <f>N102-AE102</f>
        <v>0</v>
      </c>
      <c r="AG102" s="227">
        <f>AE102-AH102-AI102</f>
        <v>0</v>
      </c>
      <c r="AH102" s="227">
        <v>2012</v>
      </c>
      <c r="AI102" s="227">
        <v>-11312</v>
      </c>
      <c r="AJ102" s="227">
        <f>AD102-AK102-AL102</f>
        <v>0</v>
      </c>
      <c r="AK102" s="227"/>
      <c r="AL102" s="227"/>
      <c r="AM102" s="227">
        <f>AF102-AN102-AO102</f>
        <v>0</v>
      </c>
      <c r="AN102" s="227"/>
      <c r="AO102" s="227"/>
      <c r="AP102" s="231"/>
    </row>
    <row r="103" spans="1:42" s="157" customFormat="1" ht="31">
      <c r="A103" s="581" t="s">
        <v>870</v>
      </c>
      <c r="B103" s="293" t="s">
        <v>871</v>
      </c>
      <c r="C103" s="225">
        <f>C102+1</f>
        <v>2</v>
      </c>
      <c r="D103" s="225">
        <v>1877</v>
      </c>
      <c r="E103" s="300" t="s">
        <v>1042</v>
      </c>
      <c r="F103" s="227">
        <v>75703</v>
      </c>
      <c r="G103" s="227">
        <v>85000</v>
      </c>
      <c r="H103" s="227">
        <f>F103-G103</f>
        <v>-9297</v>
      </c>
      <c r="I103" s="227">
        <v>85000</v>
      </c>
      <c r="J103" s="227">
        <v>-9297</v>
      </c>
      <c r="K103" s="227">
        <f>F103-I103-J103</f>
        <v>0</v>
      </c>
      <c r="L103" s="227">
        <f>J103</f>
        <v>-9297</v>
      </c>
      <c r="M103" s="227"/>
      <c r="N103" s="227">
        <f>L103-M103</f>
        <v>-9297</v>
      </c>
      <c r="O103" s="227">
        <f>N103-P103-Q103</f>
        <v>0</v>
      </c>
      <c r="P103" s="227">
        <v>903</v>
      </c>
      <c r="Q103" s="227">
        <v>-10200</v>
      </c>
      <c r="R103" s="227"/>
      <c r="S103" s="227"/>
      <c r="T103" s="225">
        <v>-9297</v>
      </c>
      <c r="U103" s="225"/>
      <c r="V103" s="225"/>
      <c r="W103" s="225"/>
      <c r="X103" s="225"/>
      <c r="Y103" s="225"/>
      <c r="Z103" s="225"/>
      <c r="AA103" s="225"/>
      <c r="AB103" s="225"/>
      <c r="AC103" s="227">
        <f>SUM(R103:AB103)</f>
        <v>-9297</v>
      </c>
      <c r="AD103" s="227"/>
      <c r="AE103" s="227">
        <f>AC103+AD103</f>
        <v>-9297</v>
      </c>
      <c r="AF103" s="227">
        <f>N103-AE103</f>
        <v>0</v>
      </c>
      <c r="AG103" s="227">
        <f>AE103-AH103-AI103</f>
        <v>0</v>
      </c>
      <c r="AH103" s="227">
        <v>903</v>
      </c>
      <c r="AI103" s="227">
        <v>-10200</v>
      </c>
      <c r="AJ103" s="227">
        <f>AD103-AK103-AL103</f>
        <v>0</v>
      </c>
      <c r="AK103" s="227"/>
      <c r="AL103" s="227"/>
      <c r="AM103" s="227">
        <f>AF103-AN103-AO103</f>
        <v>0</v>
      </c>
      <c r="AN103" s="227"/>
      <c r="AO103" s="227"/>
      <c r="AP103" s="146"/>
    </row>
    <row r="104" spans="1:42" s="157" customFormat="1">
      <c r="A104" s="581" t="s">
        <v>870</v>
      </c>
      <c r="B104" s="293" t="s">
        <v>871</v>
      </c>
      <c r="C104" s="225">
        <f>C103+1</f>
        <v>3</v>
      </c>
      <c r="D104" s="225">
        <v>1783</v>
      </c>
      <c r="E104" s="300" t="s">
        <v>1043</v>
      </c>
      <c r="F104" s="227">
        <v>124437</v>
      </c>
      <c r="G104" s="227">
        <v>127000</v>
      </c>
      <c r="H104" s="227">
        <f>F104-G104</f>
        <v>-2563</v>
      </c>
      <c r="I104" s="227">
        <v>127000</v>
      </c>
      <c r="J104" s="227">
        <v>-2563</v>
      </c>
      <c r="K104" s="227">
        <f>F104-I104-J104</f>
        <v>0</v>
      </c>
      <c r="L104" s="227">
        <f>J104</f>
        <v>-2563</v>
      </c>
      <c r="M104" s="227"/>
      <c r="N104" s="227">
        <f>L104-M104</f>
        <v>-2563</v>
      </c>
      <c r="O104" s="227">
        <f>N104-P104-Q104</f>
        <v>0</v>
      </c>
      <c r="P104" s="227"/>
      <c r="Q104" s="227">
        <v>-2563</v>
      </c>
      <c r="R104" s="227"/>
      <c r="S104" s="227"/>
      <c r="T104" s="225">
        <v>-2563</v>
      </c>
      <c r="U104" s="225"/>
      <c r="V104" s="225"/>
      <c r="W104" s="225"/>
      <c r="X104" s="225"/>
      <c r="Y104" s="225"/>
      <c r="Z104" s="225"/>
      <c r="AA104" s="225"/>
      <c r="AB104" s="225"/>
      <c r="AC104" s="227">
        <f>SUM(R104:AB104)</f>
        <v>-2563</v>
      </c>
      <c r="AD104" s="227"/>
      <c r="AE104" s="227">
        <f>AC104+AD104</f>
        <v>-2563</v>
      </c>
      <c r="AF104" s="227">
        <f>N104-AE104</f>
        <v>0</v>
      </c>
      <c r="AG104" s="227">
        <f>AE104-AH104-AI104</f>
        <v>0</v>
      </c>
      <c r="AH104" s="227"/>
      <c r="AI104" s="227">
        <v>-2563</v>
      </c>
      <c r="AJ104" s="227">
        <f>AD104-AK104-AL104</f>
        <v>0</v>
      </c>
      <c r="AK104" s="227"/>
      <c r="AL104" s="227"/>
      <c r="AM104" s="227">
        <f>AF104-AN104-AO104</f>
        <v>0</v>
      </c>
      <c r="AN104" s="227"/>
      <c r="AO104" s="227"/>
      <c r="AP104" s="146"/>
    </row>
    <row r="105" spans="1:42" s="157" customFormat="1">
      <c r="A105" s="280" t="s">
        <v>887</v>
      </c>
      <c r="B105" s="293" t="s">
        <v>888</v>
      </c>
      <c r="C105" s="225">
        <f>C104+1</f>
        <v>4</v>
      </c>
      <c r="D105" s="225">
        <v>1928</v>
      </c>
      <c r="E105" s="300" t="s">
        <v>1044</v>
      </c>
      <c r="F105" s="227">
        <v>95823</v>
      </c>
      <c r="G105" s="227">
        <v>100000</v>
      </c>
      <c r="H105" s="227">
        <f>F105-G105</f>
        <v>-4177</v>
      </c>
      <c r="I105" s="227">
        <v>100000</v>
      </c>
      <c r="J105" s="227">
        <v>-4177</v>
      </c>
      <c r="K105" s="227">
        <f>F105-I105-J105</f>
        <v>0</v>
      </c>
      <c r="L105" s="227">
        <f>J105</f>
        <v>-4177</v>
      </c>
      <c r="M105" s="227"/>
      <c r="N105" s="227">
        <f>L105-M105</f>
        <v>-4177</v>
      </c>
      <c r="O105" s="227">
        <f>N105-P105-Q105</f>
        <v>0</v>
      </c>
      <c r="P105" s="227"/>
      <c r="Q105" s="227">
        <v>-4177</v>
      </c>
      <c r="R105" s="227"/>
      <c r="S105" s="227"/>
      <c r="T105" s="225"/>
      <c r="U105" s="225"/>
      <c r="V105" s="225"/>
      <c r="W105" s="225"/>
      <c r="X105" s="225">
        <v>-4177</v>
      </c>
      <c r="Y105" s="225"/>
      <c r="Z105" s="225"/>
      <c r="AA105" s="225"/>
      <c r="AB105" s="225"/>
      <c r="AC105" s="227">
        <f>SUM(R105:AB105)</f>
        <v>-4177</v>
      </c>
      <c r="AD105" s="227"/>
      <c r="AE105" s="227">
        <f>AC105+AD105</f>
        <v>-4177</v>
      </c>
      <c r="AF105" s="227">
        <f>N105-AE105</f>
        <v>0</v>
      </c>
      <c r="AG105" s="227">
        <f>AE105-AH105-AI105</f>
        <v>0</v>
      </c>
      <c r="AH105" s="227"/>
      <c r="AI105" s="227">
        <v>-4177</v>
      </c>
      <c r="AJ105" s="227">
        <f>AD105-AK105-AL105</f>
        <v>0</v>
      </c>
      <c r="AK105" s="227"/>
      <c r="AL105" s="227"/>
      <c r="AM105" s="227">
        <f>AF105-AN105-AO105</f>
        <v>0</v>
      </c>
      <c r="AN105" s="227"/>
      <c r="AO105" s="227"/>
      <c r="AP105" s="146"/>
    </row>
    <row r="106" spans="1:42" s="157" customFormat="1">
      <c r="A106" s="557"/>
      <c r="B106" s="301"/>
      <c r="C106" s="301">
        <f>COUNT(C102:C105)</f>
        <v>4</v>
      </c>
      <c r="D106" s="301"/>
      <c r="E106" s="299" t="s">
        <v>1083</v>
      </c>
      <c r="F106" s="230">
        <f>SUM(F102:F105)</f>
        <v>371663</v>
      </c>
      <c r="G106" s="230">
        <f t="shared" ref="G106:AO106" si="59">SUM(G102:G105)</f>
        <v>397000</v>
      </c>
      <c r="H106" s="230">
        <f t="shared" si="59"/>
        <v>-25337</v>
      </c>
      <c r="I106" s="230">
        <f t="shared" si="59"/>
        <v>397000</v>
      </c>
      <c r="J106" s="230">
        <f t="shared" si="59"/>
        <v>-25337</v>
      </c>
      <c r="K106" s="230">
        <f t="shared" si="59"/>
        <v>0</v>
      </c>
      <c r="L106" s="230">
        <f t="shared" si="59"/>
        <v>-25337</v>
      </c>
      <c r="M106" s="230">
        <f t="shared" si="59"/>
        <v>0</v>
      </c>
      <c r="N106" s="230">
        <f t="shared" si="59"/>
        <v>-25337</v>
      </c>
      <c r="O106" s="230">
        <f t="shared" si="59"/>
        <v>0</v>
      </c>
      <c r="P106" s="230">
        <f t="shared" si="59"/>
        <v>2915</v>
      </c>
      <c r="Q106" s="230">
        <f t="shared" si="59"/>
        <v>-28252</v>
      </c>
      <c r="R106" s="230">
        <f t="shared" si="59"/>
        <v>0</v>
      </c>
      <c r="S106" s="230">
        <f t="shared" si="59"/>
        <v>0</v>
      </c>
      <c r="T106" s="230">
        <f t="shared" si="59"/>
        <v>-21160</v>
      </c>
      <c r="U106" s="230">
        <f t="shared" si="59"/>
        <v>0</v>
      </c>
      <c r="V106" s="230">
        <f t="shared" si="59"/>
        <v>0</v>
      </c>
      <c r="W106" s="230">
        <f>SUM(W102:W105)</f>
        <v>0</v>
      </c>
      <c r="X106" s="230">
        <f>SUM(X102:X105)</f>
        <v>-4177</v>
      </c>
      <c r="Y106" s="230">
        <f>SUM(Y102:Y105)</f>
        <v>0</v>
      </c>
      <c r="Z106" s="230">
        <f>SUM(Z102:Z105)</f>
        <v>0</v>
      </c>
      <c r="AA106" s="230">
        <f>SUM(AA102:AA105)</f>
        <v>0</v>
      </c>
      <c r="AB106" s="230">
        <f t="shared" si="59"/>
        <v>0</v>
      </c>
      <c r="AC106" s="230">
        <f t="shared" si="59"/>
        <v>-25337</v>
      </c>
      <c r="AD106" s="230">
        <f t="shared" si="59"/>
        <v>0</v>
      </c>
      <c r="AE106" s="230">
        <f t="shared" si="59"/>
        <v>-25337</v>
      </c>
      <c r="AF106" s="230">
        <f t="shared" si="59"/>
        <v>0</v>
      </c>
      <c r="AG106" s="230">
        <f t="shared" si="59"/>
        <v>0</v>
      </c>
      <c r="AH106" s="230">
        <f t="shared" si="59"/>
        <v>2915</v>
      </c>
      <c r="AI106" s="230">
        <f t="shared" si="59"/>
        <v>-28252</v>
      </c>
      <c r="AJ106" s="230">
        <f t="shared" si="59"/>
        <v>0</v>
      </c>
      <c r="AK106" s="230">
        <f t="shared" si="59"/>
        <v>0</v>
      </c>
      <c r="AL106" s="230">
        <f t="shared" si="59"/>
        <v>0</v>
      </c>
      <c r="AM106" s="230">
        <f t="shared" si="59"/>
        <v>0</v>
      </c>
      <c r="AN106" s="230">
        <f t="shared" si="59"/>
        <v>0</v>
      </c>
      <c r="AO106" s="230">
        <f t="shared" si="59"/>
        <v>0</v>
      </c>
      <c r="AP106" s="146"/>
    </row>
    <row r="107" spans="1:42" s="157" customFormat="1">
      <c r="A107" s="557"/>
      <c r="B107" s="301"/>
      <c r="C107" s="301"/>
      <c r="D107" s="301"/>
      <c r="E107" s="299"/>
      <c r="F107" s="230"/>
      <c r="G107" s="230"/>
      <c r="H107" s="230"/>
      <c r="I107" s="230"/>
      <c r="J107" s="230"/>
      <c r="K107" s="230"/>
      <c r="L107" s="230"/>
      <c r="M107" s="230"/>
      <c r="N107" s="230"/>
      <c r="O107" s="230"/>
      <c r="P107" s="230"/>
      <c r="Q107" s="230"/>
      <c r="R107" s="230"/>
      <c r="S107" s="230"/>
      <c r="T107" s="230"/>
      <c r="U107" s="230"/>
      <c r="V107" s="230"/>
      <c r="W107" s="230"/>
      <c r="X107" s="230"/>
      <c r="Y107" s="230"/>
      <c r="Z107" s="230"/>
      <c r="AA107" s="230"/>
      <c r="AB107" s="230"/>
      <c r="AC107" s="230"/>
      <c r="AD107" s="230"/>
      <c r="AE107" s="230"/>
      <c r="AF107" s="230"/>
      <c r="AG107" s="230"/>
      <c r="AH107" s="230"/>
      <c r="AI107" s="230"/>
      <c r="AJ107" s="230"/>
      <c r="AK107" s="230"/>
      <c r="AL107" s="230"/>
      <c r="AM107" s="230"/>
      <c r="AN107" s="230"/>
      <c r="AO107" s="230"/>
      <c r="AP107" s="146"/>
    </row>
    <row r="108" spans="1:42" s="157" customFormat="1">
      <c r="A108" s="281"/>
      <c r="B108" s="225"/>
      <c r="C108" s="225"/>
      <c r="D108" s="225"/>
      <c r="E108" s="299" t="s">
        <v>156</v>
      </c>
      <c r="F108" s="227"/>
      <c r="G108" s="227"/>
      <c r="H108" s="227"/>
      <c r="I108" s="227"/>
      <c r="J108" s="227"/>
      <c r="K108" s="227"/>
      <c r="L108" s="227"/>
      <c r="M108" s="227"/>
      <c r="N108" s="227"/>
      <c r="O108" s="227"/>
      <c r="P108" s="227"/>
      <c r="Q108" s="225"/>
      <c r="R108" s="225"/>
      <c r="S108" s="225"/>
      <c r="T108" s="225"/>
      <c r="U108" s="225"/>
      <c r="V108" s="225"/>
      <c r="W108" s="225"/>
      <c r="X108" s="225"/>
      <c r="Y108" s="225"/>
      <c r="Z108" s="225"/>
      <c r="AA108" s="225"/>
      <c r="AB108" s="225"/>
      <c r="AC108" s="225"/>
      <c r="AD108" s="225"/>
      <c r="AE108" s="225"/>
      <c r="AF108" s="225"/>
      <c r="AG108" s="225"/>
      <c r="AH108" s="225"/>
      <c r="AI108" s="225"/>
      <c r="AJ108" s="225"/>
      <c r="AK108" s="225"/>
      <c r="AL108" s="225"/>
      <c r="AM108" s="225"/>
      <c r="AN108" s="225"/>
      <c r="AO108" s="225"/>
      <c r="AP108" s="146"/>
    </row>
    <row r="109" spans="1:42" s="157" customFormat="1">
      <c r="A109" s="581" t="s">
        <v>864</v>
      </c>
      <c r="B109" s="293" t="s">
        <v>865</v>
      </c>
      <c r="C109" s="225">
        <v>1</v>
      </c>
      <c r="D109" s="225">
        <v>2057</v>
      </c>
      <c r="E109" s="300" t="s">
        <v>910</v>
      </c>
      <c r="F109" s="227">
        <v>1500000</v>
      </c>
      <c r="G109" s="227"/>
      <c r="H109" s="227">
        <f>F109-G109</f>
        <v>1500000</v>
      </c>
      <c r="I109" s="227"/>
      <c r="J109" s="227">
        <v>1500000</v>
      </c>
      <c r="K109" s="227">
        <f>F109-I109-J109</f>
        <v>0</v>
      </c>
      <c r="L109" s="227">
        <f>J109</f>
        <v>1500000</v>
      </c>
      <c r="M109" s="227"/>
      <c r="N109" s="227">
        <f>L109-M109</f>
        <v>1500000</v>
      </c>
      <c r="O109" s="227">
        <f>N109-P109-Q109</f>
        <v>1500000</v>
      </c>
      <c r="P109" s="227"/>
      <c r="Q109" s="227"/>
      <c r="R109" s="227"/>
      <c r="S109" s="227"/>
      <c r="T109" s="227"/>
      <c r="U109" s="227"/>
      <c r="V109" s="227"/>
      <c r="W109" s="227"/>
      <c r="X109" s="227"/>
      <c r="Y109" s="227"/>
      <c r="Z109" s="227"/>
      <c r="AA109" s="227"/>
      <c r="AB109" s="227"/>
      <c r="AC109" s="227">
        <f>SUM(R109:AB109)</f>
        <v>0</v>
      </c>
      <c r="AD109" s="227"/>
      <c r="AE109" s="227">
        <f>AC109+AD109</f>
        <v>0</v>
      </c>
      <c r="AF109" s="227">
        <f>N109-AE109</f>
        <v>1500000</v>
      </c>
      <c r="AG109" s="227">
        <f>AE109-AH109-AI109</f>
        <v>0</v>
      </c>
      <c r="AH109" s="227"/>
      <c r="AI109" s="225"/>
      <c r="AJ109" s="227">
        <f>AD109-AK109-AL109</f>
        <v>0</v>
      </c>
      <c r="AK109" s="227"/>
      <c r="AL109" s="227"/>
      <c r="AM109" s="227">
        <f>AF109-AN109-AO109</f>
        <v>1500000</v>
      </c>
      <c r="AN109" s="227"/>
      <c r="AO109" s="227"/>
      <c r="AP109" s="146"/>
    </row>
    <row r="110" spans="1:42" s="157" customFormat="1">
      <c r="A110" s="557"/>
      <c r="B110" s="301"/>
      <c r="C110" s="301">
        <f>COUNT(C109:C109)</f>
        <v>1</v>
      </c>
      <c r="D110" s="301"/>
      <c r="E110" s="299" t="s">
        <v>992</v>
      </c>
      <c r="F110" s="230">
        <f t="shared" ref="F110:AO110" si="60">SUM(F109:F109)</f>
        <v>1500000</v>
      </c>
      <c r="G110" s="230">
        <f t="shared" si="60"/>
        <v>0</v>
      </c>
      <c r="H110" s="230">
        <f t="shared" si="60"/>
        <v>1500000</v>
      </c>
      <c r="I110" s="230">
        <f t="shared" si="60"/>
        <v>0</v>
      </c>
      <c r="J110" s="230">
        <f t="shared" si="60"/>
        <v>1500000</v>
      </c>
      <c r="K110" s="230">
        <f t="shared" si="60"/>
        <v>0</v>
      </c>
      <c r="L110" s="230">
        <f t="shared" si="60"/>
        <v>1500000</v>
      </c>
      <c r="M110" s="230">
        <f t="shared" si="60"/>
        <v>0</v>
      </c>
      <c r="N110" s="230">
        <f t="shared" si="60"/>
        <v>1500000</v>
      </c>
      <c r="O110" s="230">
        <f t="shared" si="60"/>
        <v>1500000</v>
      </c>
      <c r="P110" s="230">
        <f t="shared" si="60"/>
        <v>0</v>
      </c>
      <c r="Q110" s="230">
        <f t="shared" si="60"/>
        <v>0</v>
      </c>
      <c r="R110" s="230">
        <f t="shared" si="60"/>
        <v>0</v>
      </c>
      <c r="S110" s="230">
        <f t="shared" si="60"/>
        <v>0</v>
      </c>
      <c r="T110" s="230">
        <f t="shared" si="60"/>
        <v>0</v>
      </c>
      <c r="U110" s="230">
        <f t="shared" si="60"/>
        <v>0</v>
      </c>
      <c r="V110" s="230">
        <f t="shared" si="60"/>
        <v>0</v>
      </c>
      <c r="W110" s="230">
        <f>SUM(W109:W109)</f>
        <v>0</v>
      </c>
      <c r="X110" s="230">
        <f>SUM(X109:X109)</f>
        <v>0</v>
      </c>
      <c r="Y110" s="230">
        <f>SUM(Y109:Y109)</f>
        <v>0</v>
      </c>
      <c r="Z110" s="230">
        <f>SUM(Z109:Z109)</f>
        <v>0</v>
      </c>
      <c r="AA110" s="230">
        <f>SUM(AA109:AA109)</f>
        <v>0</v>
      </c>
      <c r="AB110" s="230">
        <f t="shared" si="60"/>
        <v>0</v>
      </c>
      <c r="AC110" s="230">
        <f t="shared" si="60"/>
        <v>0</v>
      </c>
      <c r="AD110" s="230">
        <f t="shared" si="60"/>
        <v>0</v>
      </c>
      <c r="AE110" s="230">
        <f t="shared" si="60"/>
        <v>0</v>
      </c>
      <c r="AF110" s="230">
        <f t="shared" si="60"/>
        <v>1500000</v>
      </c>
      <c r="AG110" s="230">
        <f t="shared" si="60"/>
        <v>0</v>
      </c>
      <c r="AH110" s="230">
        <f t="shared" si="60"/>
        <v>0</v>
      </c>
      <c r="AI110" s="230">
        <f t="shared" si="60"/>
        <v>0</v>
      </c>
      <c r="AJ110" s="230">
        <f t="shared" si="60"/>
        <v>0</v>
      </c>
      <c r="AK110" s="230">
        <f t="shared" si="60"/>
        <v>0</v>
      </c>
      <c r="AL110" s="230">
        <f t="shared" si="60"/>
        <v>0</v>
      </c>
      <c r="AM110" s="230">
        <f t="shared" si="60"/>
        <v>1500000</v>
      </c>
      <c r="AN110" s="230">
        <f t="shared" si="60"/>
        <v>0</v>
      </c>
      <c r="AO110" s="230">
        <f t="shared" si="60"/>
        <v>0</v>
      </c>
      <c r="AP110" s="146"/>
    </row>
    <row r="111" spans="1:42" s="157" customFormat="1">
      <c r="A111" s="557"/>
      <c r="B111" s="301"/>
      <c r="C111" s="301"/>
      <c r="D111" s="301"/>
      <c r="E111" s="299"/>
      <c r="F111" s="230"/>
      <c r="G111" s="230"/>
      <c r="H111" s="230"/>
      <c r="I111" s="230"/>
      <c r="J111" s="230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W111" s="230"/>
      <c r="X111" s="230"/>
      <c r="Y111" s="230"/>
      <c r="Z111" s="230"/>
      <c r="AA111" s="230"/>
      <c r="AB111" s="230"/>
      <c r="AC111" s="230"/>
      <c r="AD111" s="230"/>
      <c r="AE111" s="230"/>
      <c r="AF111" s="230"/>
      <c r="AG111" s="230"/>
      <c r="AH111" s="230"/>
      <c r="AI111" s="230"/>
      <c r="AJ111" s="230"/>
      <c r="AK111" s="230"/>
      <c r="AL111" s="230"/>
      <c r="AM111" s="230"/>
      <c r="AN111" s="230"/>
      <c r="AO111" s="230"/>
      <c r="AP111" s="146"/>
    </row>
    <row r="112" spans="1:42" s="157" customFormat="1">
      <c r="A112" s="281"/>
      <c r="B112" s="225"/>
      <c r="C112" s="225"/>
      <c r="D112" s="225"/>
      <c r="E112" s="299" t="s">
        <v>1093</v>
      </c>
      <c r="F112" s="227"/>
      <c r="G112" s="227"/>
      <c r="H112" s="227"/>
      <c r="I112" s="227"/>
      <c r="J112" s="227"/>
      <c r="K112" s="227"/>
      <c r="L112" s="227"/>
      <c r="M112" s="227"/>
      <c r="N112" s="227"/>
      <c r="O112" s="227"/>
      <c r="P112" s="227"/>
      <c r="Q112" s="225"/>
      <c r="R112" s="225"/>
      <c r="S112" s="225"/>
      <c r="T112" s="225"/>
      <c r="U112" s="225"/>
      <c r="V112" s="225"/>
      <c r="W112" s="225"/>
      <c r="X112" s="225"/>
      <c r="Y112" s="225"/>
      <c r="Z112" s="225"/>
      <c r="AA112" s="225"/>
      <c r="AB112" s="225"/>
      <c r="AC112" s="225"/>
      <c r="AD112" s="225"/>
      <c r="AE112" s="225"/>
      <c r="AF112" s="225"/>
      <c r="AG112" s="225"/>
      <c r="AH112" s="225"/>
      <c r="AI112" s="225"/>
      <c r="AJ112" s="225"/>
      <c r="AK112" s="225"/>
      <c r="AL112" s="225"/>
      <c r="AM112" s="225"/>
      <c r="AN112" s="225"/>
      <c r="AO112" s="225"/>
      <c r="AP112" s="146"/>
    </row>
    <row r="113" spans="1:42" s="157" customFormat="1">
      <c r="A113" s="581" t="s">
        <v>870</v>
      </c>
      <c r="B113" s="293" t="s">
        <v>871</v>
      </c>
      <c r="C113" s="225">
        <v>1</v>
      </c>
      <c r="D113" s="225">
        <v>1993</v>
      </c>
      <c r="E113" s="300" t="s">
        <v>342</v>
      </c>
      <c r="F113" s="227">
        <v>6000000</v>
      </c>
      <c r="G113" s="227">
        <v>500000</v>
      </c>
      <c r="H113" s="227">
        <f>F113-G113</f>
        <v>5500000</v>
      </c>
      <c r="I113" s="227">
        <v>50000</v>
      </c>
      <c r="J113" s="227">
        <v>2000000</v>
      </c>
      <c r="K113" s="227">
        <f>F113-I113-J113</f>
        <v>3950000</v>
      </c>
      <c r="L113" s="227">
        <f>J113</f>
        <v>2000000</v>
      </c>
      <c r="M113" s="227"/>
      <c r="N113" s="227">
        <f>L113-M113</f>
        <v>2000000</v>
      </c>
      <c r="O113" s="227">
        <f>N113-P113-Q113</f>
        <v>2000000</v>
      </c>
      <c r="P113" s="227"/>
      <c r="Q113" s="227"/>
      <c r="R113" s="227"/>
      <c r="S113" s="227"/>
      <c r="T113" s="227"/>
      <c r="U113" s="227"/>
      <c r="V113" s="227"/>
      <c r="W113" s="227"/>
      <c r="X113" s="227"/>
      <c r="Y113" s="227"/>
      <c r="Z113" s="227"/>
      <c r="AA113" s="227"/>
      <c r="AB113" s="227"/>
      <c r="AC113" s="227">
        <f>SUM(R113:AB113)</f>
        <v>0</v>
      </c>
      <c r="AD113" s="227"/>
      <c r="AE113" s="227">
        <f>AC113+AD113</f>
        <v>0</v>
      </c>
      <c r="AF113" s="227">
        <f>N113-AE113</f>
        <v>2000000</v>
      </c>
      <c r="AG113" s="227">
        <f>AE113-AH113-AI113</f>
        <v>0</v>
      </c>
      <c r="AH113" s="227"/>
      <c r="AI113" s="225"/>
      <c r="AJ113" s="227">
        <f>AD113-AK113-AL113</f>
        <v>0</v>
      </c>
      <c r="AK113" s="227"/>
      <c r="AL113" s="227"/>
      <c r="AM113" s="227">
        <f>AF113-AN113-AO113</f>
        <v>2000000</v>
      </c>
      <c r="AN113" s="227"/>
      <c r="AO113" s="227"/>
      <c r="AP113" s="146"/>
    </row>
    <row r="114" spans="1:42" s="553" customFormat="1">
      <c r="A114" s="711" t="s">
        <v>870</v>
      </c>
      <c r="B114" s="293" t="s">
        <v>871</v>
      </c>
      <c r="C114" s="226">
        <f>C113+1</f>
        <v>2</v>
      </c>
      <c r="D114" s="226">
        <v>2072</v>
      </c>
      <c r="E114" s="300" t="s">
        <v>911</v>
      </c>
      <c r="F114" s="227">
        <v>100000</v>
      </c>
      <c r="G114" s="227"/>
      <c r="H114" s="227">
        <f>F114-G114</f>
        <v>100000</v>
      </c>
      <c r="I114" s="227"/>
      <c r="J114" s="227">
        <v>100000</v>
      </c>
      <c r="K114" s="227">
        <f>F114-I114-J114</f>
        <v>0</v>
      </c>
      <c r="L114" s="227">
        <f>J114</f>
        <v>100000</v>
      </c>
      <c r="M114" s="227"/>
      <c r="N114" s="227">
        <f>L114-M114</f>
        <v>100000</v>
      </c>
      <c r="O114" s="227">
        <f>N114-P114-Q114</f>
        <v>100000</v>
      </c>
      <c r="P114" s="227"/>
      <c r="Q114" s="227"/>
      <c r="R114" s="227"/>
      <c r="S114" s="227"/>
      <c r="T114" s="227"/>
      <c r="U114" s="227"/>
      <c r="V114" s="227"/>
      <c r="W114" s="227"/>
      <c r="X114" s="227"/>
      <c r="Y114" s="227">
        <v>100000</v>
      </c>
      <c r="Z114" s="227"/>
      <c r="AA114" s="227"/>
      <c r="AB114" s="227"/>
      <c r="AC114" s="227">
        <f>SUM(R114:AB114)</f>
        <v>100000</v>
      </c>
      <c r="AD114" s="227"/>
      <c r="AE114" s="227">
        <f>AC114+AD114</f>
        <v>100000</v>
      </c>
      <c r="AF114" s="227">
        <f>N114-AE114</f>
        <v>0</v>
      </c>
      <c r="AG114" s="227">
        <f>AE114-AH114-AI114</f>
        <v>100000</v>
      </c>
      <c r="AH114" s="227"/>
      <c r="AI114" s="226"/>
      <c r="AJ114" s="227">
        <f>AD114-AK114-AL114</f>
        <v>0</v>
      </c>
      <c r="AK114" s="227"/>
      <c r="AL114" s="227"/>
      <c r="AM114" s="227">
        <f>AF114-AN114-AO114</f>
        <v>0</v>
      </c>
      <c r="AN114" s="227"/>
      <c r="AO114" s="227"/>
      <c r="AP114" s="231"/>
    </row>
    <row r="115" spans="1:42" s="157" customFormat="1">
      <c r="A115" s="557"/>
      <c r="B115" s="301"/>
      <c r="C115" s="301">
        <f>COUNT(C113:C114)</f>
        <v>2</v>
      </c>
      <c r="D115" s="301"/>
      <c r="E115" s="299" t="s">
        <v>1088</v>
      </c>
      <c r="F115" s="230">
        <f>SUM(F113:F114)</f>
        <v>6100000</v>
      </c>
      <c r="G115" s="230">
        <f t="shared" ref="G115:AO115" si="61">SUM(G113:G114)</f>
        <v>500000</v>
      </c>
      <c r="H115" s="230">
        <f t="shared" si="61"/>
        <v>5600000</v>
      </c>
      <c r="I115" s="230">
        <f t="shared" si="61"/>
        <v>50000</v>
      </c>
      <c r="J115" s="230">
        <f t="shared" si="61"/>
        <v>2100000</v>
      </c>
      <c r="K115" s="230">
        <f t="shared" si="61"/>
        <v>3950000</v>
      </c>
      <c r="L115" s="230">
        <f t="shared" si="61"/>
        <v>2100000</v>
      </c>
      <c r="M115" s="230">
        <f t="shared" si="61"/>
        <v>0</v>
      </c>
      <c r="N115" s="230">
        <f t="shared" si="61"/>
        <v>2100000</v>
      </c>
      <c r="O115" s="230">
        <f t="shared" si="61"/>
        <v>2100000</v>
      </c>
      <c r="P115" s="230">
        <f t="shared" si="61"/>
        <v>0</v>
      </c>
      <c r="Q115" s="230">
        <f t="shared" si="61"/>
        <v>0</v>
      </c>
      <c r="R115" s="230">
        <f t="shared" si="61"/>
        <v>0</v>
      </c>
      <c r="S115" s="230">
        <f t="shared" si="61"/>
        <v>0</v>
      </c>
      <c r="T115" s="230">
        <f t="shared" si="61"/>
        <v>0</v>
      </c>
      <c r="U115" s="230">
        <f t="shared" si="61"/>
        <v>0</v>
      </c>
      <c r="V115" s="230">
        <f t="shared" si="61"/>
        <v>0</v>
      </c>
      <c r="W115" s="230">
        <f>SUM(W113:W114)</f>
        <v>0</v>
      </c>
      <c r="X115" s="230">
        <f>SUM(X113:X114)</f>
        <v>0</v>
      </c>
      <c r="Y115" s="230">
        <f>SUM(Y113:Y114)</f>
        <v>100000</v>
      </c>
      <c r="Z115" s="230">
        <f>SUM(Z113:Z114)</f>
        <v>0</v>
      </c>
      <c r="AA115" s="230">
        <f>SUM(AA113:AA114)</f>
        <v>0</v>
      </c>
      <c r="AB115" s="230">
        <f t="shared" si="61"/>
        <v>0</v>
      </c>
      <c r="AC115" s="230">
        <f t="shared" si="61"/>
        <v>100000</v>
      </c>
      <c r="AD115" s="230">
        <f t="shared" si="61"/>
        <v>0</v>
      </c>
      <c r="AE115" s="230">
        <f t="shared" si="61"/>
        <v>100000</v>
      </c>
      <c r="AF115" s="230">
        <f t="shared" si="61"/>
        <v>2000000</v>
      </c>
      <c r="AG115" s="230">
        <f t="shared" si="61"/>
        <v>100000</v>
      </c>
      <c r="AH115" s="230">
        <f t="shared" si="61"/>
        <v>0</v>
      </c>
      <c r="AI115" s="230">
        <f t="shared" si="61"/>
        <v>0</v>
      </c>
      <c r="AJ115" s="230">
        <f t="shared" si="61"/>
        <v>0</v>
      </c>
      <c r="AK115" s="230">
        <f t="shared" si="61"/>
        <v>0</v>
      </c>
      <c r="AL115" s="230">
        <f t="shared" si="61"/>
        <v>0</v>
      </c>
      <c r="AM115" s="230">
        <f t="shared" si="61"/>
        <v>2000000</v>
      </c>
      <c r="AN115" s="230">
        <f t="shared" si="61"/>
        <v>0</v>
      </c>
      <c r="AO115" s="230">
        <f t="shared" si="61"/>
        <v>0</v>
      </c>
      <c r="AP115" s="146"/>
    </row>
    <row r="116" spans="1:42" s="157" customFormat="1">
      <c r="A116" s="557"/>
      <c r="B116" s="301"/>
      <c r="C116" s="301"/>
      <c r="D116" s="301"/>
      <c r="E116" s="230"/>
      <c r="F116" s="230"/>
      <c r="G116" s="230"/>
      <c r="H116" s="230"/>
      <c r="I116" s="230"/>
      <c r="J116" s="230"/>
      <c r="K116" s="230"/>
      <c r="L116" s="230"/>
      <c r="M116" s="230"/>
      <c r="N116" s="230"/>
      <c r="O116" s="230"/>
      <c r="P116" s="230"/>
      <c r="Q116" s="230"/>
      <c r="R116" s="230"/>
      <c r="S116" s="230"/>
      <c r="T116" s="230"/>
      <c r="U116" s="230"/>
      <c r="V116" s="230"/>
      <c r="W116" s="230"/>
      <c r="X116" s="230"/>
      <c r="Y116" s="230"/>
      <c r="Z116" s="230"/>
      <c r="AA116" s="230"/>
      <c r="AB116" s="230"/>
      <c r="AC116" s="230"/>
      <c r="AD116" s="230"/>
      <c r="AE116" s="230"/>
      <c r="AF116" s="230"/>
      <c r="AG116" s="230"/>
      <c r="AH116" s="230"/>
      <c r="AI116" s="230"/>
      <c r="AJ116" s="230"/>
      <c r="AK116" s="230"/>
      <c r="AL116" s="230"/>
      <c r="AM116" s="230"/>
      <c r="AN116" s="230"/>
      <c r="AO116" s="230"/>
      <c r="AP116" s="146"/>
    </row>
    <row r="117" spans="1:42" s="306" customFormat="1" ht="18">
      <c r="A117" s="582"/>
      <c r="B117" s="305"/>
      <c r="C117" s="230">
        <f>C115+C110+C106+C99+C94+C89+C77+C44+C21</f>
        <v>82</v>
      </c>
      <c r="D117" s="301"/>
      <c r="E117" s="554" t="s">
        <v>433</v>
      </c>
      <c r="F117" s="230">
        <f>F21+F44+F77+F89+F94+F99+F106+F110+F115</f>
        <v>794396733</v>
      </c>
      <c r="G117" s="230">
        <f>G21+G44+G77+G89+G94+G99+G106+G110+G115</f>
        <v>715058930</v>
      </c>
      <c r="H117" s="230">
        <f>H21+H44+H77+H89+H94+H99+H106+H110+H115</f>
        <v>79337803</v>
      </c>
      <c r="I117" s="230">
        <f>I21+I44+I77+I89+I94+I99+I106+I110+I115</f>
        <v>340526216</v>
      </c>
      <c r="J117" s="230">
        <f t="shared" ref="J117:AO117" si="62">J21+J44+J77+J89+J94+J99+J106+J110+J115</f>
        <v>241142294</v>
      </c>
      <c r="K117" s="230">
        <f t="shared" si="62"/>
        <v>212728223</v>
      </c>
      <c r="L117" s="230">
        <f t="shared" si="62"/>
        <v>241142294</v>
      </c>
      <c r="M117" s="230">
        <f t="shared" si="62"/>
        <v>176862332</v>
      </c>
      <c r="N117" s="230">
        <f t="shared" si="62"/>
        <v>64279962</v>
      </c>
      <c r="O117" s="230">
        <f t="shared" si="62"/>
        <v>47596739</v>
      </c>
      <c r="P117" s="230">
        <f t="shared" si="62"/>
        <v>7382307</v>
      </c>
      <c r="Q117" s="230">
        <f t="shared" si="62"/>
        <v>9300916</v>
      </c>
      <c r="R117" s="230">
        <f t="shared" si="62"/>
        <v>1940000</v>
      </c>
      <c r="S117" s="230">
        <f t="shared" si="62"/>
        <v>3320000</v>
      </c>
      <c r="T117" s="230">
        <f t="shared" si="62"/>
        <v>6300340</v>
      </c>
      <c r="U117" s="230">
        <f t="shared" si="62"/>
        <v>5000000</v>
      </c>
      <c r="V117" s="230">
        <f t="shared" si="62"/>
        <v>8260000</v>
      </c>
      <c r="W117" s="230">
        <f t="shared" si="62"/>
        <v>422900</v>
      </c>
      <c r="X117" s="230">
        <f t="shared" si="62"/>
        <v>9765922</v>
      </c>
      <c r="Y117" s="230">
        <f t="shared" si="62"/>
        <v>400000</v>
      </c>
      <c r="Z117" s="230">
        <f t="shared" si="62"/>
        <v>13789000</v>
      </c>
      <c r="AA117" s="230">
        <f t="shared" si="62"/>
        <v>0</v>
      </c>
      <c r="AB117" s="230">
        <f t="shared" si="62"/>
        <v>1500000</v>
      </c>
      <c r="AC117" s="230">
        <f t="shared" si="62"/>
        <v>50698162</v>
      </c>
      <c r="AD117" s="230">
        <f t="shared" si="62"/>
        <v>5300000</v>
      </c>
      <c r="AE117" s="230">
        <f t="shared" si="62"/>
        <v>55998162</v>
      </c>
      <c r="AF117" s="230">
        <f t="shared" si="62"/>
        <v>8281800</v>
      </c>
      <c r="AG117" s="230">
        <f t="shared" si="62"/>
        <v>38848839</v>
      </c>
      <c r="AH117" s="230">
        <f t="shared" si="62"/>
        <v>8018307</v>
      </c>
      <c r="AI117" s="230">
        <f t="shared" si="62"/>
        <v>9131016</v>
      </c>
      <c r="AJ117" s="230">
        <f t="shared" si="62"/>
        <v>4979000</v>
      </c>
      <c r="AK117" s="230">
        <f t="shared" si="62"/>
        <v>185000</v>
      </c>
      <c r="AL117" s="230">
        <f t="shared" si="62"/>
        <v>136000</v>
      </c>
      <c r="AM117" s="230">
        <f t="shared" si="62"/>
        <v>8857900</v>
      </c>
      <c r="AN117" s="230">
        <f t="shared" si="62"/>
        <v>-746000</v>
      </c>
      <c r="AO117" s="230">
        <f t="shared" si="62"/>
        <v>169900</v>
      </c>
      <c r="AP117" s="146"/>
    </row>
    <row r="118" spans="1:42" s="157" customFormat="1">
      <c r="A118" s="557"/>
      <c r="B118" s="301"/>
      <c r="C118" s="301"/>
      <c r="D118" s="301"/>
      <c r="E118" s="299"/>
      <c r="F118" s="159"/>
      <c r="G118" s="159"/>
      <c r="H118" s="159"/>
      <c r="I118" s="159"/>
      <c r="J118" s="159"/>
      <c r="K118" s="159"/>
      <c r="L118" s="159"/>
      <c r="M118" s="159"/>
      <c r="N118" s="159"/>
      <c r="O118" s="159"/>
      <c r="P118" s="159"/>
      <c r="Q118" s="159"/>
      <c r="R118" s="159"/>
      <c r="S118" s="159"/>
      <c r="T118" s="159"/>
      <c r="U118" s="159"/>
      <c r="V118" s="159"/>
      <c r="W118" s="159"/>
      <c r="X118" s="159"/>
      <c r="Y118" s="159"/>
      <c r="Z118" s="159"/>
      <c r="AA118" s="159"/>
      <c r="AB118" s="159"/>
      <c r="AC118" s="159"/>
      <c r="AD118" s="159"/>
      <c r="AE118" s="159"/>
      <c r="AF118" s="159"/>
      <c r="AG118" s="159"/>
      <c r="AH118" s="159"/>
      <c r="AI118" s="159"/>
      <c r="AJ118" s="159"/>
      <c r="AK118" s="159"/>
      <c r="AL118" s="159"/>
      <c r="AM118" s="159"/>
      <c r="AN118" s="159"/>
      <c r="AO118" s="159"/>
      <c r="AP118" s="146"/>
    </row>
  </sheetData>
  <mergeCells count="2">
    <mergeCell ref="AG4:AI4"/>
    <mergeCell ref="O4:Q4"/>
  </mergeCells>
  <printOptions horizontalCentered="1"/>
  <pageMargins left="0" right="0" top="1.3779527559055118" bottom="0.55118110236220474" header="0.9055118110236221" footer="0.31496062992125984"/>
  <pageSetup paperSize="9" scale="85" fitToWidth="0" fitToHeight="0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11"/>
  <sheetViews>
    <sheetView rightToLeft="1" topLeftCell="A7" zoomScaleNormal="100" workbookViewId="0">
      <selection activeCell="T20" sqref="T20"/>
    </sheetView>
  </sheetViews>
  <sheetFormatPr defaultColWidth="9.1796875" defaultRowHeight="14"/>
  <cols>
    <col min="1" max="1" width="9.54296875" style="419" customWidth="1"/>
    <col min="2" max="2" width="48.26953125" style="266" customWidth="1"/>
    <col min="3" max="3" width="18.7265625" style="248" customWidth="1"/>
    <col min="4" max="4" width="21.54296875" style="319" customWidth="1"/>
    <col min="5" max="5" width="5" style="319" customWidth="1"/>
    <col min="6" max="6" width="29.453125" style="319" customWidth="1"/>
    <col min="7" max="7" width="12.7265625" style="319" customWidth="1"/>
    <col min="8" max="16384" width="9.1796875" style="330"/>
  </cols>
  <sheetData>
    <row r="3" spans="1:7" ht="18">
      <c r="A3" s="323" t="s">
        <v>597</v>
      </c>
      <c r="B3" s="690"/>
      <c r="C3" s="313"/>
      <c r="F3" s="330"/>
      <c r="G3" s="330"/>
    </row>
    <row r="4" spans="1:7" ht="18">
      <c r="A4" s="323" t="s">
        <v>1527</v>
      </c>
      <c r="B4" s="1"/>
      <c r="C4" s="319"/>
      <c r="F4" s="330"/>
      <c r="G4" s="330"/>
    </row>
    <row r="5" spans="1:7" ht="18">
      <c r="A5" s="414"/>
      <c r="B5" s="593"/>
      <c r="C5" s="414"/>
    </row>
    <row r="7" spans="1:7" ht="20.149999999999999" customHeight="1">
      <c r="A7" s="18" t="s">
        <v>1</v>
      </c>
      <c r="B7" s="18" t="s">
        <v>2</v>
      </c>
      <c r="C7" s="18" t="s">
        <v>3</v>
      </c>
    </row>
    <row r="8" spans="1:7" ht="20.149999999999999" customHeight="1">
      <c r="A8" s="254"/>
      <c r="B8" s="254"/>
      <c r="C8" s="255"/>
    </row>
    <row r="9" spans="1:7" ht="20.149999999999999" customHeight="1">
      <c r="A9" s="427">
        <v>1912</v>
      </c>
      <c r="B9" s="254" t="s">
        <v>1469</v>
      </c>
      <c r="C9" s="255">
        <v>310000000</v>
      </c>
    </row>
    <row r="10" spans="1:7" ht="20.149999999999999" customHeight="1">
      <c r="A10" s="427">
        <v>1909</v>
      </c>
      <c r="B10" s="434" t="s">
        <v>1471</v>
      </c>
      <c r="C10" s="255">
        <v>147000000</v>
      </c>
    </row>
    <row r="11" spans="1:7" ht="20.149999999999999" customHeight="1">
      <c r="A11" s="254">
        <v>1547</v>
      </c>
      <c r="B11" s="254" t="s">
        <v>1470</v>
      </c>
      <c r="C11" s="255">
        <v>144000000</v>
      </c>
    </row>
    <row r="12" spans="1:7" ht="20.149999999999999" customHeight="1">
      <c r="A12" s="427">
        <v>1919</v>
      </c>
      <c r="B12" s="254" t="s">
        <v>214</v>
      </c>
      <c r="C12" s="255">
        <v>135100000</v>
      </c>
    </row>
    <row r="13" spans="1:7" ht="20.149999999999999" customHeight="1">
      <c r="A13" s="254">
        <v>1312</v>
      </c>
      <c r="B13" s="254" t="s">
        <v>41</v>
      </c>
      <c r="C13" s="255">
        <f>121000000-11500000</f>
        <v>109500000</v>
      </c>
    </row>
    <row r="14" spans="1:7" ht="20.149999999999999" customHeight="1">
      <c r="A14" s="254">
        <v>1625</v>
      </c>
      <c r="B14" s="254" t="s">
        <v>206</v>
      </c>
      <c r="C14" s="255">
        <v>100000000</v>
      </c>
    </row>
    <row r="15" spans="1:7" ht="20.149999999999999" customHeight="1">
      <c r="A15" s="427">
        <v>1827</v>
      </c>
      <c r="B15" s="254" t="s">
        <v>729</v>
      </c>
      <c r="C15" s="255">
        <v>100000000</v>
      </c>
    </row>
    <row r="16" spans="1:7" ht="20.149999999999999" customHeight="1">
      <c r="A16" s="254">
        <v>532</v>
      </c>
      <c r="B16" s="254" t="s">
        <v>128</v>
      </c>
      <c r="C16" s="255">
        <v>80090000</v>
      </c>
    </row>
    <row r="17" spans="1:3" ht="20.149999999999999" customHeight="1">
      <c r="A17" s="254">
        <v>1443</v>
      </c>
      <c r="B17" s="254" t="s">
        <v>136</v>
      </c>
      <c r="C17" s="255">
        <v>78500000</v>
      </c>
    </row>
    <row r="18" spans="1:3" ht="20.149999999999999" customHeight="1">
      <c r="A18" s="254">
        <v>382</v>
      </c>
      <c r="B18" s="254" t="s">
        <v>1054</v>
      </c>
      <c r="C18" s="255">
        <f>49581930+21799400+1500000</f>
        <v>72881330</v>
      </c>
    </row>
    <row r="19" spans="1:3" ht="20.149999999999999" customHeight="1">
      <c r="A19" s="254">
        <v>1657</v>
      </c>
      <c r="B19" s="254" t="s">
        <v>33</v>
      </c>
      <c r="C19" s="255">
        <v>60000000</v>
      </c>
    </row>
    <row r="20" spans="1:3" ht="20.149999999999999" customHeight="1">
      <c r="A20" s="254">
        <v>1834</v>
      </c>
      <c r="B20" s="254" t="s">
        <v>192</v>
      </c>
      <c r="C20" s="255">
        <v>60000000</v>
      </c>
    </row>
    <row r="21" spans="1:3" ht="20.149999999999999" customHeight="1">
      <c r="A21" s="427">
        <v>1957</v>
      </c>
      <c r="B21" s="254" t="s">
        <v>708</v>
      </c>
      <c r="C21" s="255">
        <v>60000000</v>
      </c>
    </row>
    <row r="22" spans="1:3" ht="20.149999999999999" customHeight="1">
      <c r="A22" s="254">
        <v>1835</v>
      </c>
      <c r="B22" s="254" t="s">
        <v>1319</v>
      </c>
      <c r="C22" s="255">
        <v>58000000</v>
      </c>
    </row>
    <row r="23" spans="1:3" ht="20.149999999999999" customHeight="1">
      <c r="A23" s="254">
        <v>634</v>
      </c>
      <c r="B23" s="254" t="s">
        <v>1316</v>
      </c>
      <c r="C23" s="255">
        <v>57250000</v>
      </c>
    </row>
    <row r="24" spans="1:3" ht="20.149999999999999" customHeight="1">
      <c r="A24" s="254">
        <v>576</v>
      </c>
      <c r="B24" s="254" t="s">
        <v>129</v>
      </c>
      <c r="C24" s="255">
        <v>55113000</v>
      </c>
    </row>
    <row r="25" spans="1:3" ht="20.149999999999999" customHeight="1">
      <c r="A25" s="254">
        <v>1207</v>
      </c>
      <c r="B25" s="254" t="s">
        <v>132</v>
      </c>
      <c r="C25" s="255">
        <v>50650000</v>
      </c>
    </row>
    <row r="26" spans="1:3" ht="20.149999999999999" customHeight="1">
      <c r="A26" s="254">
        <v>1588</v>
      </c>
      <c r="B26" s="254" t="s">
        <v>31</v>
      </c>
      <c r="C26" s="255">
        <v>50500000</v>
      </c>
    </row>
    <row r="27" spans="1:3" ht="20.149999999999999" customHeight="1">
      <c r="A27" s="42">
        <v>2097</v>
      </c>
      <c r="B27" s="254" t="s">
        <v>725</v>
      </c>
      <c r="C27" s="255">
        <v>41000000</v>
      </c>
    </row>
    <row r="28" spans="1:3" ht="20.149999999999999" customHeight="1">
      <c r="A28" s="254">
        <v>1375</v>
      </c>
      <c r="B28" s="254" t="s">
        <v>1317</v>
      </c>
      <c r="C28" s="255">
        <f>39800000+250000+100000</f>
        <v>40150000</v>
      </c>
    </row>
    <row r="29" spans="1:3" ht="20.149999999999999" customHeight="1">
      <c r="A29" s="254">
        <v>1825</v>
      </c>
      <c r="B29" s="254" t="s">
        <v>1064</v>
      </c>
      <c r="C29" s="255">
        <f>36500000+2500000</f>
        <v>39000000</v>
      </c>
    </row>
    <row r="30" spans="1:3" ht="20.149999999999999" customHeight="1">
      <c r="A30" s="254">
        <v>1965</v>
      </c>
      <c r="B30" s="254" t="s">
        <v>737</v>
      </c>
      <c r="C30" s="255">
        <v>35000000</v>
      </c>
    </row>
    <row r="31" spans="1:3" ht="20.149999999999999" customHeight="1">
      <c r="A31" s="254">
        <v>1238</v>
      </c>
      <c r="B31" s="254" t="s">
        <v>133</v>
      </c>
      <c r="C31" s="255">
        <v>32940000</v>
      </c>
    </row>
    <row r="32" spans="1:3" ht="20.149999999999999" customHeight="1">
      <c r="A32" s="254">
        <v>1403</v>
      </c>
      <c r="B32" s="254" t="s">
        <v>704</v>
      </c>
      <c r="C32" s="255">
        <v>31750000</v>
      </c>
    </row>
    <row r="33" spans="1:3" ht="20.149999999999999" customHeight="1">
      <c r="A33" s="427">
        <v>1833</v>
      </c>
      <c r="B33" s="254" t="s">
        <v>208</v>
      </c>
      <c r="C33" s="255">
        <f>28500000+500000</f>
        <v>29000000</v>
      </c>
    </row>
    <row r="34" spans="1:3" ht="20.149999999999999" customHeight="1">
      <c r="A34" s="254">
        <v>1615</v>
      </c>
      <c r="B34" s="254" t="s">
        <v>200</v>
      </c>
      <c r="C34" s="255">
        <v>27700000</v>
      </c>
    </row>
    <row r="35" spans="1:3" ht="20.149999999999999" customHeight="1">
      <c r="A35" s="427">
        <v>1911</v>
      </c>
      <c r="B35" s="254" t="s">
        <v>732</v>
      </c>
      <c r="C35" s="255">
        <v>27500000</v>
      </c>
    </row>
    <row r="36" spans="1:3" ht="20.149999999999999" customHeight="1">
      <c r="A36" s="427">
        <v>1960</v>
      </c>
      <c r="B36" s="254" t="s">
        <v>736</v>
      </c>
      <c r="C36" s="255">
        <f>7700000+14600000</f>
        <v>22300000</v>
      </c>
    </row>
    <row r="37" spans="1:3" ht="20.149999999999999" customHeight="1">
      <c r="A37" s="254">
        <v>2022</v>
      </c>
      <c r="B37" s="254" t="s">
        <v>1323</v>
      </c>
      <c r="C37" s="255">
        <v>20000000</v>
      </c>
    </row>
    <row r="38" spans="1:3" ht="20.149999999999999" customHeight="1">
      <c r="A38" s="427">
        <v>1962</v>
      </c>
      <c r="B38" s="254" t="s">
        <v>289</v>
      </c>
      <c r="C38" s="255">
        <v>20000000</v>
      </c>
    </row>
    <row r="39" spans="1:3" ht="20.149999999999999" customHeight="1">
      <c r="A39" s="427">
        <v>1896</v>
      </c>
      <c r="B39" s="254" t="s">
        <v>1321</v>
      </c>
      <c r="C39" s="255">
        <v>18560000</v>
      </c>
    </row>
    <row r="40" spans="1:3" ht="20.149999999999999" customHeight="1">
      <c r="A40" s="427">
        <v>1819</v>
      </c>
      <c r="B40" s="254" t="s">
        <v>185</v>
      </c>
      <c r="C40" s="255">
        <v>18000000</v>
      </c>
    </row>
    <row r="41" spans="1:3" ht="20.149999999999999" customHeight="1">
      <c r="A41" s="254">
        <v>1723</v>
      </c>
      <c r="B41" s="254" t="s">
        <v>34</v>
      </c>
      <c r="C41" s="255">
        <v>17500000</v>
      </c>
    </row>
    <row r="42" spans="1:3" ht="20.149999999999999" customHeight="1">
      <c r="A42" s="254">
        <v>1908</v>
      </c>
      <c r="B42" s="254" t="s">
        <v>249</v>
      </c>
      <c r="C42" s="255">
        <v>16900000</v>
      </c>
    </row>
    <row r="43" spans="1:3" ht="20.149999999999999" customHeight="1">
      <c r="A43" s="254">
        <v>1539</v>
      </c>
      <c r="B43" s="254" t="s">
        <v>47</v>
      </c>
      <c r="C43" s="255">
        <v>16300000</v>
      </c>
    </row>
    <row r="44" spans="1:3" hidden="1">
      <c r="A44" s="254">
        <v>1446</v>
      </c>
      <c r="B44" s="254" t="s">
        <v>321</v>
      </c>
      <c r="C44" s="255">
        <v>14250000</v>
      </c>
    </row>
    <row r="45" spans="1:3" hidden="1">
      <c r="A45" s="42">
        <v>2099</v>
      </c>
      <c r="B45" s="254" t="s">
        <v>727</v>
      </c>
      <c r="C45" s="255">
        <v>12000000</v>
      </c>
    </row>
    <row r="46" spans="1:3" hidden="1">
      <c r="A46" s="427">
        <v>2073</v>
      </c>
      <c r="B46" s="254" t="s">
        <v>721</v>
      </c>
      <c r="C46" s="255">
        <f>350000+11000000</f>
        <v>11350000</v>
      </c>
    </row>
    <row r="47" spans="1:3" hidden="1">
      <c r="A47" s="254">
        <v>1718</v>
      </c>
      <c r="B47" s="254" t="s">
        <v>64</v>
      </c>
      <c r="C47" s="255">
        <f>13200000-2000000</f>
        <v>11200000</v>
      </c>
    </row>
    <row r="48" spans="1:3" hidden="1">
      <c r="A48" s="254">
        <v>2015</v>
      </c>
      <c r="B48" s="254" t="s">
        <v>711</v>
      </c>
      <c r="C48" s="255">
        <v>10500000</v>
      </c>
    </row>
    <row r="49" spans="1:3" hidden="1">
      <c r="A49" s="254">
        <v>2018</v>
      </c>
      <c r="B49" s="254" t="s">
        <v>714</v>
      </c>
      <c r="C49" s="255">
        <v>10000000</v>
      </c>
    </row>
    <row r="50" spans="1:3" hidden="1">
      <c r="A50" s="254">
        <v>1906</v>
      </c>
      <c r="B50" s="254" t="s">
        <v>500</v>
      </c>
      <c r="C50" s="255">
        <v>10000000</v>
      </c>
    </row>
    <row r="51" spans="1:3" hidden="1">
      <c r="A51" s="254">
        <v>1907</v>
      </c>
      <c r="B51" s="254" t="s">
        <v>203</v>
      </c>
      <c r="C51" s="255">
        <v>10000000</v>
      </c>
    </row>
    <row r="52" spans="1:3" ht="15" hidden="1" customHeight="1">
      <c r="A52" s="42">
        <v>2101</v>
      </c>
      <c r="B52" s="254" t="s">
        <v>696</v>
      </c>
      <c r="C52" s="255">
        <v>9850000</v>
      </c>
    </row>
    <row r="53" spans="1:3" ht="15" hidden="1" customHeight="1">
      <c r="A53" s="254">
        <v>1656</v>
      </c>
      <c r="B53" s="254" t="s">
        <v>49</v>
      </c>
      <c r="C53" s="255">
        <f>10800000-1400000</f>
        <v>9400000</v>
      </c>
    </row>
    <row r="54" spans="1:3" hidden="1">
      <c r="A54" s="427">
        <v>1921</v>
      </c>
      <c r="B54" s="254" t="s">
        <v>215</v>
      </c>
      <c r="C54" s="255">
        <f>9320000+150000-150000-44000</f>
        <v>9276000</v>
      </c>
    </row>
    <row r="55" spans="1:3" hidden="1">
      <c r="A55" s="254">
        <v>2021</v>
      </c>
      <c r="B55" s="254" t="s">
        <v>537</v>
      </c>
      <c r="C55" s="255">
        <v>8200000</v>
      </c>
    </row>
    <row r="56" spans="1:3" hidden="1">
      <c r="A56" s="254">
        <v>2026</v>
      </c>
      <c r="B56" s="254" t="s">
        <v>579</v>
      </c>
      <c r="C56" s="255">
        <v>8200000</v>
      </c>
    </row>
    <row r="57" spans="1:3" ht="15" hidden="1" customHeight="1">
      <c r="A57" s="254">
        <v>1402</v>
      </c>
      <c r="B57" s="254" t="s">
        <v>135</v>
      </c>
      <c r="C57" s="255">
        <v>7700000</v>
      </c>
    </row>
    <row r="58" spans="1:3" hidden="1">
      <c r="A58" s="427">
        <v>1914</v>
      </c>
      <c r="B58" s="254" t="s">
        <v>248</v>
      </c>
      <c r="C58" s="255">
        <v>7700000</v>
      </c>
    </row>
    <row r="59" spans="1:3" ht="15" hidden="1" customHeight="1">
      <c r="A59" s="254">
        <v>1462</v>
      </c>
      <c r="B59" s="254" t="s">
        <v>705</v>
      </c>
      <c r="C59" s="255">
        <v>7500000</v>
      </c>
    </row>
    <row r="60" spans="1:3" hidden="1">
      <c r="A60" s="427">
        <v>1847</v>
      </c>
      <c r="B60" s="254" t="s">
        <v>534</v>
      </c>
      <c r="C60" s="255">
        <v>7340000</v>
      </c>
    </row>
    <row r="61" spans="1:3" ht="15" hidden="1" customHeight="1">
      <c r="A61" s="254">
        <v>2016</v>
      </c>
      <c r="B61" s="254" t="s">
        <v>712</v>
      </c>
      <c r="C61" s="255">
        <v>7340000</v>
      </c>
    </row>
    <row r="62" spans="1:3" ht="15" hidden="1" customHeight="1">
      <c r="A62" s="254">
        <v>2023</v>
      </c>
      <c r="B62" s="254" t="s">
        <v>716</v>
      </c>
      <c r="C62" s="255">
        <v>7340000</v>
      </c>
    </row>
    <row r="63" spans="1:3" hidden="1">
      <c r="A63" s="254">
        <v>2024</v>
      </c>
      <c r="B63" s="254" t="s">
        <v>717</v>
      </c>
      <c r="C63" s="255">
        <v>7340000</v>
      </c>
    </row>
    <row r="64" spans="1:3" ht="15" hidden="1" customHeight="1">
      <c r="A64" s="254">
        <v>1614</v>
      </c>
      <c r="B64" s="254" t="s">
        <v>706</v>
      </c>
      <c r="C64" s="255">
        <v>7200000</v>
      </c>
    </row>
    <row r="65" spans="1:3" ht="15" hidden="1" customHeight="1">
      <c r="A65" s="427">
        <v>1894</v>
      </c>
      <c r="B65" s="254" t="s">
        <v>535</v>
      </c>
      <c r="C65" s="255">
        <v>7100000</v>
      </c>
    </row>
    <row r="66" spans="1:3" hidden="1">
      <c r="A66" s="427">
        <v>2064</v>
      </c>
      <c r="B66" s="254" t="s">
        <v>522</v>
      </c>
      <c r="C66" s="255">
        <v>6417000</v>
      </c>
    </row>
    <row r="67" spans="1:3" hidden="1">
      <c r="A67" s="254">
        <v>1739</v>
      </c>
      <c r="B67" s="254" t="s">
        <v>175</v>
      </c>
      <c r="C67" s="255">
        <f>6550000-235000</f>
        <v>6315000</v>
      </c>
    </row>
    <row r="68" spans="1:3" ht="15" hidden="1" customHeight="1">
      <c r="A68" s="427">
        <v>1936</v>
      </c>
      <c r="B68" s="254" t="s">
        <v>323</v>
      </c>
      <c r="C68" s="255">
        <v>6082795</v>
      </c>
    </row>
    <row r="69" spans="1:3" ht="15" hidden="1" customHeight="1">
      <c r="A69" s="254">
        <v>1904</v>
      </c>
      <c r="B69" s="254" t="s">
        <v>199</v>
      </c>
      <c r="C69" s="255">
        <v>5700000</v>
      </c>
    </row>
    <row r="70" spans="1:3" ht="15" hidden="1" customHeight="1">
      <c r="A70" s="254">
        <v>1854</v>
      </c>
      <c r="B70" s="254" t="s">
        <v>322</v>
      </c>
      <c r="C70" s="255">
        <v>5600000</v>
      </c>
    </row>
    <row r="71" spans="1:3" ht="15" hidden="1" customHeight="1">
      <c r="A71" s="427">
        <v>1953</v>
      </c>
      <c r="B71" s="254" t="s">
        <v>1322</v>
      </c>
      <c r="C71" s="255">
        <v>5300000</v>
      </c>
    </row>
    <row r="72" spans="1:3" ht="15" hidden="1" customHeight="1">
      <c r="A72" s="254">
        <v>1751</v>
      </c>
      <c r="B72" s="254" t="s">
        <v>172</v>
      </c>
      <c r="C72" s="255">
        <v>4800000</v>
      </c>
    </row>
    <row r="73" spans="1:3" hidden="1">
      <c r="A73" s="254">
        <v>1298</v>
      </c>
      <c r="B73" s="254" t="s">
        <v>40</v>
      </c>
      <c r="C73" s="255">
        <f>4100000+500000+200000-200000</f>
        <v>4600000</v>
      </c>
    </row>
    <row r="74" spans="1:3" ht="15" hidden="1" customHeight="1">
      <c r="A74" s="254">
        <v>1455</v>
      </c>
      <c r="B74" s="254" t="s">
        <v>45</v>
      </c>
      <c r="C74" s="255">
        <v>4500000</v>
      </c>
    </row>
    <row r="75" spans="1:3" hidden="1">
      <c r="A75" s="427">
        <v>1972</v>
      </c>
      <c r="B75" s="254" t="s">
        <v>709</v>
      </c>
      <c r="C75" s="255">
        <v>4470000</v>
      </c>
    </row>
    <row r="76" spans="1:3" ht="15" hidden="1" customHeight="1">
      <c r="A76" s="254">
        <v>1763</v>
      </c>
      <c r="B76" s="254" t="s">
        <v>179</v>
      </c>
      <c r="C76" s="255">
        <v>4200000</v>
      </c>
    </row>
    <row r="77" spans="1:3" hidden="1">
      <c r="A77" s="254">
        <v>1067</v>
      </c>
      <c r="B77" s="254" t="s">
        <v>131</v>
      </c>
      <c r="C77" s="255">
        <v>3725000</v>
      </c>
    </row>
    <row r="78" spans="1:3" ht="15" hidden="1" customHeight="1">
      <c r="A78" s="254">
        <v>1905</v>
      </c>
      <c r="B78" s="254" t="s">
        <v>205</v>
      </c>
      <c r="C78" s="255">
        <v>3366000</v>
      </c>
    </row>
    <row r="79" spans="1:3" hidden="1">
      <c r="A79" s="427">
        <v>1837</v>
      </c>
      <c r="B79" s="254" t="s">
        <v>209</v>
      </c>
      <c r="C79" s="255">
        <v>3200000</v>
      </c>
    </row>
    <row r="80" spans="1:3" hidden="1">
      <c r="A80" s="427">
        <v>1961</v>
      </c>
      <c r="B80" s="254" t="s">
        <v>288</v>
      </c>
      <c r="C80" s="255">
        <v>3000000</v>
      </c>
    </row>
    <row r="81" spans="1:3" hidden="1">
      <c r="A81" s="254">
        <v>1765</v>
      </c>
      <c r="B81" s="254" t="s">
        <v>171</v>
      </c>
      <c r="C81" s="255">
        <v>2800000</v>
      </c>
    </row>
    <row r="82" spans="1:3" ht="15" hidden="1" customHeight="1">
      <c r="A82" s="427">
        <v>1963</v>
      </c>
      <c r="B82" s="254" t="s">
        <v>1081</v>
      </c>
      <c r="C82" s="255">
        <v>2800000</v>
      </c>
    </row>
    <row r="83" spans="1:3" hidden="1">
      <c r="A83" s="427">
        <v>2059</v>
      </c>
      <c r="B83" s="254" t="s">
        <v>678</v>
      </c>
      <c r="C83" s="255">
        <v>2610000</v>
      </c>
    </row>
    <row r="84" spans="1:3" ht="15" hidden="1" customHeight="1">
      <c r="A84" s="254">
        <v>2025</v>
      </c>
      <c r="B84" s="254" t="s">
        <v>718</v>
      </c>
      <c r="C84" s="255">
        <v>2600000</v>
      </c>
    </row>
    <row r="85" spans="1:3" ht="15" hidden="1" customHeight="1">
      <c r="A85" s="254">
        <v>2008</v>
      </c>
      <c r="B85" s="254" t="s">
        <v>672</v>
      </c>
      <c r="C85" s="255">
        <v>2500000</v>
      </c>
    </row>
    <row r="86" spans="1:3" ht="15" hidden="1" customHeight="1">
      <c r="A86" s="42">
        <v>2103</v>
      </c>
      <c r="B86" s="254" t="s">
        <v>1053</v>
      </c>
      <c r="C86" s="255">
        <f>5000000-2500000</f>
        <v>2500000</v>
      </c>
    </row>
    <row r="87" spans="1:3" hidden="1">
      <c r="A87" s="427">
        <v>2058</v>
      </c>
      <c r="B87" s="254" t="s">
        <v>719</v>
      </c>
      <c r="C87" s="255">
        <v>2330000</v>
      </c>
    </row>
    <row r="88" spans="1:3" ht="15" hidden="1" customHeight="1">
      <c r="A88" s="42">
        <v>2080</v>
      </c>
      <c r="B88" s="254" t="s">
        <v>724</v>
      </c>
      <c r="C88" s="255">
        <v>2050000</v>
      </c>
    </row>
    <row r="89" spans="1:3" hidden="1">
      <c r="A89" s="254">
        <v>1954</v>
      </c>
      <c r="B89" s="254" t="s">
        <v>250</v>
      </c>
      <c r="C89" s="255">
        <v>2000000</v>
      </c>
    </row>
    <row r="90" spans="1:3" ht="15" hidden="1" customHeight="1">
      <c r="A90" s="427">
        <v>1991</v>
      </c>
      <c r="B90" s="254" t="s">
        <v>710</v>
      </c>
      <c r="C90" s="255">
        <v>2000000</v>
      </c>
    </row>
    <row r="91" spans="1:3" ht="15" hidden="1" customHeight="1">
      <c r="A91" s="254">
        <v>2017</v>
      </c>
      <c r="B91" s="254" t="s">
        <v>713</v>
      </c>
      <c r="C91" s="255">
        <v>2000000</v>
      </c>
    </row>
    <row r="92" spans="1:3" ht="15" hidden="1" customHeight="1">
      <c r="A92" s="254">
        <v>1808</v>
      </c>
      <c r="B92" s="254" t="s">
        <v>186</v>
      </c>
      <c r="C92" s="255">
        <v>1800000</v>
      </c>
    </row>
    <row r="93" spans="1:3" hidden="1">
      <c r="A93" s="42">
        <v>2102</v>
      </c>
      <c r="B93" s="254" t="s">
        <v>728</v>
      </c>
      <c r="C93" s="255">
        <v>1750000</v>
      </c>
    </row>
    <row r="94" spans="1:3" hidden="1">
      <c r="A94" s="427">
        <v>1903</v>
      </c>
      <c r="B94" s="254" t="s">
        <v>212</v>
      </c>
      <c r="C94" s="255">
        <v>1700000</v>
      </c>
    </row>
    <row r="95" spans="1:3" hidden="1">
      <c r="A95" s="254">
        <v>1798</v>
      </c>
      <c r="B95" s="254" t="s">
        <v>180</v>
      </c>
      <c r="C95" s="255">
        <v>1600000</v>
      </c>
    </row>
    <row r="96" spans="1:3" hidden="1">
      <c r="A96" s="427">
        <v>1845</v>
      </c>
      <c r="B96" s="254" t="s">
        <v>210</v>
      </c>
      <c r="C96" s="255">
        <v>1500000</v>
      </c>
    </row>
    <row r="97" spans="1:3" hidden="1">
      <c r="A97" s="254">
        <v>2002</v>
      </c>
      <c r="B97" s="254" t="s">
        <v>381</v>
      </c>
      <c r="C97" s="255">
        <f>865000+635000</f>
        <v>1500000</v>
      </c>
    </row>
    <row r="98" spans="1:3" hidden="1">
      <c r="A98" s="427">
        <v>2076</v>
      </c>
      <c r="B98" s="254" t="s">
        <v>722</v>
      </c>
      <c r="C98" s="255">
        <v>1450000</v>
      </c>
    </row>
    <row r="99" spans="1:3" hidden="1">
      <c r="A99" s="254">
        <v>2019</v>
      </c>
      <c r="B99" s="254" t="s">
        <v>715</v>
      </c>
      <c r="C99" s="255">
        <v>1200000</v>
      </c>
    </row>
    <row r="100" spans="1:3" ht="15" hidden="1" customHeight="1">
      <c r="A100" s="427">
        <v>2062</v>
      </c>
      <c r="B100" s="254" t="s">
        <v>720</v>
      </c>
      <c r="C100" s="255">
        <v>1200000</v>
      </c>
    </row>
    <row r="101" spans="1:3" ht="15" hidden="1" customHeight="1">
      <c r="A101" s="3">
        <v>1872</v>
      </c>
      <c r="B101" s="3" t="s">
        <v>1320</v>
      </c>
      <c r="C101" s="4">
        <v>1160000</v>
      </c>
    </row>
    <row r="102" spans="1:3" hidden="1">
      <c r="A102" s="254">
        <v>2067</v>
      </c>
      <c r="B102" s="254" t="s">
        <v>1324</v>
      </c>
      <c r="C102" s="255">
        <v>800000</v>
      </c>
    </row>
    <row r="103" spans="1:3" ht="15" hidden="1" customHeight="1">
      <c r="A103" s="42">
        <v>2098</v>
      </c>
      <c r="B103" s="254" t="s">
        <v>726</v>
      </c>
      <c r="C103" s="255">
        <v>760000</v>
      </c>
    </row>
    <row r="104" spans="1:3" ht="15" hidden="1" customHeight="1">
      <c r="A104" s="254">
        <v>1809</v>
      </c>
      <c r="B104" s="254" t="s">
        <v>187</v>
      </c>
      <c r="C104" s="255">
        <v>680000</v>
      </c>
    </row>
    <row r="105" spans="1:3" hidden="1">
      <c r="A105" s="254">
        <v>1806</v>
      </c>
      <c r="B105" s="254" t="s">
        <v>216</v>
      </c>
      <c r="C105" s="255">
        <f>500000+400000-400000</f>
        <v>500000</v>
      </c>
    </row>
    <row r="106" spans="1:3" hidden="1">
      <c r="A106" s="254">
        <v>1836</v>
      </c>
      <c r="B106" s="254" t="s">
        <v>194</v>
      </c>
      <c r="C106" s="255">
        <v>500000</v>
      </c>
    </row>
    <row r="107" spans="1:3" hidden="1">
      <c r="A107" s="427">
        <v>1846</v>
      </c>
      <c r="B107" s="254" t="s">
        <v>211</v>
      </c>
      <c r="C107" s="255">
        <f>2500000-2000000</f>
        <v>500000</v>
      </c>
    </row>
    <row r="108" spans="1:3" hidden="1">
      <c r="A108" s="42">
        <v>2079</v>
      </c>
      <c r="B108" s="254" t="s">
        <v>723</v>
      </c>
      <c r="C108" s="255">
        <v>500000</v>
      </c>
    </row>
    <row r="109" spans="1:3" hidden="1">
      <c r="A109" s="427">
        <v>1955</v>
      </c>
      <c r="B109" s="254" t="s">
        <v>251</v>
      </c>
      <c r="C109" s="255">
        <v>250000</v>
      </c>
    </row>
    <row r="110" spans="1:3" hidden="1">
      <c r="A110" s="427">
        <v>1940</v>
      </c>
      <c r="B110" s="254" t="s">
        <v>252</v>
      </c>
      <c r="C110" s="255">
        <v>186000</v>
      </c>
    </row>
    <row r="111" spans="1:3" ht="15.5" hidden="1">
      <c r="A111" s="431"/>
      <c r="B111" s="270" t="s">
        <v>137</v>
      </c>
      <c r="C111" s="262">
        <f>SUM(C9:C110)</f>
        <v>2499972125</v>
      </c>
    </row>
  </sheetData>
  <sortState ref="A7:R114">
    <sortCondition descending="1" ref="C7:C114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
לשנת 2019</oddHeader>
    <oddFooter>&amp;L&amp;D&amp;Cעמוד &amp;P מתוך &amp;N&amp;R&amp;A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79</vt:i4>
      </vt:variant>
      <vt:variant>
        <vt:lpstr>טווחים בעלי שם</vt:lpstr>
      </vt:variant>
      <vt:variant>
        <vt:i4>53</vt:i4>
      </vt:variant>
    </vt:vector>
  </HeadingPairs>
  <TitlesOfParts>
    <vt:vector size="132" baseType="lpstr">
      <vt:lpstr>תקציב 2019</vt:lpstr>
      <vt:lpstr>תוכן ענינים</vt:lpstr>
      <vt:lpstr>מבוא</vt:lpstr>
      <vt:lpstr>תקציב 2018</vt:lpstr>
      <vt:lpstr>תקציב 2019 </vt:lpstr>
      <vt:lpstr>תקציב 2019 פרקים</vt:lpstr>
      <vt:lpstr>תקציב 2019  אגפים </vt:lpstr>
      <vt:lpstr>תקציב 2019  מקורות </vt:lpstr>
      <vt:lpstr>תקציב 2019 קרנות הרשות</vt:lpstr>
      <vt:lpstr>תקציב 2019 מקורות אחרים</vt:lpstr>
      <vt:lpstr>תרשים אגפים</vt:lpstr>
      <vt:lpstr>ריכוז אגפים</vt:lpstr>
      <vt:lpstr>תרשים פרקים</vt:lpstr>
      <vt:lpstr>ריכוז פרקים</vt:lpstr>
      <vt:lpstr>פרוט מקורות אחרים</vt:lpstr>
      <vt:lpstr>תרשים מקורות מימון</vt:lpstr>
      <vt:lpstr>הנדסה 2019</vt:lpstr>
      <vt:lpstr>הנדסה 2019 (2)</vt:lpstr>
      <vt:lpstr>תקציב הנדסה 2019</vt:lpstr>
      <vt:lpstr>הנדסה 2019 פרקים</vt:lpstr>
      <vt:lpstr>תקציב הנדסה 2019 תאור</vt:lpstr>
      <vt:lpstr>החברה לפיתוח 2019</vt:lpstr>
      <vt:lpstr>החב. לפיתוח 2019</vt:lpstr>
      <vt:lpstr>תקציב החברה לפיתוח 2019</vt:lpstr>
      <vt:lpstr> החברה לפיתוח 2019 פרקים</vt:lpstr>
      <vt:lpstr>תקציב החברה לפיתוח 2019 תאור</vt:lpstr>
      <vt:lpstr>אגף ת.ב.ל 2019</vt:lpstr>
      <vt:lpstr>אגף ת.ב.ל 2019 (2)</vt:lpstr>
      <vt:lpstr>תקציב אגף ת.ב.ל 2019</vt:lpstr>
      <vt:lpstr>תבל 2019 פרקים</vt:lpstr>
      <vt:lpstr>תקציב אגף ת.ב.ל 2019 תאור</vt:lpstr>
      <vt:lpstr>אגף בטחון פיקוח סד"צ 2019</vt:lpstr>
      <vt:lpstr>תקציב אגף בטחון פיקוח סד"צ 2019</vt:lpstr>
      <vt:lpstr>ביטחון פיקוח וסדצ 2019 פרקים</vt:lpstr>
      <vt:lpstr>אגף חינוך 2019</vt:lpstr>
      <vt:lpstr>תקציב אגף חינוך 2019</vt:lpstr>
      <vt:lpstr>חינוך 2019 פרקים</vt:lpstr>
      <vt:lpstr>אגף תנוס 2019</vt:lpstr>
      <vt:lpstr>תקציב אגף תנוס 2019</vt:lpstr>
      <vt:lpstr>תנוס 2019 פרקים</vt:lpstr>
      <vt:lpstr>אגף שאיפה 2019</vt:lpstr>
      <vt:lpstr>אגף שאיפה 2019 (2)</vt:lpstr>
      <vt:lpstr>תקציב אגף שאיפה  2019</vt:lpstr>
      <vt:lpstr>שאיפה 2019 פרקים</vt:lpstr>
      <vt:lpstr>תקציב אגף שאיפה  2019 תאור</vt:lpstr>
      <vt:lpstr>רשות החופים 2019</vt:lpstr>
      <vt:lpstr>תקציב רשות החופים 2019</vt:lpstr>
      <vt:lpstr>רשות החופים 2019 פרקים</vt:lpstr>
      <vt:lpstr>החברה לתירות 2019</vt:lpstr>
      <vt:lpstr>תקציב החברה לתירות 2019</vt:lpstr>
      <vt:lpstr>החברה לתיירות 2019 פרקים</vt:lpstr>
      <vt:lpstr>אגף תקשוב ומע. מידע 2019</vt:lpstr>
      <vt:lpstr>אגף תקשוב ומע. מידע 2019 (2)</vt:lpstr>
      <vt:lpstr>תקציב אגף תקשוב 2019</vt:lpstr>
      <vt:lpstr>מחשוב 2019 פרקים</vt:lpstr>
      <vt:lpstr>אגף נכסים וביטוח 2019</vt:lpstr>
      <vt:lpstr>תקציב אגף נכסים וביטוח 2019</vt:lpstr>
      <vt:lpstr>נכסים 2019 פרקים</vt:lpstr>
      <vt:lpstr>מינהל כללי 2019</vt:lpstr>
      <vt:lpstr>תקציב מינהל כללי 2019</vt:lpstr>
      <vt:lpstr>מינהל כללי 2019 פרקים</vt:lpstr>
      <vt:lpstr>תקציב 2018 - ביצוע</vt:lpstr>
      <vt:lpstr>ריכוז אגפים 2018</vt:lpstr>
      <vt:lpstr>הנדסה  2018</vt:lpstr>
      <vt:lpstr>החברה לפיתוח 2018</vt:lpstr>
      <vt:lpstr>תבל  2018</vt:lpstr>
      <vt:lpstr>ביטחון פיקוח וסדר ציבורי 2018</vt:lpstr>
      <vt:lpstr>חינוך 2018</vt:lpstr>
      <vt:lpstr> תנוס  2018</vt:lpstr>
      <vt:lpstr>שאיפה 2018</vt:lpstr>
      <vt:lpstr>רשות החופים  2018</vt:lpstr>
      <vt:lpstr>איכות הסביבה 2018</vt:lpstr>
      <vt:lpstr>החברה לתיירות 2018</vt:lpstr>
      <vt:lpstr> מחשוב  2018</vt:lpstr>
      <vt:lpstr>נכסים 2018</vt:lpstr>
      <vt:lpstr>שיפוצי בתים עמידר 2018</vt:lpstr>
      <vt:lpstr>כללי  2018</vt:lpstr>
      <vt:lpstr>ריכוז תקציב מעבר לתוכנית 2018</vt:lpstr>
      <vt:lpstr>פרויקטים החב. לפיתוח </vt:lpstr>
      <vt:lpstr>'הנדסה  2018'!Print_Area_0</vt:lpstr>
      <vt:lpstr>'הנדסה  2018'!Print_Area_0_0</vt:lpstr>
      <vt:lpstr>'הנדסה  2018'!Print_Titles_0</vt:lpstr>
      <vt:lpstr>'הנדסה  2018'!Print_Titles_0_0</vt:lpstr>
      <vt:lpstr>'פרוט מקורות אחרים'!WPrint_Area_W</vt:lpstr>
      <vt:lpstr>'ריכוז פרקים'!WPrint_Area_W</vt:lpstr>
      <vt:lpstr>'תקציב 2019 קרנות הרשות'!WPrint_Area_W</vt:lpstr>
      <vt:lpstr>' החברה לפיתוח 2019 פרקים'!WPrint_TitlesW</vt:lpstr>
      <vt:lpstr>' תנוס  2018'!WPrint_TitlesW</vt:lpstr>
      <vt:lpstr>'איכות הסביבה 2018'!WPrint_TitlesW</vt:lpstr>
      <vt:lpstr>'ביטחון פיקוח וסדצ 2019 פרקים'!WPrint_TitlesW</vt:lpstr>
      <vt:lpstr>'ביטחון פיקוח וסדר ציבורי 2018'!WPrint_TitlesW</vt:lpstr>
      <vt:lpstr>'החברה לפיתוח 2018'!WPrint_TitlesW</vt:lpstr>
      <vt:lpstr>'החברה לתיירות 2018'!WPrint_TitlesW</vt:lpstr>
      <vt:lpstr>'החברה לתיירות 2019 פרקים'!WPrint_TitlesW</vt:lpstr>
      <vt:lpstr>'הנדסה  2018'!WPrint_TitlesW</vt:lpstr>
      <vt:lpstr>'הנדסה 2019 פרקים'!WPrint_TitlesW</vt:lpstr>
      <vt:lpstr>'חינוך 2018'!WPrint_TitlesW</vt:lpstr>
      <vt:lpstr>'חינוך 2019 פרקים'!WPrint_TitlesW</vt:lpstr>
      <vt:lpstr>'כללי  2018'!WPrint_TitlesW</vt:lpstr>
      <vt:lpstr>'מחשוב 2019 פרקים'!WPrint_TitlesW</vt:lpstr>
      <vt:lpstr>'מינהל כללי 2019 פרקים'!WPrint_TitlesW</vt:lpstr>
      <vt:lpstr>'נכסים 2018'!WPrint_TitlesW</vt:lpstr>
      <vt:lpstr>'נכסים 2019 פרקים'!WPrint_TitlesW</vt:lpstr>
      <vt:lpstr>'פרויקטים החב. לפיתוח '!WPrint_TitlesW</vt:lpstr>
      <vt:lpstr>'ריכוז אגפים'!WPrint_TitlesW</vt:lpstr>
      <vt:lpstr>'ריכוז אגפים 2018'!WPrint_TitlesW</vt:lpstr>
      <vt:lpstr>'ריכוז פרקים'!WPrint_TitlesW</vt:lpstr>
      <vt:lpstr>'ריכוז תקציב מעבר לתוכנית 2018'!WPrint_TitlesW</vt:lpstr>
      <vt:lpstr>'רשות החופים  2018'!WPrint_TitlesW</vt:lpstr>
      <vt:lpstr>'רשות החופים 2019 פרקים'!WPrint_TitlesW</vt:lpstr>
      <vt:lpstr>'שאיפה 2018'!WPrint_TitlesW</vt:lpstr>
      <vt:lpstr>'שאיפה 2019 פרקים'!WPrint_TitlesW</vt:lpstr>
      <vt:lpstr>'שיפוצי בתים עמידר 2018'!WPrint_TitlesW</vt:lpstr>
      <vt:lpstr>'תבל  2018'!WPrint_TitlesW</vt:lpstr>
      <vt:lpstr>'תבל 2019 פרקים'!WPrint_TitlesW</vt:lpstr>
      <vt:lpstr>'תנוס 2019 פרקים'!WPrint_TitlesW</vt:lpstr>
      <vt:lpstr>'תקציב אגף בטחון פיקוח סד"צ 2019'!WPrint_TitlesW</vt:lpstr>
      <vt:lpstr>'תקציב אגף חינוך 2019'!WPrint_TitlesW</vt:lpstr>
      <vt:lpstr>'תקציב אגף נכסים וביטוח 2019'!WPrint_TitlesW</vt:lpstr>
      <vt:lpstr>'תקציב אגף שאיפה  2019'!WPrint_TitlesW</vt:lpstr>
      <vt:lpstr>'תקציב אגף שאיפה  2019 תאור'!WPrint_TitlesW</vt:lpstr>
      <vt:lpstr>'תקציב אגף ת.ב.ל 2019'!WPrint_TitlesW</vt:lpstr>
      <vt:lpstr>'תקציב אגף ת.ב.ל 2019 תאור'!WPrint_TitlesW</vt:lpstr>
      <vt:lpstr>'תקציב אגף תנוס 2019'!WPrint_TitlesW</vt:lpstr>
      <vt:lpstr>'תקציב אגף תקשוב 2019'!WPrint_TitlesW</vt:lpstr>
      <vt:lpstr>'תקציב החברה לפיתוח 2019'!WPrint_TitlesW</vt:lpstr>
      <vt:lpstr>'תקציב החברה לפיתוח 2019 תאור'!WPrint_TitlesW</vt:lpstr>
      <vt:lpstr>'תקציב החברה לתירות 2019'!WPrint_TitlesW</vt:lpstr>
      <vt:lpstr>'תקציב הנדסה 2019'!WPrint_TitlesW</vt:lpstr>
      <vt:lpstr>'תקציב הנדסה 2019 תאור'!WPrint_TitlesW</vt:lpstr>
      <vt:lpstr>'תקציב מינהל כללי 2019'!WPrint_TitlesW</vt:lpstr>
      <vt:lpstr>'תקציב רשות החופים 2019'!WPrint_TitlesW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Gizbarut-Orna Goldfriend</dc:creator>
  <cp:lastModifiedBy>dovrut-Avner Perlmutter</cp:lastModifiedBy>
  <cp:lastPrinted>2018-11-27T05:11:17Z</cp:lastPrinted>
  <dcterms:created xsi:type="dcterms:W3CDTF">2014-10-19T04:47:46Z</dcterms:created>
  <dcterms:modified xsi:type="dcterms:W3CDTF">2019-08-13T12:08:48Z</dcterms:modified>
</cp:coreProperties>
</file>